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cuments\GitHub\Reductor-Conico-Cilindric\"/>
    </mc:Choice>
  </mc:AlternateContent>
  <xr:revisionPtr revIDLastSave="0" documentId="13_ncr:1_{1BCE2CE0-50AD-44C5-B501-F293A580528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2" i="1"/>
  <c r="B32" i="1"/>
  <c r="B31" i="1"/>
  <c r="E74" i="1"/>
  <c r="E73" i="1"/>
  <c r="T60" i="1"/>
  <c r="W60" i="1"/>
  <c r="T62" i="1"/>
  <c r="T61" i="1"/>
  <c r="O43" i="1"/>
  <c r="O41" i="1"/>
  <c r="H25" i="1"/>
  <c r="L32" i="1"/>
  <c r="G48" i="1"/>
  <c r="H61" i="1"/>
  <c r="H59" i="1"/>
  <c r="O46" i="1"/>
  <c r="P53" i="1" s="1"/>
  <c r="H62" i="1"/>
  <c r="H60" i="1"/>
  <c r="G7" i="1"/>
  <c r="J61" i="1" s="1"/>
  <c r="O53" i="1" l="1"/>
  <c r="O45" i="1"/>
  <c r="C39" i="1"/>
  <c r="B33" i="1"/>
  <c r="J59" i="1" l="1"/>
  <c r="J60" i="1"/>
  <c r="J62" i="1"/>
  <c r="C45" i="1"/>
  <c r="K53" i="1" s="1"/>
  <c r="C44" i="1"/>
  <c r="C43" i="1"/>
  <c r="C40" i="1"/>
  <c r="O44" i="1" s="1"/>
  <c r="L33" i="1"/>
  <c r="H30" i="1" l="1"/>
  <c r="G51" i="1"/>
  <c r="O47" i="1"/>
  <c r="O48" i="1" s="1"/>
  <c r="Q44" i="1"/>
  <c r="K54" i="1"/>
  <c r="C24" i="1"/>
  <c r="B30" i="1"/>
  <c r="H27" i="1"/>
  <c r="C25" i="1"/>
  <c r="C23" i="1"/>
  <c r="C10" i="1"/>
  <c r="B10" i="1"/>
  <c r="B7" i="1"/>
  <c r="A7" i="1"/>
  <c r="C22" i="1" l="1"/>
  <c r="F7" i="1"/>
  <c r="C19" i="1" s="1"/>
  <c r="C28" i="1" s="1"/>
  <c r="P19" i="1"/>
  <c r="D10" i="1"/>
  <c r="C21" i="1" s="1"/>
  <c r="B11" i="1"/>
  <c r="B12" i="1"/>
  <c r="H7" i="1" l="1"/>
  <c r="I7" i="1" s="1"/>
  <c r="C11" i="1"/>
  <c r="D11" i="1"/>
  <c r="C41" i="1" s="1"/>
  <c r="C12" i="1"/>
  <c r="D12" i="1" l="1"/>
  <c r="C42" i="1"/>
</calcChain>
</file>

<file path=xl/sharedStrings.xml><?xml version="1.0" encoding="utf-8"?>
<sst xmlns="http://schemas.openxmlformats.org/spreadsheetml/2006/main" count="240" uniqueCount="152">
  <si>
    <t>[kW]</t>
  </si>
  <si>
    <t>[rot/min]</t>
  </si>
  <si>
    <t>[ore]</t>
  </si>
  <si>
    <t>PACon</t>
  </si>
  <si>
    <t>PACil</t>
  </si>
  <si>
    <t>TD</t>
  </si>
  <si>
    <t>H</t>
  </si>
  <si>
    <t>V</t>
  </si>
  <si>
    <t>C</t>
  </si>
  <si>
    <r>
      <t>u</t>
    </r>
    <r>
      <rPr>
        <vertAlign val="superscript"/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 </t>
    </r>
  </si>
  <si>
    <r>
      <t>A</t>
    </r>
    <r>
      <rPr>
        <vertAlign val="subscript"/>
        <sz val="12"/>
        <color theme="1"/>
        <rFont val="Times New Roman"/>
        <family val="1"/>
      </rPr>
      <t>b</t>
    </r>
  </si>
  <si>
    <t>Denumirea arborelui</t>
  </si>
  <si>
    <t>Puterea [kW]</t>
  </si>
  <si>
    <t>Turaţia  [rot/min]</t>
  </si>
  <si>
    <t>Momentul de torsiune [Nmm]</t>
  </si>
  <si>
    <r>
      <t>Arborele de intrare (A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)</t>
    </r>
  </si>
  <si>
    <r>
      <t>Arborele intemediar (A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</si>
  <si>
    <r>
      <t>Arborele de ieşire (A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</si>
  <si>
    <r>
      <t>η</t>
    </r>
    <r>
      <rPr>
        <vertAlign val="superscript"/>
        <sz val="11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 </t>
    </r>
  </si>
  <si>
    <r>
      <t>η</t>
    </r>
    <r>
      <rPr>
        <vertAlign val="superscript"/>
        <sz val="11"/>
        <color rgb="FF000000"/>
        <rFont val="Times New Roman"/>
        <family val="1"/>
      </rPr>
      <t>II</t>
    </r>
  </si>
  <si>
    <t>Oţelul</t>
  </si>
  <si>
    <r>
      <t>Limita de curgere,  σ</t>
    </r>
    <r>
      <rPr>
        <vertAlign val="subscript"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 xml:space="preserve"> [MPa]</t>
    </r>
  </si>
  <si>
    <r>
      <t>Rezistenţa la rupere, σ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[MPa]</t>
    </r>
  </si>
  <si>
    <t>Tratamentul termic de bază</t>
  </si>
  <si>
    <r>
      <t>Tensiunea limită la contact, σ</t>
    </r>
    <r>
      <rPr>
        <vertAlign val="subscript"/>
        <sz val="12"/>
        <color theme="1"/>
        <rFont val="Times New Roman"/>
        <family val="1"/>
      </rPr>
      <t>Hlim</t>
    </r>
    <r>
      <rPr>
        <sz val="12"/>
        <color theme="1"/>
        <rFont val="Times New Roman"/>
        <family val="1"/>
      </rPr>
      <t xml:space="preserve"> [MPa]</t>
    </r>
  </si>
  <si>
    <r>
      <t>Tensiunea limită la încovoiere, σ</t>
    </r>
    <r>
      <rPr>
        <vertAlign val="subscript"/>
        <sz val="12"/>
        <color theme="1"/>
        <rFont val="Times New Roman"/>
        <family val="1"/>
      </rPr>
      <t xml:space="preserve">Flim  </t>
    </r>
    <r>
      <rPr>
        <sz val="12"/>
        <color theme="1"/>
        <rFont val="Times New Roman"/>
        <family val="1"/>
      </rPr>
      <t xml:space="preserve"> [MPa]</t>
    </r>
  </si>
  <si>
    <t>Durităţile flancurilor dinţilor roţilor HRC</t>
  </si>
  <si>
    <t>Durităţile zonelor interioare ale dinţilor HB</t>
  </si>
  <si>
    <t>Simbolul</t>
  </si>
  <si>
    <t>Valoarea</t>
  </si>
  <si>
    <t>Unitatea de măsură</t>
  </si>
  <si>
    <t>u</t>
  </si>
  <si>
    <t>-</t>
  </si>
  <si>
    <r>
      <t>z</t>
    </r>
    <r>
      <rPr>
        <vertAlign val="subscript"/>
        <sz val="12"/>
        <color theme="1"/>
        <rFont val="Times New Roman"/>
        <family val="1"/>
      </rPr>
      <t>1</t>
    </r>
  </si>
  <si>
    <r>
      <t>T</t>
    </r>
    <r>
      <rPr>
        <vertAlign val="subscript"/>
        <sz val="12"/>
        <color theme="1"/>
        <rFont val="Times New Roman"/>
        <family val="1"/>
      </rPr>
      <t>1</t>
    </r>
  </si>
  <si>
    <t>Nmm</t>
  </si>
  <si>
    <r>
      <t>n</t>
    </r>
    <r>
      <rPr>
        <vertAlign val="subscript"/>
        <sz val="12"/>
        <color theme="1"/>
        <rFont val="Times New Roman"/>
        <family val="1"/>
      </rPr>
      <t>p</t>
    </r>
  </si>
  <si>
    <t>rot/min</t>
  </si>
  <si>
    <r>
      <t>L</t>
    </r>
    <r>
      <rPr>
        <vertAlign val="subscript"/>
        <sz val="12"/>
        <color theme="1"/>
        <rFont val="Times New Roman"/>
        <family val="1"/>
      </rPr>
      <t>h imp</t>
    </r>
  </si>
  <si>
    <t>ore</t>
  </si>
  <si>
    <r>
      <t>σ</t>
    </r>
    <r>
      <rPr>
        <vertAlign val="subscript"/>
        <sz val="12"/>
        <color theme="1"/>
        <rFont val="Times New Roman"/>
        <family val="1"/>
      </rPr>
      <t>Hlim</t>
    </r>
  </si>
  <si>
    <t>MPa</t>
  </si>
  <si>
    <r>
      <t>σ</t>
    </r>
    <r>
      <rPr>
        <vertAlign val="subscript"/>
        <sz val="12"/>
        <color theme="1"/>
        <rFont val="Times New Roman"/>
        <family val="1"/>
      </rPr>
      <t>Flim</t>
    </r>
  </si>
  <si>
    <t>Σ</t>
  </si>
  <si>
    <r>
      <t>o </t>
    </r>
    <r>
      <rPr>
        <sz val="12"/>
        <color theme="1"/>
        <rFont val="Times New Roman"/>
        <family val="1"/>
      </rPr>
      <t> (grade)</t>
    </r>
  </si>
  <si>
    <r>
      <t>β</t>
    </r>
    <r>
      <rPr>
        <vertAlign val="subscript"/>
        <sz val="12"/>
        <color theme="1"/>
        <rFont val="Times New Roman"/>
        <family val="1"/>
      </rPr>
      <t>m</t>
    </r>
  </si>
  <si>
    <r>
      <t>o</t>
    </r>
    <r>
      <rPr>
        <sz val="12"/>
        <color theme="1"/>
        <rFont val="Times New Roman"/>
        <family val="1"/>
      </rPr>
      <t>  (grade)</t>
    </r>
  </si>
  <si>
    <r>
      <t>K</t>
    </r>
    <r>
      <rPr>
        <vertAlign val="subscript"/>
        <sz val="12"/>
        <color theme="1"/>
        <rFont val="Times New Roman"/>
        <family val="1"/>
      </rPr>
      <t>A</t>
    </r>
  </si>
  <si>
    <r>
      <t>K</t>
    </r>
    <r>
      <rPr>
        <vertAlign val="subscript"/>
        <sz val="12"/>
        <color theme="1"/>
        <rFont val="Times New Roman"/>
        <family val="1"/>
      </rPr>
      <t>v</t>
    </r>
  </si>
  <si>
    <r>
      <t>ψ</t>
    </r>
    <r>
      <rPr>
        <vertAlign val="subscript"/>
        <sz val="12"/>
        <color rgb="FF000000"/>
        <rFont val="Times New Roman"/>
        <family val="1"/>
      </rPr>
      <t>d</t>
    </r>
  </si>
  <si>
    <r>
      <t>K</t>
    </r>
    <r>
      <rPr>
        <vertAlign val="subscript"/>
        <sz val="12"/>
        <color theme="1"/>
        <rFont val="Times New Roman"/>
        <family val="1"/>
      </rPr>
      <t>Hβ</t>
    </r>
  </si>
  <si>
    <r>
      <t>K</t>
    </r>
    <r>
      <rPr>
        <vertAlign val="subscript"/>
        <sz val="12"/>
        <color theme="1"/>
        <rFont val="Times New Roman"/>
        <family val="1"/>
      </rPr>
      <t>Hα</t>
    </r>
  </si>
  <si>
    <r>
      <t>Z</t>
    </r>
    <r>
      <rPr>
        <vertAlign val="subscript"/>
        <sz val="12"/>
        <color theme="1"/>
        <rFont val="Times New Roman"/>
        <family val="1"/>
      </rPr>
      <t>E</t>
    </r>
  </si>
  <si>
    <r>
      <t>Z</t>
    </r>
    <r>
      <rPr>
        <vertAlign val="subscript"/>
        <sz val="12"/>
        <color theme="1"/>
        <rFont val="Times New Roman"/>
        <family val="1"/>
      </rPr>
      <t>H</t>
    </r>
  </si>
  <si>
    <r>
      <t>Z</t>
    </r>
    <r>
      <rPr>
        <vertAlign val="subscript"/>
        <sz val="12"/>
        <color theme="1"/>
        <rFont val="Times New Roman"/>
        <family val="1"/>
      </rPr>
      <t>ε</t>
    </r>
  </si>
  <si>
    <r>
      <t>Z</t>
    </r>
    <r>
      <rPr>
        <vertAlign val="subscript"/>
        <sz val="12"/>
        <color theme="1"/>
        <rFont val="Times New Roman"/>
        <family val="1"/>
      </rPr>
      <t>β</t>
    </r>
  </si>
  <si>
    <r>
      <t>S</t>
    </r>
    <r>
      <rPr>
        <vertAlign val="subscript"/>
        <sz val="12"/>
        <color rgb="FF000000"/>
        <rFont val="Times New Roman"/>
        <family val="1"/>
      </rPr>
      <t>Hmin</t>
    </r>
  </si>
  <si>
    <r>
      <t>Z</t>
    </r>
    <r>
      <rPr>
        <vertAlign val="subscript"/>
        <sz val="12"/>
        <color rgb="FF000000"/>
        <rFont val="Times New Roman"/>
        <family val="1"/>
      </rPr>
      <t>N</t>
    </r>
  </si>
  <si>
    <r>
      <t>σ</t>
    </r>
    <r>
      <rPr>
        <vertAlign val="subscript"/>
        <sz val="12"/>
        <color rgb="FF000000"/>
        <rFont val="Times New Roman"/>
        <family val="1"/>
      </rPr>
      <t>HP</t>
    </r>
  </si>
  <si>
    <t>Anexa.6.1.3.13</t>
  </si>
  <si>
    <r>
      <t>N</t>
    </r>
    <r>
      <rPr>
        <vertAlign val="subscript"/>
        <sz val="11"/>
        <color rgb="FF000000"/>
        <rFont val="Times New Roman"/>
        <family val="1"/>
      </rPr>
      <t>BH</t>
    </r>
    <r>
      <rPr>
        <sz val="14"/>
        <color rgb="FF000000"/>
        <rFont val="Times New Roman"/>
        <family val="1"/>
      </rPr>
      <t/>
    </r>
  </si>
  <si>
    <r>
      <t>N</t>
    </r>
    <r>
      <rPr>
        <vertAlign val="subscript"/>
        <sz val="11"/>
        <color rgb="FF000000"/>
        <rFont val="Times New Roman"/>
        <family val="1"/>
      </rPr>
      <t>L1</t>
    </r>
  </si>
  <si>
    <r>
      <t>N</t>
    </r>
    <r>
      <rPr>
        <vertAlign val="subscript"/>
        <sz val="11"/>
        <color rgb="FF000000"/>
        <rFont val="Times New Roman"/>
        <family val="1"/>
      </rPr>
      <t>L2</t>
    </r>
  </si>
  <si>
    <t xml:space="preserve">Pi </t>
  </si>
  <si>
    <t xml:space="preserve">ni </t>
  </si>
  <si>
    <t>iR</t>
  </si>
  <si>
    <t xml:space="preserve">Lh imp  </t>
  </si>
  <si>
    <t>δ1</t>
  </si>
  <si>
    <r>
      <t>Y</t>
    </r>
    <r>
      <rPr>
        <vertAlign val="subscript"/>
        <sz val="11"/>
        <color rgb="FF000000"/>
        <rFont val="Times New Roman"/>
        <family val="1"/>
      </rPr>
      <t>N1,2</t>
    </r>
    <r>
      <rPr>
        <sz val="14"/>
        <color rgb="FF000000"/>
        <rFont val="Times New Roman"/>
        <family val="1"/>
      </rPr>
      <t> </t>
    </r>
  </si>
  <si>
    <t>Factori pt modulul exterior frontal din solicitarea de contact</t>
  </si>
  <si>
    <r>
      <t>K</t>
    </r>
    <r>
      <rPr>
        <vertAlign val="subscript"/>
        <sz val="12"/>
        <color theme="1"/>
        <rFont val="Times New Roman"/>
        <family val="1"/>
      </rPr>
      <t>Fβ</t>
    </r>
  </si>
  <si>
    <r>
      <t>K</t>
    </r>
    <r>
      <rPr>
        <vertAlign val="subscript"/>
        <sz val="12"/>
        <color theme="1"/>
        <rFont val="Times New Roman"/>
        <family val="1"/>
      </rPr>
      <t>Fα</t>
    </r>
  </si>
  <si>
    <r>
      <t>Y</t>
    </r>
    <r>
      <rPr>
        <vertAlign val="subscript"/>
        <sz val="12"/>
        <color theme="1"/>
        <rFont val="Times New Roman"/>
        <family val="1"/>
      </rPr>
      <t>Sa1</t>
    </r>
  </si>
  <si>
    <r>
      <t>Y</t>
    </r>
    <r>
      <rPr>
        <vertAlign val="subscript"/>
        <sz val="12"/>
        <color theme="1"/>
        <rFont val="Times New Roman"/>
        <family val="1"/>
      </rPr>
      <t>Sa2</t>
    </r>
  </si>
  <si>
    <r>
      <t>Y</t>
    </r>
    <r>
      <rPr>
        <vertAlign val="subscript"/>
        <sz val="12"/>
        <color theme="1"/>
        <rFont val="Times New Roman"/>
        <family val="1"/>
      </rPr>
      <t>Fa1</t>
    </r>
  </si>
  <si>
    <r>
      <t>Y</t>
    </r>
    <r>
      <rPr>
        <vertAlign val="subscript"/>
        <sz val="12"/>
        <color theme="1"/>
        <rFont val="Times New Roman"/>
        <family val="1"/>
      </rPr>
      <t>Fa2</t>
    </r>
  </si>
  <si>
    <r>
      <t>Y</t>
    </r>
    <r>
      <rPr>
        <vertAlign val="subscript"/>
        <sz val="12"/>
        <color theme="1"/>
        <rFont val="Times New Roman"/>
        <family val="1"/>
      </rPr>
      <t>ε</t>
    </r>
  </si>
  <si>
    <r>
      <t>Y</t>
    </r>
    <r>
      <rPr>
        <vertAlign val="subscript"/>
        <sz val="12"/>
        <color theme="1"/>
        <rFont val="Times New Roman"/>
        <family val="1"/>
      </rPr>
      <t>β</t>
    </r>
  </si>
  <si>
    <t>Factori pt modulul exterior frontal din solicitarea de încovoiere</t>
  </si>
  <si>
    <r>
      <t>σ</t>
    </r>
    <r>
      <rPr>
        <vertAlign val="subscript"/>
        <sz val="12"/>
        <color rgb="FF000000"/>
        <rFont val="Times New Roman"/>
        <family val="1"/>
      </rPr>
      <t>FP1</t>
    </r>
  </si>
  <si>
    <r>
      <t>σ</t>
    </r>
    <r>
      <rPr>
        <vertAlign val="subscript"/>
        <sz val="12"/>
        <color rgb="FF000000"/>
        <rFont val="Times New Roman"/>
        <family val="1"/>
      </rPr>
      <t>FP2</t>
    </r>
  </si>
  <si>
    <t xml:space="preserve">mmt </t>
  </si>
  <si>
    <t>b</t>
  </si>
  <si>
    <t>Re</t>
  </si>
  <si>
    <t>Rm</t>
  </si>
  <si>
    <t>de1</t>
  </si>
  <si>
    <t>de2</t>
  </si>
  <si>
    <t>dm1</t>
  </si>
  <si>
    <t>dm2</t>
  </si>
  <si>
    <t>dc</t>
  </si>
  <si>
    <t>βe</t>
  </si>
  <si>
    <t>Parametri principali</t>
  </si>
  <si>
    <t>Parametrizarea angrenajului conic</t>
  </si>
  <si>
    <t>Parametrizarea angrenajului cilindric</t>
  </si>
  <si>
    <t>δ1 </t>
  </si>
  <si>
    <t>Observaţii</t>
  </si>
  <si>
    <t>mm</t>
  </si>
  <si>
    <r>
      <t>m</t>
    </r>
    <r>
      <rPr>
        <vertAlign val="subscript"/>
        <sz val="12"/>
        <color theme="1"/>
        <rFont val="Times New Roman"/>
        <family val="1"/>
      </rPr>
      <t>nc</t>
    </r>
  </si>
  <si>
    <r>
      <t>m</t>
    </r>
    <r>
      <rPr>
        <vertAlign val="subscript"/>
        <sz val="12"/>
        <color rgb="FF000000"/>
        <rFont val="Times New Roman"/>
        <family val="1"/>
      </rPr>
      <t>n</t>
    </r>
  </si>
  <si>
    <t>m</t>
  </si>
  <si>
    <r>
      <t>d</t>
    </r>
    <r>
      <rPr>
        <vertAlign val="subscript"/>
        <sz val="12"/>
        <color rgb="FF000000"/>
        <rFont val="Times New Roman"/>
        <family val="1"/>
      </rPr>
      <t>1</t>
    </r>
  </si>
  <si>
    <t>(se verifică)</t>
  </si>
  <si>
    <r>
      <t>d</t>
    </r>
    <r>
      <rPr>
        <vertAlign val="subscript"/>
        <sz val="12"/>
        <color rgb="FF000000"/>
        <rFont val="Times New Roman"/>
        <family val="1"/>
      </rPr>
      <t>2</t>
    </r>
  </si>
  <si>
    <t>a</t>
  </si>
  <si>
    <r>
      <t>b</t>
    </r>
    <r>
      <rPr>
        <vertAlign val="subscript"/>
        <sz val="12"/>
        <color rgb="FF000000"/>
        <rFont val="Times New Roman"/>
        <family val="1"/>
      </rPr>
      <t>2</t>
    </r>
  </si>
  <si>
    <r>
      <t>b</t>
    </r>
    <r>
      <rPr>
        <vertAlign val="subscript"/>
        <sz val="12"/>
        <color rgb="FF000000"/>
        <rFont val="Times New Roman"/>
        <family val="1"/>
      </rPr>
      <t>1</t>
    </r>
  </si>
  <si>
    <t>aw</t>
  </si>
  <si>
    <t>Subcap.3.3.4 Standardizarea distanţei dintre axe şi parametri geometrici principali</t>
  </si>
  <si>
    <t>Determinarea parametrilor geometrici principali ai angrenajului deplasat</t>
  </si>
  <si>
    <t>α</t>
  </si>
  <si>
    <t>αw</t>
  </si>
  <si>
    <t>xns</t>
  </si>
  <si>
    <t>xn1</t>
  </si>
  <si>
    <t>αn</t>
  </si>
  <si>
    <t>o  (grade)</t>
  </si>
  <si>
    <t>Unghiul de presiune frontal</t>
  </si>
  <si>
    <t>Unghiul de angrenare frontal</t>
  </si>
  <si>
    <t>Suma coeficienţilor depasărilor de profil ale danturilor roţilor</t>
  </si>
  <si>
    <t>Coeficientul deplasării de profil a danturii pinionului</t>
  </si>
  <si>
    <t>xn2</t>
  </si>
  <si>
    <t>21MoMnCr12</t>
  </si>
  <si>
    <t>Cementare (carburare+călire+
revenire)</t>
  </si>
  <si>
    <t xml:space="preserve"> </t>
  </si>
  <si>
    <t xml:space="preserve">	
meH</t>
  </si>
  <si>
    <t>0.9</t>
  </si>
  <si>
    <t>z1</t>
  </si>
  <si>
    <t>Distanţa dintre axe de referinţă recalculată, ar [mm]</t>
  </si>
  <si>
    <t>z2</t>
  </si>
  <si>
    <t xml:space="preserve">Raportul de angrenare recalculate, </t>
  </si>
  <si>
    <t>Abaterea raportului de angrenare,  faţă de,uII rec2 fata de uII rec1 AB</t>
  </si>
  <si>
    <t>Verificari</t>
  </si>
  <si>
    <t>meH</t>
  </si>
  <si>
    <r>
      <t>m</t>
    </r>
    <r>
      <rPr>
        <vertAlign val="subscript"/>
        <sz val="12"/>
        <color theme="1"/>
        <rFont val="Times New Roman"/>
        <family val="1"/>
      </rPr>
      <t>ec</t>
    </r>
  </si>
  <si>
    <r>
      <t> m</t>
    </r>
    <r>
      <rPr>
        <b/>
        <vertAlign val="subscript"/>
        <sz val="11"/>
        <color rgb="FF000000"/>
        <rFont val="Times New Roman"/>
        <family val="1"/>
      </rPr>
      <t>eST</t>
    </r>
  </si>
  <si>
    <r>
      <t>d</t>
    </r>
    <r>
      <rPr>
        <b/>
        <vertAlign val="subscript"/>
        <sz val="11"/>
        <color rgb="FF000000"/>
        <rFont val="Times New Roman"/>
        <family val="1"/>
      </rPr>
      <t>c</t>
    </r>
  </si>
  <si>
    <t>2,7&lt;2,9330&lt;5,5</t>
  </si>
  <si>
    <t>0.1466931884931117</t>
  </si>
  <si>
    <t>Viza 3 Cap 6-8</t>
  </si>
  <si>
    <t>DATE</t>
  </si>
  <si>
    <t>z1=17</t>
  </si>
  <si>
    <t>z2=78</t>
  </si>
  <si>
    <t>ct=0,25</t>
  </si>
  <si>
    <t>xsm1=0,195</t>
  </si>
  <si>
    <t>xhm1=0,34</t>
  </si>
  <si>
    <t>xhm2=-0,34</t>
  </si>
  <si>
    <t>xsm2=-0,195</t>
  </si>
  <si>
    <t>dm1= 68,35467</t>
  </si>
  <si>
    <t>dm2=313,627333</t>
  </si>
  <si>
    <t>Rz</t>
  </si>
  <si>
    <t>nbh</t>
  </si>
  <si>
    <t>nl1</t>
  </si>
  <si>
    <t>nl2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</si>
</sst>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;[Red]0.00000"/>
    <numFmt numFmtId="165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1"/>
      <color rgb="FF000000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Calibri"/>
      <family val="2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sz val="12"/>
      <color theme="1"/>
      <name val="Times New Roman"/>
      <family val="1"/>
      <charset val="238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EEECE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48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3" fillId="5" borderId="8" applyNumberFormat="0" applyAlignment="0" applyProtection="0"/>
    <xf numFmtId="0" fontId="14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107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2" borderId="7" xfId="1" applyBorder="1" applyAlignment="1">
      <alignment horizontal="center" vertical="center" wrapText="1"/>
    </xf>
    <xf numFmtId="0" fontId="2" fillId="2" borderId="3" xfId="1" applyBorder="1" applyAlignment="1">
      <alignment horizontal="center" vertical="center" wrapText="1"/>
    </xf>
    <xf numFmtId="0" fontId="2" fillId="2" borderId="6" xfId="1" applyBorder="1" applyAlignment="1">
      <alignment horizontal="center" vertical="center" wrapText="1"/>
    </xf>
    <xf numFmtId="0" fontId="2" fillId="2" borderId="4" xfId="1" applyBorder="1" applyAlignment="1">
      <alignment horizontal="center" vertical="center" wrapText="1"/>
    </xf>
    <xf numFmtId="0" fontId="2" fillId="2" borderId="2" xfId="1" applyBorder="1" applyAlignment="1">
      <alignment horizontal="center" vertical="center" wrapText="1"/>
    </xf>
    <xf numFmtId="0" fontId="2" fillId="2" borderId="5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2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164" fontId="3" fillId="4" borderId="7" xfId="0" applyNumberFormat="1" applyFont="1" applyFill="1" applyBorder="1" applyAlignment="1">
      <alignment horizontal="center" vertical="center" wrapText="1"/>
    </xf>
    <xf numFmtId="164" fontId="3" fillId="7" borderId="4" xfId="0" applyNumberFormat="1" applyFont="1" applyFill="1" applyBorder="1" applyAlignment="1">
      <alignment horizontal="center" vertical="center" wrapText="1"/>
    </xf>
    <xf numFmtId="164" fontId="3" fillId="7" borderId="7" xfId="0" applyNumberFormat="1" applyFont="1" applyFill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11" fillId="4" borderId="7" xfId="0" applyNumberFormat="1" applyFont="1" applyFill="1" applyBorder="1" applyAlignment="1">
      <alignment horizontal="center" vertical="center" wrapText="1"/>
    </xf>
    <xf numFmtId="164" fontId="11" fillId="0" borderId="7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10" fillId="4" borderId="7" xfId="0" applyNumberFormat="1" applyFont="1" applyFill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164" fontId="10" fillId="0" borderId="7" xfId="0" applyNumberFormat="1" applyFont="1" applyBorder="1" applyAlignment="1">
      <alignment horizontal="center" vertical="center" wrapText="1"/>
    </xf>
    <xf numFmtId="164" fontId="5" fillId="4" borderId="7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13" fillId="5" borderId="8" xfId="3" applyNumberFormat="1" applyAlignment="1">
      <alignment horizontal="center" vertical="center"/>
    </xf>
    <xf numFmtId="164" fontId="0" fillId="3" borderId="1" xfId="2" applyNumberFormat="1" applyFont="1" applyAlignment="1">
      <alignment horizontal="center" vertical="center"/>
    </xf>
    <xf numFmtId="164" fontId="11" fillId="3" borderId="1" xfId="2" applyNumberFormat="1" applyFont="1" applyAlignment="1">
      <alignment horizontal="center" vertical="center"/>
    </xf>
    <xf numFmtId="164" fontId="19" fillId="14" borderId="0" xfId="0" applyNumberFormat="1" applyFont="1" applyFill="1"/>
    <xf numFmtId="164" fontId="0" fillId="0" borderId="0" xfId="0" applyNumberFormat="1" applyAlignment="1">
      <alignment horizontal="center" vertical="center" wrapText="1"/>
    </xf>
    <xf numFmtId="164" fontId="5" fillId="3" borderId="1" xfId="2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165" fontId="3" fillId="7" borderId="4" xfId="0" applyNumberFormat="1" applyFont="1" applyFill="1" applyBorder="1" applyAlignment="1">
      <alignment horizontal="center" vertical="center" wrapText="1"/>
    </xf>
    <xf numFmtId="165" fontId="3" fillId="7" borderId="7" xfId="0" applyNumberFormat="1" applyFont="1" applyFill="1" applyBorder="1" applyAlignment="1">
      <alignment horizontal="center" vertical="center" wrapText="1"/>
    </xf>
    <xf numFmtId="165" fontId="3" fillId="9" borderId="5" xfId="0" applyNumberFormat="1" applyFont="1" applyFill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 vertical="center" wrapText="1"/>
    </xf>
    <xf numFmtId="165" fontId="18" fillId="0" borderId="0" xfId="0" applyNumberFormat="1" applyFont="1" applyAlignment="1">
      <alignment horizontal="center" vertical="center"/>
    </xf>
    <xf numFmtId="165" fontId="21" fillId="0" borderId="0" xfId="0" applyNumberFormat="1" applyFont="1"/>
    <xf numFmtId="165" fontId="11" fillId="4" borderId="7" xfId="0" applyNumberFormat="1" applyFont="1" applyFill="1" applyBorder="1" applyAlignment="1">
      <alignment horizontal="center" vertical="center" wrapText="1"/>
    </xf>
    <xf numFmtId="165" fontId="11" fillId="0" borderId="7" xfId="0" applyNumberFormat="1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165" fontId="5" fillId="0" borderId="7" xfId="0" applyNumberFormat="1" applyFont="1" applyBorder="1" applyAlignment="1">
      <alignment horizontal="center" vertical="center" wrapText="1"/>
    </xf>
    <xf numFmtId="165" fontId="5" fillId="16" borderId="7" xfId="0" applyNumberFormat="1" applyFont="1" applyFill="1" applyBorder="1" applyAlignment="1">
      <alignment horizontal="center" vertical="center" wrapText="1"/>
    </xf>
    <xf numFmtId="165" fontId="3" fillId="15" borderId="9" xfId="0" applyNumberFormat="1" applyFont="1" applyFill="1" applyBorder="1" applyAlignment="1">
      <alignment horizontal="center" vertical="center" wrapText="1"/>
    </xf>
    <xf numFmtId="165" fontId="3" fillId="0" borderId="9" xfId="0" applyNumberFormat="1" applyFont="1" applyBorder="1" applyAlignment="1">
      <alignment horizontal="center" vertical="center" wrapText="1"/>
    </xf>
    <xf numFmtId="165" fontId="10" fillId="4" borderId="7" xfId="0" applyNumberFormat="1" applyFont="1" applyFill="1" applyBorder="1" applyAlignment="1">
      <alignment horizontal="center" vertical="center" wrapText="1"/>
    </xf>
    <xf numFmtId="165" fontId="3" fillId="15" borderId="7" xfId="0" applyNumberFormat="1" applyFont="1" applyFill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 wrapText="1"/>
    </xf>
    <xf numFmtId="165" fontId="12" fillId="0" borderId="7" xfId="0" applyNumberFormat="1" applyFont="1" applyBorder="1" applyAlignment="1">
      <alignment horizontal="center" vertical="center" wrapText="1"/>
    </xf>
    <xf numFmtId="165" fontId="10" fillId="0" borderId="7" xfId="0" applyNumberFormat="1" applyFont="1" applyBorder="1" applyAlignment="1">
      <alignment horizontal="center" vertical="center" wrapText="1"/>
    </xf>
    <xf numFmtId="165" fontId="5" fillId="4" borderId="7" xfId="0" applyNumberFormat="1" applyFont="1" applyFill="1" applyBorder="1" applyAlignment="1">
      <alignment horizontal="center" vertical="center" wrapText="1"/>
    </xf>
    <xf numFmtId="165" fontId="5" fillId="0" borderId="9" xfId="0" applyNumberFormat="1" applyFont="1" applyBorder="1" applyAlignment="1">
      <alignment horizontal="center" vertical="center" wrapText="1"/>
    </xf>
    <xf numFmtId="165" fontId="0" fillId="16" borderId="0" xfId="0" applyNumberFormat="1" applyFill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18" borderId="15" xfId="0" applyNumberFormat="1" applyFill="1" applyBorder="1" applyAlignment="1">
      <alignment horizontal="center" vertical="center"/>
    </xf>
    <xf numFmtId="165" fontId="22" fillId="19" borderId="10" xfId="0" applyNumberFormat="1" applyFont="1" applyFill="1" applyBorder="1" applyAlignment="1">
      <alignment horizontal="center" vertical="center"/>
    </xf>
    <xf numFmtId="165" fontId="22" fillId="19" borderId="12" xfId="0" applyNumberFormat="1" applyFont="1" applyFill="1" applyBorder="1" applyAlignment="1">
      <alignment horizontal="center" vertical="center"/>
    </xf>
    <xf numFmtId="165" fontId="0" fillId="19" borderId="14" xfId="0" applyNumberFormat="1" applyFill="1" applyBorder="1" applyAlignment="1">
      <alignment horizontal="center" vertical="center"/>
    </xf>
    <xf numFmtId="165" fontId="3" fillId="15" borderId="11" xfId="0" applyNumberFormat="1" applyFont="1" applyFill="1" applyBorder="1" applyAlignment="1">
      <alignment horizontal="center" vertical="center" wrapText="1"/>
    </xf>
    <xf numFmtId="165" fontId="5" fillId="15" borderId="10" xfId="0" applyNumberFormat="1" applyFont="1" applyFill="1" applyBorder="1" applyAlignment="1">
      <alignment horizontal="center" vertical="center" wrapText="1"/>
    </xf>
    <xf numFmtId="165" fontId="16" fillId="15" borderId="12" xfId="7" applyNumberFormat="1" applyFont="1" applyFill="1" applyBorder="1" applyAlignment="1">
      <alignment horizontal="center" vertical="center" wrapText="1"/>
    </xf>
    <xf numFmtId="165" fontId="17" fillId="15" borderId="12" xfId="7" applyNumberFormat="1" applyFont="1" applyFill="1" applyBorder="1" applyAlignment="1">
      <alignment horizontal="center" vertical="center" wrapText="1"/>
    </xf>
    <xf numFmtId="165" fontId="3" fillId="15" borderId="10" xfId="0" applyNumberFormat="1" applyFont="1" applyFill="1" applyBorder="1" applyAlignment="1">
      <alignment horizontal="center" vertical="center" wrapText="1"/>
    </xf>
    <xf numFmtId="165" fontId="3" fillId="15" borderId="0" xfId="0" applyNumberFormat="1" applyFont="1" applyFill="1" applyAlignment="1">
      <alignment horizontal="center" vertical="center" wrapText="1"/>
    </xf>
    <xf numFmtId="165" fontId="0" fillId="15" borderId="0" xfId="0" applyNumberFormat="1" applyFill="1" applyAlignment="1">
      <alignment horizontal="center" vertical="center"/>
    </xf>
    <xf numFmtId="165" fontId="0" fillId="15" borderId="10" xfId="0" applyNumberFormat="1" applyFill="1" applyBorder="1" applyAlignment="1">
      <alignment horizontal="center" vertical="center"/>
    </xf>
    <xf numFmtId="165" fontId="0" fillId="15" borderId="12" xfId="0" applyNumberFormat="1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23" fillId="20" borderId="10" xfId="0" applyFont="1" applyFill="1" applyBorder="1" applyAlignment="1">
      <alignment horizontal="center" vertical="center"/>
    </xf>
    <xf numFmtId="0" fontId="23" fillId="21" borderId="0" xfId="0" applyFont="1" applyFill="1" applyAlignment="1">
      <alignment horizontal="center" vertical="center"/>
    </xf>
    <xf numFmtId="0" fontId="23" fillId="21" borderId="16" xfId="0" applyFont="1" applyFill="1" applyBorder="1" applyAlignment="1">
      <alignment horizontal="center" vertical="center"/>
    </xf>
    <xf numFmtId="165" fontId="1" fillId="8" borderId="0" xfId="5" applyNumberFormat="1" applyAlignment="1">
      <alignment horizontal="center" vertical="center" wrapText="1"/>
    </xf>
    <xf numFmtId="164" fontId="1" fillId="8" borderId="0" xfId="5" applyNumberFormat="1" applyAlignment="1">
      <alignment horizontal="center" vertical="center" wrapText="1"/>
    </xf>
    <xf numFmtId="164" fontId="14" fillId="6" borderId="0" xfId="4" applyNumberFormat="1" applyBorder="1" applyAlignment="1">
      <alignment horizontal="center" vertical="center" wrapText="1"/>
    </xf>
    <xf numFmtId="165" fontId="14" fillId="6" borderId="0" xfId="4" applyNumberFormat="1" applyAlignment="1">
      <alignment horizontal="center" vertical="center"/>
    </xf>
    <xf numFmtId="164" fontId="1" fillId="8" borderId="8" xfId="5" applyNumberFormat="1" applyBorder="1" applyAlignment="1">
      <alignment horizontal="center" vertical="center"/>
    </xf>
    <xf numFmtId="165" fontId="1" fillId="8" borderId="0" xfId="5" applyNumberFormat="1" applyAlignment="1">
      <alignment horizontal="center" vertical="center"/>
    </xf>
    <xf numFmtId="165" fontId="22" fillId="17" borderId="10" xfId="1" applyNumberFormat="1" applyFont="1" applyFill="1" applyBorder="1" applyAlignment="1">
      <alignment horizontal="center" vertical="center"/>
    </xf>
    <xf numFmtId="165" fontId="0" fillId="12" borderId="10" xfId="0" applyNumberFormat="1" applyFill="1" applyBorder="1" applyAlignment="1">
      <alignment horizontal="center" vertical="center"/>
    </xf>
    <xf numFmtId="0" fontId="2" fillId="2" borderId="3" xfId="1" applyBorder="1" applyAlignment="1">
      <alignment horizontal="center" vertical="center" wrapText="1"/>
    </xf>
    <xf numFmtId="0" fontId="2" fillId="2" borderId="4" xfId="1" applyBorder="1" applyAlignment="1">
      <alignment horizontal="center" vertical="center" wrapText="1"/>
    </xf>
    <xf numFmtId="164" fontId="0" fillId="3" borderId="1" xfId="2" applyNumberFormat="1" applyFont="1" applyAlignment="1">
      <alignment horizontal="center" vertical="center"/>
    </xf>
    <xf numFmtId="165" fontId="0" fillId="15" borderId="10" xfId="0" applyNumberFormat="1" applyFill="1" applyBorder="1" applyAlignment="1">
      <alignment horizontal="center" vertical="center"/>
    </xf>
    <xf numFmtId="165" fontId="0" fillId="13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11" borderId="12" xfId="0" applyNumberFormat="1" applyFill="1" applyBorder="1" applyAlignment="1">
      <alignment horizontal="center" vertical="center"/>
    </xf>
    <xf numFmtId="165" fontId="1" fillId="10" borderId="0" xfId="6" applyNumberFormat="1" applyAlignment="1">
      <alignment horizontal="center" vertical="center"/>
    </xf>
    <xf numFmtId="165" fontId="22" fillId="17" borderId="12" xfId="1" applyNumberFormat="1" applyFont="1" applyFill="1" applyBorder="1" applyAlignment="1">
      <alignment horizontal="center" vertical="center"/>
    </xf>
    <xf numFmtId="165" fontId="0" fillId="15" borderId="12" xfId="0" applyNumberFormat="1" applyFill="1" applyBorder="1" applyAlignment="1">
      <alignment horizontal="center" vertical="center"/>
    </xf>
    <xf numFmtId="165" fontId="0" fillId="13" borderId="12" xfId="0" applyNumberForma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18" borderId="10" xfId="0" applyNumberFormat="1" applyFill="1" applyBorder="1" applyAlignment="1">
      <alignment horizontal="center" vertical="center"/>
    </xf>
  </cellXfs>
  <cellStyles count="8">
    <cellStyle name="20% - Accent5" xfId="5" builtinId="46"/>
    <cellStyle name="40% - Accent5" xfId="6" builtinId="47"/>
    <cellStyle name="Accent5" xfId="4" builtinId="45"/>
    <cellStyle name="Bun" xfId="1" builtinId="26"/>
    <cellStyle name="Hyperlink" xfId="7" builtinId="8"/>
    <cellStyle name="Ieșire" xfId="3" builtinId="21"/>
    <cellStyle name="Normal" xfId="0" builtinId="0"/>
    <cellStyle name="Notă" xfId="2" builtinId="10"/>
  </cellStyles>
  <dxfs count="0"/>
  <tableStyles count="0" defaultTableStyle="TableStyleMedium2" defaultPivotStyle="PivotStyleLight16"/>
  <colors>
    <mruColors>
      <color rgb="FF00B0F0"/>
      <color rgb="FF0048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247650</xdr:colOff>
      <xdr:row>0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190500</xdr:colOff>
      <xdr:row>0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5</xdr:row>
      <xdr:rowOff>0</xdr:rowOff>
    </xdr:from>
    <xdr:ext cx="133350" cy="180975"/>
    <xdr:pic>
      <xdr:nvPicPr>
        <xdr:cNvPr id="19" name="Picture 18" descr="http://mg.rrv.ro/RConCil_html/Exemple/Ex.2.2%20Parametri%20cinetostatici_files/image004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17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</xdr:row>
      <xdr:rowOff>0</xdr:rowOff>
    </xdr:from>
    <xdr:ext cx="133350" cy="180975"/>
    <xdr:pic>
      <xdr:nvPicPr>
        <xdr:cNvPr id="20" name="Picture 19" descr="http://mg.rrv.ro/RConCil_html/Exemple/Ex.2.2%20Parametri%20cinetostatici_files/image006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817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</xdr:row>
      <xdr:rowOff>0</xdr:rowOff>
    </xdr:from>
    <xdr:ext cx="161925" cy="180975"/>
    <xdr:pic>
      <xdr:nvPicPr>
        <xdr:cNvPr id="21" name="Picture 20" descr="http://mg.rrv.ro/RConCil_html/Exemple/Ex.2.2%20Parametri%20cinetostatici_files/image008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817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</xdr:row>
      <xdr:rowOff>0</xdr:rowOff>
    </xdr:from>
    <xdr:ext cx="161925" cy="180975"/>
    <xdr:pic>
      <xdr:nvPicPr>
        <xdr:cNvPr id="22" name="Picture 21" descr="http://mg.rrv.ro/RConCil_html/Exemple/Ex.2.2%20Parametri%20cinetostatici_files/image010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3817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323850" cy="180975"/>
    <xdr:pic>
      <xdr:nvPicPr>
        <xdr:cNvPr id="23" name="Picture 22" descr="http://mg.rrv.ro/RConCil_html/Exemple/Ex.2.2%20Parametri%20cinetostatici_files/image012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8175"/>
          <a:ext cx="323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0</xdr:rowOff>
    </xdr:from>
    <xdr:ext cx="323850" cy="180975"/>
    <xdr:pic>
      <xdr:nvPicPr>
        <xdr:cNvPr id="24" name="Picture 23" descr="http://mg.rrv.ro/RConCil_html/Exemple/Ex.2.2%20Parametri%20cinetostatici_files/image014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38175"/>
          <a:ext cx="323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</xdr:row>
      <xdr:rowOff>0</xdr:rowOff>
    </xdr:from>
    <xdr:ext cx="371475" cy="200025"/>
    <xdr:pic>
      <xdr:nvPicPr>
        <xdr:cNvPr id="25" name="Picture 24" descr="http://mg.rrv.ro/RConCil_html/Exemple/Ex.2.2%20Parametri%20cinetostatici_files/image016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38175"/>
          <a:ext cx="3714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23</xdr:row>
      <xdr:rowOff>0</xdr:rowOff>
    </xdr:from>
    <xdr:to>
      <xdr:col>8</xdr:col>
      <xdr:colOff>396875</xdr:colOff>
      <xdr:row>23</xdr:row>
      <xdr:rowOff>209550</xdr:rowOff>
    </xdr:to>
    <xdr:pic>
      <xdr:nvPicPr>
        <xdr:cNvPr id="30" name="Picture 29" descr="http://mg.rrv.ro/RConCil_html/Exemple/Ex.3.2.1%20Determinarea%20modulului%20frontal%20exterior%20al%20rotilor%20conice_files/image002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497050"/>
          <a:ext cx="390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0</xdr:colOff>
      <xdr:row>44</xdr:row>
      <xdr:rowOff>0</xdr:rowOff>
    </xdr:from>
    <xdr:ext cx="390525" cy="209550"/>
    <xdr:pic>
      <xdr:nvPicPr>
        <xdr:cNvPr id="33" name="Picture 32" descr="http://mg.rrv.ro/RConCil_html/Exemple/Ex.3.2.1%20Determinarea%20modulului%20frontal%20exterior%20al%20rotilor%20conice_files/image002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8639175"/>
          <a:ext cx="390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5"/>
  <sheetViews>
    <sheetView tabSelected="1" zoomScale="70" zoomScaleNormal="70" workbookViewId="0">
      <selection activeCell="D12" sqref="D12"/>
    </sheetView>
  </sheetViews>
  <sheetFormatPr defaultRowHeight="15" x14ac:dyDescent="0.25"/>
  <cols>
    <col min="1" max="1" width="25.140625" style="11" customWidth="1"/>
    <col min="2" max="2" width="20.5703125" style="11" customWidth="1"/>
    <col min="3" max="3" width="20.140625" style="11" customWidth="1"/>
    <col min="4" max="4" width="13.140625" style="11" customWidth="1"/>
    <col min="5" max="5" width="25.5703125" style="11" customWidth="1"/>
    <col min="6" max="6" width="22" style="11" customWidth="1"/>
    <col min="7" max="7" width="28.42578125" style="11" customWidth="1"/>
    <col min="8" max="8" width="20" style="11" customWidth="1"/>
    <col min="9" max="9" width="24.7109375" style="11" customWidth="1"/>
    <col min="10" max="10" width="23" style="11" customWidth="1"/>
    <col min="11" max="11" width="13.140625" style="11" bestFit="1" customWidth="1"/>
    <col min="12" max="12" width="22.42578125" style="11" customWidth="1"/>
    <col min="13" max="13" width="18.7109375" style="11" customWidth="1"/>
    <col min="14" max="14" width="18.42578125" style="11" customWidth="1"/>
    <col min="15" max="15" width="19.5703125" style="11" customWidth="1"/>
    <col min="16" max="16" width="17.42578125" style="11" customWidth="1"/>
    <col min="17" max="17" width="27" style="11" customWidth="1"/>
    <col min="18" max="18" width="15.28515625" style="11" customWidth="1"/>
    <col min="19" max="19" width="10.140625" style="11" hidden="1" customWidth="1"/>
    <col min="20" max="20" width="22.42578125" style="11" customWidth="1"/>
    <col min="21" max="21" width="11.28515625" style="11" customWidth="1"/>
    <col min="22" max="22" width="9.140625" style="11" hidden="1" customWidth="1"/>
    <col min="23" max="23" width="41.85546875" style="11" customWidth="1"/>
    <col min="24" max="16384" width="9.140625" style="11"/>
  </cols>
  <sheetData>
    <row r="1" spans="1:22" x14ac:dyDescent="0.25">
      <c r="A1" s="6" t="s">
        <v>63</v>
      </c>
      <c r="B1" s="7" t="s">
        <v>64</v>
      </c>
      <c r="C1" s="90" t="s">
        <v>65</v>
      </c>
      <c r="D1" s="7" t="s">
        <v>66</v>
      </c>
      <c r="E1" s="90" t="s">
        <v>3</v>
      </c>
      <c r="F1" s="90" t="s">
        <v>4</v>
      </c>
      <c r="G1" s="90" t="s">
        <v>5</v>
      </c>
      <c r="H1" s="90"/>
      <c r="I1" s="90"/>
    </row>
    <row r="2" spans="1:22" ht="15.75" thickBot="1" x14ac:dyDescent="0.3">
      <c r="A2" s="8" t="s">
        <v>0</v>
      </c>
      <c r="B2" s="5" t="s">
        <v>1</v>
      </c>
      <c r="C2" s="91"/>
      <c r="D2" s="5" t="s">
        <v>2</v>
      </c>
      <c r="E2" s="91"/>
      <c r="F2" s="91"/>
      <c r="G2" s="91"/>
      <c r="H2" s="91"/>
      <c r="I2" s="91"/>
    </row>
    <row r="3" spans="1:22" ht="15.75" thickBot="1" x14ac:dyDescent="0.3">
      <c r="A3" s="9">
        <v>54</v>
      </c>
      <c r="B3" s="10">
        <v>2500</v>
      </c>
      <c r="C3" s="10">
        <v>18</v>
      </c>
      <c r="D3" s="10">
        <v>9000</v>
      </c>
      <c r="E3" s="10" t="s">
        <v>6</v>
      </c>
      <c r="F3" s="10" t="s">
        <v>7</v>
      </c>
      <c r="G3" s="10" t="s">
        <v>8</v>
      </c>
      <c r="H3" s="10">
        <v>17</v>
      </c>
      <c r="I3" s="10">
        <v>16</v>
      </c>
    </row>
    <row r="4" spans="1:22" ht="16.5" thickBot="1" x14ac:dyDescent="0.3">
      <c r="A4" s="13"/>
      <c r="B4" s="1"/>
      <c r="C4" s="2"/>
      <c r="D4" s="2"/>
      <c r="E4" s="2"/>
      <c r="F4" s="2"/>
      <c r="G4" s="2"/>
      <c r="H4" s="2"/>
      <c r="I4" s="2"/>
    </row>
    <row r="6" spans="1:22" ht="19.5" thickBot="1" x14ac:dyDescent="0.3">
      <c r="A6" s="13" t="s">
        <v>9</v>
      </c>
      <c r="B6" s="1"/>
      <c r="C6" s="2"/>
      <c r="D6" s="2"/>
      <c r="E6" s="2"/>
      <c r="F6" s="2"/>
      <c r="G6" s="2"/>
      <c r="H6" s="2"/>
      <c r="I6" s="2" t="s">
        <v>10</v>
      </c>
    </row>
    <row r="7" spans="1:22" x14ac:dyDescent="0.25">
      <c r="A7" s="11">
        <f>1.09*SQRT(C3)</f>
        <v>4.6244783489600207</v>
      </c>
      <c r="B7" s="11">
        <f>H3</f>
        <v>17</v>
      </c>
      <c r="C7" s="11">
        <v>78</v>
      </c>
      <c r="D7" s="11">
        <v>16</v>
      </c>
      <c r="E7" s="11">
        <v>62</v>
      </c>
      <c r="F7" s="11">
        <f>C7/B7</f>
        <v>4.5882352941176467</v>
      </c>
      <c r="G7" s="11">
        <f>E7/D7</f>
        <v>3.875</v>
      </c>
      <c r="H7" s="11">
        <f>F7*G7</f>
        <v>17.77941176470588</v>
      </c>
      <c r="I7" s="11">
        <f>(C3-H7)/C3*100</f>
        <v>1.2254901960784417</v>
      </c>
    </row>
    <row r="8" spans="1:22" ht="15.75" thickBot="1" x14ac:dyDescent="0.3"/>
    <row r="9" spans="1:22" ht="63.75" customHeight="1" thickBot="1" x14ac:dyDescent="0.3">
      <c r="A9" s="3" t="s">
        <v>11</v>
      </c>
      <c r="B9" s="4" t="s">
        <v>12</v>
      </c>
      <c r="C9" s="4" t="s">
        <v>13</v>
      </c>
      <c r="D9" s="4" t="s">
        <v>14</v>
      </c>
      <c r="G9" s="14" t="s">
        <v>18</v>
      </c>
      <c r="H9" s="14" t="s">
        <v>19</v>
      </c>
    </row>
    <row r="10" spans="1:22" ht="19.5" thickBot="1" x14ac:dyDescent="0.3">
      <c r="A10" s="1" t="s">
        <v>15</v>
      </c>
      <c r="B10" s="2">
        <f>A3</f>
        <v>54</v>
      </c>
      <c r="C10" s="2">
        <f>B3</f>
        <v>2500</v>
      </c>
      <c r="D10" s="2">
        <f>30*10^6*B10/PI()/C10</f>
        <v>206264.80624709636</v>
      </c>
      <c r="G10" s="12">
        <v>0.93</v>
      </c>
      <c r="H10" s="12">
        <v>0.94</v>
      </c>
    </row>
    <row r="11" spans="1:22" ht="19.5" thickBot="1" x14ac:dyDescent="0.3">
      <c r="A11" s="1" t="s">
        <v>16</v>
      </c>
      <c r="B11" s="2">
        <f>G10*B10</f>
        <v>50.220000000000006</v>
      </c>
      <c r="C11" s="2">
        <f>C10/F7</f>
        <v>544.87179487179492</v>
      </c>
      <c r="D11" s="2">
        <f>D10*F7*G10</f>
        <v>880144.06148025708</v>
      </c>
    </row>
    <row r="12" spans="1:22" ht="19.5" thickBot="1" x14ac:dyDescent="0.3">
      <c r="A12" s="1" t="s">
        <v>17</v>
      </c>
      <c r="B12" s="2">
        <f>G10*H10*B10</f>
        <v>47.206800000000001</v>
      </c>
      <c r="C12" s="2">
        <f>C10/F7/G7</f>
        <v>140.61207609594709</v>
      </c>
      <c r="D12" s="2">
        <f>D10*H7*G10*H10</f>
        <v>3205924.7439418361</v>
      </c>
    </row>
    <row r="13" spans="1:22" ht="15.75" thickBot="1" x14ac:dyDescent="0.3"/>
    <row r="14" spans="1:22" ht="51" thickBot="1" x14ac:dyDescent="0.3">
      <c r="A14" s="30" t="s">
        <v>20</v>
      </c>
      <c r="B14" s="31" t="s">
        <v>21</v>
      </c>
      <c r="C14" s="31" t="s">
        <v>22</v>
      </c>
      <c r="D14" s="31" t="s">
        <v>23</v>
      </c>
      <c r="E14" s="31" t="s">
        <v>26</v>
      </c>
      <c r="F14" s="31" t="s">
        <v>27</v>
      </c>
      <c r="G14" s="31" t="s">
        <v>24</v>
      </c>
      <c r="H14" s="31" t="s">
        <v>25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ht="63.75" thickBot="1" x14ac:dyDescent="0.3">
      <c r="A15" s="24" t="s">
        <v>120</v>
      </c>
      <c r="B15" s="21">
        <v>850</v>
      </c>
      <c r="C15" s="21">
        <v>1100</v>
      </c>
      <c r="D15" s="21" t="s">
        <v>121</v>
      </c>
      <c r="E15" s="21">
        <v>63</v>
      </c>
      <c r="F15" s="21">
        <v>350</v>
      </c>
      <c r="G15" s="21">
        <v>1606.5</v>
      </c>
      <c r="H15" s="21">
        <v>460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x14ac:dyDescent="0.25">
      <c r="A16" s="84" t="s">
        <v>92</v>
      </c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</row>
    <row r="17" spans="1:22" ht="30.75" customHeight="1" x14ac:dyDescent="0.25">
      <c r="A17" s="15"/>
      <c r="B17" s="15"/>
      <c r="C17" s="15"/>
      <c r="D17" s="15"/>
      <c r="E17" s="15"/>
      <c r="F17" s="83" t="s">
        <v>69</v>
      </c>
      <c r="G17" s="83"/>
      <c r="H17" s="83"/>
      <c r="I17" s="83"/>
      <c r="J17" s="83" t="s">
        <v>78</v>
      </c>
      <c r="K17" s="83"/>
      <c r="L17" s="83"/>
      <c r="M17" s="83"/>
      <c r="N17" s="15"/>
      <c r="O17" s="15"/>
      <c r="P17" s="15"/>
      <c r="Q17" s="15"/>
      <c r="R17" s="15"/>
      <c r="S17" s="32"/>
      <c r="T17" s="15"/>
      <c r="U17" s="15"/>
      <c r="V17" s="15"/>
    </row>
    <row r="18" spans="1:22" ht="32.25" thickBot="1" x14ac:dyDescent="0.3">
      <c r="A18" s="16"/>
      <c r="B18" s="17" t="s">
        <v>28</v>
      </c>
      <c r="C18" s="17" t="s">
        <v>29</v>
      </c>
      <c r="D18" s="17" t="s">
        <v>30</v>
      </c>
      <c r="E18" s="15"/>
      <c r="F18" s="17"/>
      <c r="G18" s="17" t="s">
        <v>28</v>
      </c>
      <c r="H18" s="17" t="s">
        <v>29</v>
      </c>
      <c r="I18" s="17" t="s">
        <v>30</v>
      </c>
      <c r="J18" s="18"/>
      <c r="K18" s="19" t="s">
        <v>28</v>
      </c>
      <c r="L18" s="19" t="s">
        <v>29</v>
      </c>
      <c r="M18" s="19"/>
      <c r="N18" s="15"/>
      <c r="O18" s="86" t="s">
        <v>91</v>
      </c>
      <c r="P18" s="86"/>
      <c r="Q18" s="15"/>
      <c r="R18" s="15"/>
      <c r="S18" s="15"/>
      <c r="T18" s="15"/>
      <c r="U18" s="15"/>
      <c r="V18" s="15"/>
    </row>
    <row r="19" spans="1:22" ht="19.5" thickBot="1" x14ac:dyDescent="0.3">
      <c r="A19" s="16"/>
      <c r="B19" s="17" t="s">
        <v>31</v>
      </c>
      <c r="C19" s="17">
        <f>F7</f>
        <v>4.5882352941176467</v>
      </c>
      <c r="D19" s="17" t="s">
        <v>32</v>
      </c>
      <c r="E19" s="15"/>
      <c r="F19" s="16"/>
      <c r="G19" s="17" t="s">
        <v>47</v>
      </c>
      <c r="H19" s="17">
        <v>1.5</v>
      </c>
      <c r="I19" s="17"/>
      <c r="J19" s="20"/>
      <c r="K19" s="21" t="s">
        <v>47</v>
      </c>
      <c r="L19" s="21">
        <v>1.5</v>
      </c>
      <c r="M19" s="21"/>
      <c r="N19" s="15"/>
      <c r="O19" s="33" t="s">
        <v>94</v>
      </c>
      <c r="P19" s="33">
        <f>180/PI()*ATAN(B7/C7)</f>
        <v>12.295266422998148</v>
      </c>
      <c r="Q19" s="15"/>
      <c r="R19" s="15"/>
      <c r="S19" s="15"/>
      <c r="T19" s="15"/>
      <c r="U19" s="15"/>
      <c r="V19" s="15"/>
    </row>
    <row r="20" spans="1:22" ht="19.5" thickBot="1" x14ac:dyDescent="0.3">
      <c r="A20" s="16"/>
      <c r="B20" s="17" t="s">
        <v>33</v>
      </c>
      <c r="C20" s="17">
        <v>17</v>
      </c>
      <c r="D20" s="17" t="s">
        <v>32</v>
      </c>
      <c r="E20" s="15"/>
      <c r="F20" s="16"/>
      <c r="G20" s="17" t="s">
        <v>48</v>
      </c>
      <c r="H20" s="17">
        <v>1.1499999999999999</v>
      </c>
      <c r="I20" s="17"/>
      <c r="J20" s="20"/>
      <c r="K20" s="21" t="s">
        <v>48</v>
      </c>
      <c r="L20" s="21">
        <v>1.1499999999999999</v>
      </c>
      <c r="M20" s="21"/>
      <c r="N20" s="15"/>
      <c r="O20" s="33" t="s">
        <v>81</v>
      </c>
      <c r="P20" s="33">
        <v>4.0208632527186703</v>
      </c>
      <c r="Q20" s="15"/>
      <c r="R20" s="15"/>
      <c r="S20" s="15"/>
      <c r="T20" s="15"/>
      <c r="U20" s="15"/>
      <c r="V20" s="15"/>
    </row>
    <row r="21" spans="1:22" ht="20.25" customHeight="1" thickBot="1" x14ac:dyDescent="0.3">
      <c r="A21" s="16"/>
      <c r="B21" s="17" t="s">
        <v>34</v>
      </c>
      <c r="C21" s="21">
        <f>D$10</f>
        <v>206264.80624709636</v>
      </c>
      <c r="D21" s="17" t="s">
        <v>35</v>
      </c>
      <c r="E21" s="15"/>
      <c r="F21" s="16"/>
      <c r="G21" s="22" t="s">
        <v>49</v>
      </c>
      <c r="H21" s="17">
        <v>0.5</v>
      </c>
      <c r="I21" s="17"/>
      <c r="J21" s="20"/>
      <c r="K21" s="23" t="s">
        <v>49</v>
      </c>
      <c r="L21" s="21">
        <v>0.5</v>
      </c>
      <c r="M21" s="21"/>
      <c r="N21" s="15"/>
      <c r="O21" s="33" t="s">
        <v>82</v>
      </c>
      <c r="P21" s="33">
        <v>38.25</v>
      </c>
      <c r="Q21" s="15"/>
      <c r="R21" s="15"/>
      <c r="S21" s="15"/>
      <c r="T21" s="15"/>
      <c r="U21" s="15"/>
      <c r="V21" s="15"/>
    </row>
    <row r="22" spans="1:22" ht="19.5" thickBot="1" x14ac:dyDescent="0.3">
      <c r="A22" s="16"/>
      <c r="B22" s="17" t="s">
        <v>36</v>
      </c>
      <c r="C22" s="17">
        <f>C10</f>
        <v>2500</v>
      </c>
      <c r="D22" s="17" t="s">
        <v>37</v>
      </c>
      <c r="E22" s="15"/>
      <c r="F22" s="16"/>
      <c r="G22" s="17" t="s">
        <v>50</v>
      </c>
      <c r="H22" s="17">
        <v>1.5</v>
      </c>
      <c r="I22" s="17"/>
      <c r="J22" s="20"/>
      <c r="K22" s="21" t="s">
        <v>70</v>
      </c>
      <c r="L22" s="21">
        <v>1.45</v>
      </c>
      <c r="M22" s="21"/>
      <c r="N22" s="15"/>
      <c r="O22" s="33" t="s">
        <v>83</v>
      </c>
      <c r="P22" s="33">
        <v>89.809955600701599</v>
      </c>
      <c r="Q22" s="15"/>
      <c r="R22" s="15"/>
      <c r="S22" s="15"/>
      <c r="T22" s="15"/>
      <c r="U22" s="15"/>
      <c r="V22" s="15"/>
    </row>
    <row r="23" spans="1:22" ht="19.5" customHeight="1" thickBot="1" x14ac:dyDescent="0.3">
      <c r="A23" s="16"/>
      <c r="B23" s="17" t="s">
        <v>38</v>
      </c>
      <c r="C23" s="17">
        <f>D3</f>
        <v>9000</v>
      </c>
      <c r="D23" s="17" t="s">
        <v>39</v>
      </c>
      <c r="E23" s="15"/>
      <c r="F23" s="16"/>
      <c r="G23" s="17" t="s">
        <v>51</v>
      </c>
      <c r="H23" s="17">
        <v>1.4</v>
      </c>
      <c r="I23" s="17"/>
      <c r="J23" s="20"/>
      <c r="K23" s="21" t="s">
        <v>71</v>
      </c>
      <c r="L23" s="21">
        <v>1.35</v>
      </c>
      <c r="M23" s="21"/>
      <c r="N23" s="15"/>
      <c r="O23" s="33" t="s">
        <v>84</v>
      </c>
      <c r="P23" s="33">
        <v>36.239568373640601</v>
      </c>
      <c r="Q23" s="15"/>
      <c r="R23" s="15"/>
      <c r="S23" s="15"/>
      <c r="T23" s="15"/>
      <c r="U23" s="15"/>
      <c r="V23" s="15"/>
    </row>
    <row r="24" spans="1:22" ht="19.5" thickBot="1" x14ac:dyDescent="0.3">
      <c r="A24" s="16"/>
      <c r="B24" s="17" t="s">
        <v>40</v>
      </c>
      <c r="C24" s="17">
        <f>G15</f>
        <v>1606.5</v>
      </c>
      <c r="D24" s="17" t="s">
        <v>41</v>
      </c>
      <c r="E24" s="15"/>
      <c r="F24" s="16"/>
      <c r="G24" s="17" t="s">
        <v>52</v>
      </c>
      <c r="H24" s="17">
        <v>190</v>
      </c>
      <c r="I24" s="17"/>
      <c r="J24" s="20"/>
      <c r="K24" s="21" t="s">
        <v>72</v>
      </c>
      <c r="L24" s="21">
        <v>1.5</v>
      </c>
      <c r="M24" s="21"/>
      <c r="N24" s="15"/>
      <c r="O24" s="33" t="s">
        <v>85</v>
      </c>
      <c r="P24" s="33">
        <v>76.5</v>
      </c>
      <c r="Q24" s="15"/>
      <c r="R24" s="15"/>
      <c r="S24" s="15"/>
      <c r="T24" s="15"/>
      <c r="U24" s="15"/>
      <c r="V24" s="15"/>
    </row>
    <row r="25" spans="1:22" ht="19.5" thickBot="1" x14ac:dyDescent="0.3">
      <c r="A25" s="16"/>
      <c r="B25" s="17" t="s">
        <v>42</v>
      </c>
      <c r="C25" s="17">
        <f>H15</f>
        <v>460</v>
      </c>
      <c r="D25" s="17" t="s">
        <v>41</v>
      </c>
      <c r="E25" s="15"/>
      <c r="F25" s="16"/>
      <c r="G25" s="17" t="s">
        <v>53</v>
      </c>
      <c r="H25" s="17">
        <f>2.25</f>
        <v>2.25</v>
      </c>
      <c r="I25" s="17"/>
      <c r="J25" s="20"/>
      <c r="K25" s="21" t="s">
        <v>73</v>
      </c>
      <c r="L25" s="21">
        <v>1.8</v>
      </c>
      <c r="M25" s="21"/>
      <c r="N25" s="15"/>
      <c r="O25" s="33" t="s">
        <v>86</v>
      </c>
      <c r="P25" s="33">
        <v>351</v>
      </c>
      <c r="Q25" s="15"/>
      <c r="R25" s="15"/>
      <c r="S25" s="15"/>
      <c r="T25" s="15"/>
      <c r="U25" s="15"/>
      <c r="V25" s="15"/>
    </row>
    <row r="26" spans="1:22" ht="19.5" thickBot="1" x14ac:dyDescent="0.3">
      <c r="A26" s="16"/>
      <c r="B26" s="17" t="s">
        <v>43</v>
      </c>
      <c r="C26" s="17">
        <v>90</v>
      </c>
      <c r="D26" s="26" t="s">
        <v>44</v>
      </c>
      <c r="E26" s="15"/>
      <c r="F26" s="16"/>
      <c r="G26" s="17" t="s">
        <v>54</v>
      </c>
      <c r="H26" s="17">
        <v>0.92</v>
      </c>
      <c r="I26" s="17"/>
      <c r="J26" s="20"/>
      <c r="K26" s="21" t="s">
        <v>74</v>
      </c>
      <c r="L26" s="21">
        <v>3.2</v>
      </c>
      <c r="M26" s="21"/>
      <c r="N26" s="15"/>
      <c r="O26" s="33" t="s">
        <v>87</v>
      </c>
      <c r="P26" s="33">
        <v>68.354675296217493</v>
      </c>
      <c r="Q26" s="15"/>
      <c r="R26" s="15"/>
      <c r="S26" s="15"/>
      <c r="T26" s="15"/>
      <c r="U26" s="15"/>
      <c r="V26" s="15"/>
    </row>
    <row r="27" spans="1:22" ht="19.5" thickBot="1" x14ac:dyDescent="0.3">
      <c r="A27" s="16"/>
      <c r="B27" s="17" t="s">
        <v>45</v>
      </c>
      <c r="C27" s="17">
        <v>35</v>
      </c>
      <c r="D27" s="26" t="s">
        <v>46</v>
      </c>
      <c r="E27" s="15"/>
      <c r="F27" s="16"/>
      <c r="G27" s="17" t="s">
        <v>55</v>
      </c>
      <c r="H27" s="17">
        <f>SQRT(COS(C27*PI()/180))</f>
        <v>0.90507018749320867</v>
      </c>
      <c r="I27" s="17"/>
      <c r="J27" s="20"/>
      <c r="K27" s="21" t="s">
        <v>75</v>
      </c>
      <c r="L27" s="21">
        <v>2.6</v>
      </c>
      <c r="M27" s="21"/>
      <c r="N27" s="15"/>
      <c r="O27" s="33" t="s">
        <v>88</v>
      </c>
      <c r="P27" s="33">
        <v>313.62733371205599</v>
      </c>
      <c r="Q27" s="15"/>
      <c r="R27" s="15"/>
      <c r="S27" s="15"/>
      <c r="T27" s="15"/>
      <c r="U27" s="15"/>
      <c r="V27" s="15"/>
    </row>
    <row r="28" spans="1:22" ht="20.25" thickBot="1" x14ac:dyDescent="0.3">
      <c r="A28" s="21"/>
      <c r="B28" s="27" t="s">
        <v>67</v>
      </c>
      <c r="C28" s="21">
        <f>180/PI()*ATAN(SIN(C26*PI()/180)/(C19-COS(C26*PI()/180)))</f>
        <v>12.295266422998148</v>
      </c>
      <c r="D28" s="28" t="s">
        <v>46</v>
      </c>
      <c r="E28" s="15"/>
      <c r="F28" s="16"/>
      <c r="G28" s="22" t="s">
        <v>56</v>
      </c>
      <c r="H28" s="17">
        <v>1.5</v>
      </c>
      <c r="I28" s="17"/>
      <c r="J28" s="20"/>
      <c r="K28" s="21" t="s">
        <v>76</v>
      </c>
      <c r="L28" s="21">
        <v>0.8</v>
      </c>
      <c r="M28" s="21"/>
      <c r="N28" s="15"/>
      <c r="O28" s="33" t="s">
        <v>89</v>
      </c>
      <c r="P28" s="33">
        <v>152.4</v>
      </c>
      <c r="Q28" s="15"/>
      <c r="R28" s="15"/>
      <c r="S28" s="15"/>
      <c r="T28" s="15"/>
      <c r="U28" s="15"/>
      <c r="V28" s="15"/>
    </row>
    <row r="29" spans="1:22" ht="19.5" thickBot="1" x14ac:dyDescent="0.3">
      <c r="A29" s="92" t="s">
        <v>59</v>
      </c>
      <c r="B29" s="92"/>
      <c r="C29" s="92"/>
      <c r="D29" s="92"/>
      <c r="E29" s="15"/>
      <c r="F29" s="16"/>
      <c r="G29" s="29" t="s">
        <v>57</v>
      </c>
      <c r="H29" s="17">
        <v>1</v>
      </c>
      <c r="I29" s="17"/>
      <c r="J29" s="20"/>
      <c r="K29" s="21" t="s">
        <v>77</v>
      </c>
      <c r="L29" s="21">
        <v>0.9</v>
      </c>
      <c r="M29" s="21"/>
      <c r="N29" s="15"/>
      <c r="O29" s="33" t="s">
        <v>90</v>
      </c>
      <c r="P29" s="33">
        <v>46.452020638264003</v>
      </c>
      <c r="Q29" s="15"/>
      <c r="R29" s="15"/>
      <c r="S29" s="15"/>
      <c r="T29" s="15"/>
      <c r="U29" s="15"/>
      <c r="V29" s="15"/>
    </row>
    <row r="30" spans="1:22" ht="20.25" thickBot="1" x14ac:dyDescent="0.35">
      <c r="A30" s="35" t="s">
        <v>60</v>
      </c>
      <c r="B30" s="34">
        <f>5*10^7</f>
        <v>50000000</v>
      </c>
      <c r="C30" s="34"/>
      <c r="D30" s="34"/>
      <c r="E30" s="15"/>
      <c r="F30" s="16"/>
      <c r="G30" s="22" t="s">
        <v>58</v>
      </c>
      <c r="H30" s="17">
        <f>C44*G50/G49</f>
        <v>1071</v>
      </c>
      <c r="I30" s="17" t="s">
        <v>41</v>
      </c>
      <c r="J30" s="20"/>
      <c r="K30" s="23" t="s">
        <v>56</v>
      </c>
      <c r="L30" s="21">
        <v>1.5</v>
      </c>
      <c r="M30" s="21"/>
      <c r="N30" s="15"/>
      <c r="O30" s="36" t="s">
        <v>133</v>
      </c>
      <c r="P30" s="36">
        <v>4.5</v>
      </c>
      <c r="Q30" s="15"/>
      <c r="R30" s="15"/>
      <c r="S30" s="15"/>
      <c r="T30" s="15"/>
      <c r="U30" s="15"/>
      <c r="V30" s="15"/>
    </row>
    <row r="31" spans="1:22" ht="30.75" thickBot="1" x14ac:dyDescent="0.35">
      <c r="A31" s="35" t="s">
        <v>61</v>
      </c>
      <c r="B31" s="34">
        <f>60*D3*C10</f>
        <v>1350000000</v>
      </c>
      <c r="C31" s="34">
        <f>60*D3*C11</f>
        <v>294230769.23076928</v>
      </c>
      <c r="D31" s="34"/>
      <c r="E31" s="15"/>
      <c r="F31" s="15"/>
      <c r="G31" s="37" t="s">
        <v>123</v>
      </c>
      <c r="H31" s="15">
        <v>4.4331019999999999</v>
      </c>
      <c r="I31" s="15"/>
      <c r="J31" s="20"/>
      <c r="K31" s="25" t="s">
        <v>57</v>
      </c>
      <c r="L31" s="21">
        <v>1</v>
      </c>
      <c r="M31" s="21"/>
      <c r="N31" s="15"/>
      <c r="O31" s="36" t="s">
        <v>134</v>
      </c>
      <c r="P31" s="36">
        <v>152.4</v>
      </c>
      <c r="Q31" s="15"/>
      <c r="R31" s="15"/>
      <c r="S31" s="15"/>
      <c r="T31" s="15"/>
      <c r="U31" s="15"/>
      <c r="V31" s="15"/>
    </row>
    <row r="32" spans="1:22" ht="20.25" thickBot="1" x14ac:dyDescent="0.3">
      <c r="A32" s="35" t="s">
        <v>62</v>
      </c>
      <c r="B32" s="34">
        <f>60*D3*C11/F7</f>
        <v>64127218.934911259</v>
      </c>
      <c r="C32" s="34">
        <f>60*D3*C11/H59</f>
        <v>75930521.091811433</v>
      </c>
      <c r="D32" s="34"/>
      <c r="E32" s="15"/>
      <c r="F32" s="15"/>
      <c r="G32" s="15" t="s">
        <v>122</v>
      </c>
      <c r="H32" s="15"/>
      <c r="I32" s="15"/>
      <c r="J32" s="20"/>
      <c r="K32" s="23" t="s">
        <v>79</v>
      </c>
      <c r="L32" s="21">
        <f>H$15*L$31*2/L$30</f>
        <v>613.33333333333337</v>
      </c>
      <c r="M32" s="21" t="s">
        <v>41</v>
      </c>
      <c r="N32" s="15"/>
      <c r="O32" s="15"/>
      <c r="P32" s="15"/>
      <c r="Q32" s="15"/>
      <c r="R32" s="15"/>
      <c r="S32" s="15"/>
      <c r="T32" s="15"/>
      <c r="U32" s="15"/>
      <c r="V32" s="15"/>
    </row>
    <row r="33" spans="1:22" ht="20.25" thickBot="1" x14ac:dyDescent="0.3">
      <c r="A33" s="38" t="s">
        <v>57</v>
      </c>
      <c r="B33" s="34">
        <f>IF(A31&gt;=A30,1,POWER(B30/B31,1/9))</f>
        <v>1</v>
      </c>
      <c r="C33" s="34"/>
      <c r="D33" s="34"/>
      <c r="E33" s="15"/>
      <c r="F33" s="15"/>
      <c r="G33" s="15"/>
      <c r="H33" s="15"/>
      <c r="I33" s="15"/>
      <c r="J33" s="20"/>
      <c r="K33" s="23" t="s">
        <v>80</v>
      </c>
      <c r="L33" s="21">
        <f>H$15*L$31*2/L$30</f>
        <v>613.33333333333337</v>
      </c>
      <c r="M33" s="21" t="s">
        <v>41</v>
      </c>
      <c r="N33" s="15"/>
      <c r="O33" s="15"/>
      <c r="P33" s="15"/>
      <c r="Q33" s="15"/>
      <c r="R33" s="15"/>
      <c r="S33" s="15"/>
      <c r="T33" s="15"/>
      <c r="U33" s="15"/>
      <c r="V33" s="15"/>
    </row>
    <row r="34" spans="1:22" ht="18.75" x14ac:dyDescent="0.25">
      <c r="A34" s="35" t="s">
        <v>68</v>
      </c>
      <c r="B34" s="34">
        <v>1</v>
      </c>
      <c r="C34" s="34"/>
      <c r="D34" s="34"/>
      <c r="E34" s="15"/>
      <c r="F34" s="15"/>
      <c r="G34" s="15"/>
      <c r="H34" s="15"/>
      <c r="I34" s="15"/>
      <c r="J34" s="15"/>
      <c r="K34" s="15" t="s">
        <v>131</v>
      </c>
      <c r="L34" s="15">
        <v>4.3630699999999996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7" spans="1:22" x14ac:dyDescent="0.25">
      <c r="A37" s="85" t="s">
        <v>93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39"/>
      <c r="T37" s="39"/>
      <c r="U37" s="39"/>
      <c r="V37" s="39"/>
    </row>
    <row r="38" spans="1:22" ht="32.25" thickBot="1" x14ac:dyDescent="0.3">
      <c r="A38" s="40"/>
      <c r="B38" s="41" t="s">
        <v>28</v>
      </c>
      <c r="C38" s="41" t="s">
        <v>29</v>
      </c>
      <c r="D38" s="41" t="s">
        <v>30</v>
      </c>
      <c r="E38" s="82" t="s">
        <v>69</v>
      </c>
      <c r="F38" s="82"/>
      <c r="G38" s="82"/>
      <c r="H38" s="82"/>
      <c r="I38" s="82" t="s">
        <v>78</v>
      </c>
      <c r="J38" s="82"/>
      <c r="K38" s="82"/>
      <c r="L38" s="82"/>
      <c r="M38" s="87" t="s">
        <v>91</v>
      </c>
      <c r="N38" s="87"/>
      <c r="O38" s="87"/>
      <c r="P38" s="87"/>
      <c r="Q38" s="87"/>
      <c r="R38" s="39"/>
      <c r="S38" s="39"/>
      <c r="T38" s="39"/>
      <c r="U38" s="39"/>
      <c r="V38" s="39"/>
    </row>
    <row r="39" spans="1:22" ht="16.5" thickBot="1" x14ac:dyDescent="0.3">
      <c r="A39" s="40"/>
      <c r="B39" s="41" t="s">
        <v>31</v>
      </c>
      <c r="C39" s="41">
        <f>G7</f>
        <v>3.875</v>
      </c>
      <c r="D39" s="41" t="s">
        <v>32</v>
      </c>
      <c r="E39" s="41"/>
      <c r="F39" s="41" t="s">
        <v>28</v>
      </c>
      <c r="G39" s="41" t="s">
        <v>29</v>
      </c>
      <c r="H39" s="41" t="s">
        <v>30</v>
      </c>
      <c r="I39" s="42"/>
      <c r="J39" s="43" t="s">
        <v>28</v>
      </c>
      <c r="K39" s="43" t="s">
        <v>29</v>
      </c>
      <c r="L39" s="43"/>
      <c r="M39" s="44"/>
      <c r="N39" s="44" t="s">
        <v>29</v>
      </c>
      <c r="O39" s="44" t="s">
        <v>30</v>
      </c>
      <c r="P39" s="44" t="s">
        <v>95</v>
      </c>
      <c r="Q39" s="39"/>
      <c r="R39" s="39"/>
      <c r="S39" s="39"/>
      <c r="T39" s="39"/>
      <c r="U39" s="39"/>
      <c r="V39" s="39"/>
    </row>
    <row r="40" spans="1:22" ht="19.5" thickBot="1" x14ac:dyDescent="0.3">
      <c r="A40" s="40"/>
      <c r="B40" s="41" t="s">
        <v>33</v>
      </c>
      <c r="C40" s="41">
        <f>D7</f>
        <v>16</v>
      </c>
      <c r="D40" s="41" t="s">
        <v>32</v>
      </c>
      <c r="E40" s="40"/>
      <c r="F40" s="41" t="s">
        <v>47</v>
      </c>
      <c r="G40" s="41">
        <v>1</v>
      </c>
      <c r="H40" s="41"/>
      <c r="I40" s="45"/>
      <c r="J40" s="46" t="s">
        <v>47</v>
      </c>
      <c r="K40" s="46">
        <v>1</v>
      </c>
      <c r="L40" s="46"/>
      <c r="M40" s="45"/>
      <c r="N40" s="46" t="s">
        <v>132</v>
      </c>
      <c r="O40" s="46">
        <v>5.4934233529999998</v>
      </c>
      <c r="P40" s="46" t="s">
        <v>96</v>
      </c>
      <c r="Q40" s="46"/>
      <c r="R40" s="39"/>
      <c r="S40" s="39"/>
      <c r="T40" s="39"/>
      <c r="U40" s="39"/>
      <c r="V40" s="39"/>
    </row>
    <row r="41" spans="1:22" ht="19.5" thickBot="1" x14ac:dyDescent="0.3">
      <c r="A41" s="40"/>
      <c r="B41" s="41" t="s">
        <v>34</v>
      </c>
      <c r="C41" s="46">
        <f>D11</f>
        <v>880144.06148025708</v>
      </c>
      <c r="D41" s="41" t="s">
        <v>35</v>
      </c>
      <c r="E41" s="40"/>
      <c r="F41" s="41" t="s">
        <v>48</v>
      </c>
      <c r="G41" s="41">
        <v>1.1000000000000001</v>
      </c>
      <c r="H41" s="41"/>
      <c r="I41" s="45"/>
      <c r="J41" s="46" t="s">
        <v>48</v>
      </c>
      <c r="K41" s="46">
        <v>1.1000000000000001</v>
      </c>
      <c r="L41" s="46"/>
      <c r="M41" s="45"/>
      <c r="N41" s="46" t="s">
        <v>97</v>
      </c>
      <c r="O41" s="46">
        <f>O40*COS(C47*PI()/180)</f>
        <v>5.3062394914021889</v>
      </c>
      <c r="P41" s="46" t="s">
        <v>96</v>
      </c>
      <c r="Q41" s="46"/>
      <c r="R41" s="47"/>
      <c r="S41" s="47"/>
      <c r="T41" s="48"/>
      <c r="U41" s="39"/>
      <c r="V41" s="39"/>
    </row>
    <row r="42" spans="1:22" ht="20.25" thickBot="1" x14ac:dyDescent="0.3">
      <c r="A42" s="40"/>
      <c r="B42" s="41" t="s">
        <v>36</v>
      </c>
      <c r="C42" s="41">
        <f>C$11</f>
        <v>544.87179487179492</v>
      </c>
      <c r="D42" s="41" t="s">
        <v>37</v>
      </c>
      <c r="E42" s="40"/>
      <c r="F42" s="49" t="s">
        <v>49</v>
      </c>
      <c r="G42" s="41" t="s">
        <v>124</v>
      </c>
      <c r="H42" s="41"/>
      <c r="I42" s="45"/>
      <c r="J42" s="50" t="s">
        <v>49</v>
      </c>
      <c r="K42" s="46">
        <v>0.9</v>
      </c>
      <c r="L42" s="46"/>
      <c r="M42" s="51"/>
      <c r="N42" s="52" t="s">
        <v>98</v>
      </c>
      <c r="O42" s="53">
        <v>5.5</v>
      </c>
      <c r="P42" s="46" t="s">
        <v>96</v>
      </c>
      <c r="Q42" s="46"/>
      <c r="R42" s="39"/>
      <c r="S42" s="39"/>
      <c r="T42" s="39"/>
      <c r="U42" s="39"/>
      <c r="V42" s="39"/>
    </row>
    <row r="43" spans="1:22" ht="19.5" thickBot="1" x14ac:dyDescent="0.3">
      <c r="A43" s="40"/>
      <c r="B43" s="41" t="s">
        <v>38</v>
      </c>
      <c r="C43" s="41">
        <f>D$3</f>
        <v>9000</v>
      </c>
      <c r="D43" s="41" t="s">
        <v>39</v>
      </c>
      <c r="E43" s="40"/>
      <c r="F43" s="41" t="s">
        <v>50</v>
      </c>
      <c r="G43" s="41">
        <v>1.3</v>
      </c>
      <c r="H43" s="41"/>
      <c r="I43" s="45"/>
      <c r="J43" s="46" t="s">
        <v>70</v>
      </c>
      <c r="K43" s="46">
        <v>1.3</v>
      </c>
      <c r="L43" s="46"/>
      <c r="M43" s="51"/>
      <c r="N43" s="52" t="s">
        <v>99</v>
      </c>
      <c r="O43" s="52">
        <f>O42/COS(C47*PI()/180)</f>
        <v>5.6940189922554563</v>
      </c>
      <c r="P43" s="46" t="s">
        <v>96</v>
      </c>
      <c r="Q43" s="46"/>
      <c r="R43" s="39"/>
      <c r="S43" s="39"/>
      <c r="T43" s="39"/>
      <c r="U43" s="39"/>
      <c r="V43" s="39"/>
    </row>
    <row r="44" spans="1:22" ht="19.5" thickBot="1" x14ac:dyDescent="0.3">
      <c r="A44" s="40"/>
      <c r="B44" s="41" t="s">
        <v>40</v>
      </c>
      <c r="C44" s="41">
        <f>G$15</f>
        <v>1606.5</v>
      </c>
      <c r="D44" s="41" t="s">
        <v>41</v>
      </c>
      <c r="E44" s="40"/>
      <c r="F44" s="41" t="s">
        <v>51</v>
      </c>
      <c r="G44" s="41">
        <v>1.2</v>
      </c>
      <c r="H44" s="41"/>
      <c r="I44" s="45"/>
      <c r="J44" s="46" t="s">
        <v>71</v>
      </c>
      <c r="K44" s="46">
        <v>1.2</v>
      </c>
      <c r="L44" s="46"/>
      <c r="M44" s="51"/>
      <c r="N44" s="52" t="s">
        <v>100</v>
      </c>
      <c r="O44" s="52">
        <f>O43*C40</f>
        <v>91.1043038760873</v>
      </c>
      <c r="P44" s="46" t="s">
        <v>96</v>
      </c>
      <c r="Q44" s="54">
        <f>(O44+O45)/2</f>
        <v>222.06674069796281</v>
      </c>
      <c r="R44" s="39"/>
      <c r="S44" s="39"/>
      <c r="T44" s="39"/>
      <c r="U44" s="39"/>
      <c r="V44" s="39"/>
    </row>
    <row r="45" spans="1:22" ht="19.5" thickBot="1" x14ac:dyDescent="0.3">
      <c r="A45" s="40"/>
      <c r="B45" s="41" t="s">
        <v>42</v>
      </c>
      <c r="C45" s="41">
        <f>H$15</f>
        <v>460</v>
      </c>
      <c r="D45" s="41" t="s">
        <v>41</v>
      </c>
      <c r="E45" s="40"/>
      <c r="F45" s="41" t="s">
        <v>52</v>
      </c>
      <c r="G45" s="41">
        <v>190</v>
      </c>
      <c r="H45" s="41"/>
      <c r="I45" s="45"/>
      <c r="J45" s="46" t="s">
        <v>72</v>
      </c>
      <c r="K45" s="46">
        <v>1.4</v>
      </c>
      <c r="L45" s="46"/>
      <c r="M45" s="51"/>
      <c r="N45" s="52" t="s">
        <v>102</v>
      </c>
      <c r="O45" s="52">
        <f>O43*E7</f>
        <v>353.0291775198383</v>
      </c>
      <c r="P45" s="46" t="s">
        <v>96</v>
      </c>
      <c r="Q45" s="55" t="s">
        <v>101</v>
      </c>
      <c r="R45" s="39"/>
      <c r="S45" s="39"/>
      <c r="T45" s="39"/>
      <c r="U45" s="39"/>
      <c r="V45" s="39"/>
    </row>
    <row r="46" spans="1:22" ht="19.5" thickBot="1" x14ac:dyDescent="0.3">
      <c r="A46" s="40"/>
      <c r="B46" s="41" t="s">
        <v>43</v>
      </c>
      <c r="C46" s="41">
        <v>90</v>
      </c>
      <c r="D46" s="56" t="s">
        <v>44</v>
      </c>
      <c r="E46" s="40"/>
      <c r="F46" s="41" t="s">
        <v>53</v>
      </c>
      <c r="G46" s="41">
        <v>2.5</v>
      </c>
      <c r="H46" s="41"/>
      <c r="I46" s="45"/>
      <c r="J46" s="46" t="s">
        <v>73</v>
      </c>
      <c r="K46" s="46">
        <v>1.6</v>
      </c>
      <c r="L46" s="46"/>
      <c r="M46" s="51"/>
      <c r="N46" s="52" t="s">
        <v>103</v>
      </c>
      <c r="O46" s="57">
        <f>O42*(D7+E7)/(2*COS(C47*PI()/180))</f>
        <v>222.06674069796281</v>
      </c>
      <c r="P46" s="46" t="s">
        <v>96</v>
      </c>
      <c r="Q46" s="58"/>
      <c r="R46" s="39"/>
      <c r="S46" s="39"/>
      <c r="T46" s="39"/>
      <c r="U46" s="39"/>
      <c r="V46" s="39"/>
    </row>
    <row r="47" spans="1:22" ht="19.5" thickBot="1" x14ac:dyDescent="0.3">
      <c r="A47" s="40"/>
      <c r="B47" s="41" t="s">
        <v>45</v>
      </c>
      <c r="C47" s="41">
        <v>15</v>
      </c>
      <c r="D47" s="56" t="s">
        <v>46</v>
      </c>
      <c r="E47" s="40"/>
      <c r="F47" s="41" t="s">
        <v>54</v>
      </c>
      <c r="G47" s="41">
        <v>0.92</v>
      </c>
      <c r="H47" s="41"/>
      <c r="I47" s="45"/>
      <c r="J47" s="46" t="s">
        <v>74</v>
      </c>
      <c r="K47" s="46">
        <v>3.2</v>
      </c>
      <c r="L47" s="46"/>
      <c r="M47" s="51"/>
      <c r="N47" s="52" t="s">
        <v>104</v>
      </c>
      <c r="O47" s="46">
        <f>O44*0.9</f>
        <v>81.99387348847857</v>
      </c>
      <c r="P47" s="46" t="s">
        <v>96</v>
      </c>
      <c r="Q47" s="46"/>
      <c r="R47" s="39"/>
      <c r="S47" s="39"/>
      <c r="T47" s="39"/>
      <c r="U47" s="39"/>
      <c r="V47" s="39"/>
    </row>
    <row r="48" spans="1:22" ht="19.5" thickBot="1" x14ac:dyDescent="0.3">
      <c r="A48" s="46"/>
      <c r="B48" s="59"/>
      <c r="C48" s="46"/>
      <c r="D48" s="60"/>
      <c r="E48" s="40"/>
      <c r="F48" s="41" t="s">
        <v>55</v>
      </c>
      <c r="G48" s="41">
        <f>SQRT(COS(C47*PI()/180))</f>
        <v>0.98281525542141857</v>
      </c>
      <c r="H48" s="41"/>
      <c r="I48" s="45"/>
      <c r="J48" s="46" t="s">
        <v>75</v>
      </c>
      <c r="K48" s="46">
        <v>2.6</v>
      </c>
      <c r="L48" s="46"/>
      <c r="M48" s="51"/>
      <c r="N48" s="52" t="s">
        <v>105</v>
      </c>
      <c r="O48" s="46">
        <f>O47+5</f>
        <v>86.99387348847857</v>
      </c>
      <c r="P48" s="46" t="s">
        <v>96</v>
      </c>
      <c r="Q48" s="46"/>
      <c r="R48" s="39"/>
      <c r="S48" s="39"/>
      <c r="T48" s="39"/>
      <c r="U48" s="39"/>
      <c r="V48" s="39"/>
    </row>
    <row r="49" spans="1:23" ht="20.25" thickBot="1" x14ac:dyDescent="0.3">
      <c r="A49" s="39"/>
      <c r="B49" s="39"/>
      <c r="C49" s="39"/>
      <c r="D49" s="39"/>
      <c r="E49" s="40"/>
      <c r="F49" s="49" t="s">
        <v>56</v>
      </c>
      <c r="G49" s="41">
        <v>1.5</v>
      </c>
      <c r="H49" s="41"/>
      <c r="I49" s="45"/>
      <c r="J49" s="46" t="s">
        <v>76</v>
      </c>
      <c r="K49" s="46">
        <v>0.75</v>
      </c>
      <c r="L49" s="46"/>
      <c r="M49" s="39"/>
      <c r="N49" s="52"/>
      <c r="O49" s="46"/>
      <c r="P49" s="52"/>
      <c r="Q49" s="39"/>
      <c r="R49" s="39"/>
      <c r="S49" s="39"/>
      <c r="T49" s="39"/>
      <c r="U49" s="39"/>
      <c r="V49" s="39"/>
    </row>
    <row r="50" spans="1:23" ht="19.5" thickBot="1" x14ac:dyDescent="0.3">
      <c r="A50" s="39"/>
      <c r="B50" s="39"/>
      <c r="C50" s="39"/>
      <c r="D50" s="39"/>
      <c r="E50" s="40"/>
      <c r="F50" s="61" t="s">
        <v>57</v>
      </c>
      <c r="G50" s="41">
        <v>1</v>
      </c>
      <c r="H50" s="41"/>
      <c r="I50" s="45"/>
      <c r="J50" s="46" t="s">
        <v>77</v>
      </c>
      <c r="K50" s="46">
        <v>0.85</v>
      </c>
      <c r="L50" s="46"/>
      <c r="M50" s="39"/>
      <c r="N50" s="52" t="s">
        <v>113</v>
      </c>
      <c r="O50" s="46">
        <v>20</v>
      </c>
      <c r="P50" s="52" t="s">
        <v>114</v>
      </c>
      <c r="Q50" s="39"/>
      <c r="R50" s="39"/>
      <c r="S50" s="39"/>
      <c r="T50" s="39"/>
      <c r="U50" s="39"/>
      <c r="V50" s="39"/>
    </row>
    <row r="51" spans="1:23" ht="20.25" thickBot="1" x14ac:dyDescent="0.3">
      <c r="A51" s="39"/>
      <c r="B51" s="39"/>
      <c r="C51" s="39"/>
      <c r="D51" s="39"/>
      <c r="E51" s="40"/>
      <c r="F51" s="49" t="s">
        <v>58</v>
      </c>
      <c r="G51" s="41">
        <f>C44*G50/G49</f>
        <v>1071</v>
      </c>
      <c r="H51" s="41" t="s">
        <v>41</v>
      </c>
      <c r="I51" s="45"/>
      <c r="J51" s="50" t="s">
        <v>56</v>
      </c>
      <c r="K51" s="46">
        <v>1.5</v>
      </c>
      <c r="L51" s="46"/>
      <c r="M51" s="39"/>
      <c r="N51" s="62" t="s">
        <v>106</v>
      </c>
      <c r="O51" s="63">
        <v>225</v>
      </c>
      <c r="P51" s="39"/>
      <c r="Q51" s="39"/>
      <c r="R51" s="39"/>
      <c r="S51" s="39"/>
      <c r="T51" s="39"/>
      <c r="U51" s="39"/>
      <c r="V51" s="39"/>
    </row>
    <row r="52" spans="1:23" ht="19.5" thickBot="1" x14ac:dyDescent="0.3">
      <c r="A52" s="39"/>
      <c r="B52" s="39"/>
      <c r="C52" s="39"/>
      <c r="D52" s="39"/>
      <c r="E52" s="39"/>
      <c r="F52" s="39"/>
      <c r="G52" s="39"/>
      <c r="H52" s="39"/>
      <c r="I52" s="45"/>
      <c r="J52" s="52" t="s">
        <v>57</v>
      </c>
      <c r="K52" s="46">
        <v>1</v>
      </c>
      <c r="L52" s="46"/>
      <c r="M52" s="39"/>
      <c r="N52" s="39"/>
      <c r="O52" s="39"/>
      <c r="P52" s="39"/>
      <c r="Q52" s="39"/>
      <c r="R52" s="39"/>
      <c r="S52" s="39"/>
      <c r="T52" s="39"/>
      <c r="U52" s="39"/>
      <c r="V52" s="39"/>
    </row>
    <row r="53" spans="1:23" ht="20.25" thickBot="1" x14ac:dyDescent="0.3">
      <c r="A53" s="39"/>
      <c r="B53" s="39"/>
      <c r="C53" s="39"/>
      <c r="D53" s="39"/>
      <c r="E53" s="39"/>
      <c r="F53" s="39"/>
      <c r="G53" s="39"/>
      <c r="H53" s="39"/>
      <c r="I53" s="45"/>
      <c r="J53" s="50" t="s">
        <v>79</v>
      </c>
      <c r="K53" s="46">
        <f>C$45*K$52*2/K$51</f>
        <v>613.33333333333337</v>
      </c>
      <c r="L53" s="46" t="s">
        <v>41</v>
      </c>
      <c r="M53" s="39"/>
      <c r="N53" s="39"/>
      <c r="O53" s="39" t="b">
        <f>-0.5*5.5&lt;O51-O46&lt;O42</f>
        <v>0</v>
      </c>
      <c r="P53" s="39" t="b">
        <f>0.5*5.5&lt;O51-O46&lt;O42</f>
        <v>0</v>
      </c>
      <c r="Q53" s="39"/>
      <c r="R53" s="39"/>
      <c r="S53" s="39"/>
      <c r="T53" s="39">
        <v>2.75</v>
      </c>
      <c r="U53" s="39">
        <v>2.9333</v>
      </c>
      <c r="V53" s="39"/>
    </row>
    <row r="54" spans="1:23" ht="20.25" thickBot="1" x14ac:dyDescent="0.3">
      <c r="A54" s="39"/>
      <c r="B54" s="39" t="s">
        <v>125</v>
      </c>
      <c r="C54" s="39">
        <v>16.211342539117201</v>
      </c>
      <c r="D54" s="39" t="s">
        <v>127</v>
      </c>
      <c r="E54" s="39">
        <v>62.818952339079203</v>
      </c>
      <c r="F54" s="39"/>
      <c r="G54" s="39"/>
      <c r="H54" s="39"/>
      <c r="I54" s="45"/>
      <c r="J54" s="50" t="s">
        <v>80</v>
      </c>
      <c r="K54" s="46">
        <f>C$45*K$52*2/K$51</f>
        <v>613.33333333333337</v>
      </c>
      <c r="L54" s="46" t="s">
        <v>41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</row>
    <row r="55" spans="1:23" x14ac:dyDescent="0.25">
      <c r="A55" s="100" t="s">
        <v>107</v>
      </c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89" t="s">
        <v>130</v>
      </c>
      <c r="U55" s="89"/>
      <c r="V55" s="89"/>
      <c r="W55" s="105"/>
    </row>
    <row r="56" spans="1:23" x14ac:dyDescent="0.25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89"/>
      <c r="U56" s="89"/>
      <c r="V56" s="89"/>
      <c r="W56" s="105"/>
    </row>
    <row r="57" spans="1:23" x14ac:dyDescent="0.25">
      <c r="A57" s="82" t="s">
        <v>108</v>
      </c>
      <c r="B57" s="82"/>
      <c r="C57" s="82"/>
      <c r="D57" s="88" t="s">
        <v>125</v>
      </c>
      <c r="E57" s="88"/>
      <c r="F57" s="88" t="s">
        <v>127</v>
      </c>
      <c r="G57" s="88"/>
      <c r="H57" s="88" t="s">
        <v>128</v>
      </c>
      <c r="I57" s="88"/>
      <c r="J57" s="88" t="s">
        <v>129</v>
      </c>
      <c r="K57" s="88"/>
      <c r="L57" s="88"/>
      <c r="M57" s="88"/>
      <c r="N57" s="88"/>
      <c r="O57" s="88"/>
      <c r="P57" s="88" t="s">
        <v>126</v>
      </c>
      <c r="Q57" s="88"/>
      <c r="R57" s="88"/>
      <c r="S57" s="101"/>
      <c r="T57" s="89"/>
      <c r="U57" s="89"/>
      <c r="V57" s="89"/>
      <c r="W57" s="105"/>
    </row>
    <row r="58" spans="1:23" x14ac:dyDescent="0.25">
      <c r="A58" s="82"/>
      <c r="B58" s="82"/>
      <c r="C58" s="82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101"/>
      <c r="T58" s="89"/>
      <c r="U58" s="89"/>
      <c r="V58" s="89"/>
      <c r="W58" s="105"/>
    </row>
    <row r="59" spans="1:23" ht="62.25" customHeight="1" thickBot="1" x14ac:dyDescent="0.3">
      <c r="A59" s="69" t="s">
        <v>115</v>
      </c>
      <c r="B59" s="70" t="s">
        <v>109</v>
      </c>
      <c r="C59" s="71">
        <v>20.646896487046401</v>
      </c>
      <c r="D59" s="93">
        <v>16</v>
      </c>
      <c r="E59" s="93"/>
      <c r="F59" s="93">
        <v>62</v>
      </c>
      <c r="G59" s="93"/>
      <c r="H59" s="93">
        <f>F59/D59</f>
        <v>3.875</v>
      </c>
      <c r="I59" s="93"/>
      <c r="J59" s="93">
        <f>((G7-H59)/C39)*100</f>
        <v>0</v>
      </c>
      <c r="K59" s="93"/>
      <c r="L59" s="93"/>
      <c r="M59" s="93"/>
      <c r="N59" s="93"/>
      <c r="O59" s="93"/>
      <c r="P59" s="93">
        <v>222.0667</v>
      </c>
      <c r="Q59" s="93"/>
      <c r="R59" s="93"/>
      <c r="S59" s="102"/>
      <c r="T59" s="93" t="s">
        <v>135</v>
      </c>
      <c r="U59" s="93"/>
      <c r="V59" s="93"/>
    </row>
    <row r="60" spans="1:23" ht="47.25" customHeight="1" thickBot="1" x14ac:dyDescent="0.3">
      <c r="A60" s="69" t="s">
        <v>116</v>
      </c>
      <c r="B60" s="70" t="s">
        <v>110</v>
      </c>
      <c r="C60" s="72">
        <v>22.546048321514299</v>
      </c>
      <c r="D60" s="94">
        <v>16</v>
      </c>
      <c r="E60" s="94"/>
      <c r="F60" s="94">
        <v>63</v>
      </c>
      <c r="G60" s="94"/>
      <c r="H60" s="94">
        <f>F60/D60</f>
        <v>3.9375</v>
      </c>
      <c r="I60" s="94"/>
      <c r="J60" s="94">
        <f>((G7-H60)/C$39)*100</f>
        <v>-1.6129032258064515</v>
      </c>
      <c r="K60" s="94"/>
      <c r="L60" s="94"/>
      <c r="M60" s="94"/>
      <c r="N60" s="94"/>
      <c r="O60" s="94"/>
      <c r="P60" s="94">
        <v>224.91374999999999</v>
      </c>
      <c r="Q60" s="94"/>
      <c r="R60" s="94"/>
      <c r="S60" s="103"/>
      <c r="T60" s="106" t="b">
        <f>-2.75&lt;0.08625&lt;5.5</f>
        <v>0</v>
      </c>
      <c r="U60" s="106"/>
      <c r="V60" s="106"/>
      <c r="W60" s="39">
        <f>225-P60</f>
        <v>8.6250000000006821E-2</v>
      </c>
    </row>
    <row r="61" spans="1:23" ht="88.5" customHeight="1" thickBot="1" x14ac:dyDescent="0.3">
      <c r="A61" s="69" t="s">
        <v>117</v>
      </c>
      <c r="B61" s="73" t="s">
        <v>111</v>
      </c>
      <c r="C61" s="72">
        <v>0.55711257339562903</v>
      </c>
      <c r="D61" s="95">
        <v>17</v>
      </c>
      <c r="E61" s="95"/>
      <c r="F61" s="95">
        <v>62</v>
      </c>
      <c r="G61" s="95"/>
      <c r="H61" s="95">
        <f>F61/D61</f>
        <v>3.6470588235294117</v>
      </c>
      <c r="I61" s="95"/>
      <c r="J61" s="95">
        <f>((G7-H61)/G7)*100</f>
        <v>5.8823529411764728</v>
      </c>
      <c r="K61" s="95"/>
      <c r="L61" s="95"/>
      <c r="M61" s="95"/>
      <c r="N61" s="95"/>
      <c r="O61" s="95"/>
      <c r="P61" s="95">
        <v>224.91374999999999</v>
      </c>
      <c r="Q61" s="95"/>
      <c r="R61" s="95"/>
      <c r="S61" s="99"/>
      <c r="T61" s="106" t="b">
        <f>-0.5*5.5&lt;225-P61&lt;=5.5</f>
        <v>0</v>
      </c>
      <c r="U61" s="106"/>
      <c r="V61" s="106"/>
    </row>
    <row r="62" spans="1:23" ht="83.25" customHeight="1" thickBot="1" x14ac:dyDescent="0.3">
      <c r="A62" s="69" t="s">
        <v>118</v>
      </c>
      <c r="B62" s="73" t="s">
        <v>112</v>
      </c>
      <c r="C62" s="72">
        <v>0.410419384902517</v>
      </c>
      <c r="D62" s="95">
        <v>17</v>
      </c>
      <c r="E62" s="95"/>
      <c r="F62" s="95">
        <v>63</v>
      </c>
      <c r="G62" s="95"/>
      <c r="H62" s="95">
        <f>F62/D62</f>
        <v>3.7058823529411766</v>
      </c>
      <c r="I62" s="95"/>
      <c r="J62" s="95">
        <f>((G7-H62)/C39)*100</f>
        <v>4.3643263757115713</v>
      </c>
      <c r="K62" s="95"/>
      <c r="L62" s="95"/>
      <c r="M62" s="95"/>
      <c r="N62" s="95"/>
      <c r="O62" s="95"/>
      <c r="P62" s="95">
        <v>227.76075968999999</v>
      </c>
      <c r="Q62" s="95"/>
      <c r="R62" s="95"/>
      <c r="S62" s="99"/>
      <c r="T62" s="106" t="b">
        <f>-0.5*5.5&lt;225-P62&lt;=5.5</f>
        <v>0</v>
      </c>
      <c r="U62" s="106"/>
      <c r="V62" s="106"/>
    </row>
    <row r="63" spans="1:23" ht="35.25" customHeight="1" x14ac:dyDescent="0.25">
      <c r="A63" s="74"/>
      <c r="B63" s="73"/>
      <c r="C63" s="72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7"/>
      <c r="T63" s="67"/>
      <c r="U63" s="68"/>
      <c r="V63" s="65"/>
    </row>
    <row r="64" spans="1:23" ht="47.25" customHeight="1" x14ac:dyDescent="0.25">
      <c r="A64" s="75"/>
      <c r="B64" s="76" t="s">
        <v>119</v>
      </c>
      <c r="C64" s="77" t="s">
        <v>136</v>
      </c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64"/>
      <c r="T64" s="96"/>
      <c r="U64" s="97"/>
      <c r="V64" s="98"/>
    </row>
    <row r="65" spans="1:22" ht="59.25" customHeight="1" x14ac:dyDescent="0.25">
      <c r="A65" s="39"/>
      <c r="B65" s="39"/>
      <c r="C65" s="39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64"/>
      <c r="T65" s="96"/>
      <c r="U65" s="97"/>
      <c r="V65" s="98"/>
    </row>
    <row r="66" spans="1:22" ht="61.5" customHeight="1" x14ac:dyDescent="0.25">
      <c r="A66" s="39"/>
      <c r="B66" s="39"/>
      <c r="C66" s="39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64"/>
      <c r="T66" s="96"/>
      <c r="U66" s="97"/>
      <c r="V66" s="98"/>
    </row>
    <row r="67" spans="1:22" ht="69.75" customHeight="1" x14ac:dyDescent="0.25">
      <c r="A67" s="39"/>
      <c r="B67" s="39"/>
      <c r="C67" s="39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64"/>
      <c r="T67" s="96"/>
      <c r="U67" s="97"/>
      <c r="V67" s="98"/>
    </row>
    <row r="71" spans="1:22" ht="45.75" customHeight="1" x14ac:dyDescent="0.25">
      <c r="B71" s="80" t="s">
        <v>138</v>
      </c>
      <c r="C71" s="81"/>
      <c r="D71" s="79" t="s">
        <v>137</v>
      </c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1:22" ht="60.75" customHeight="1" x14ac:dyDescent="0.25">
      <c r="B72" s="80"/>
      <c r="C72" s="81"/>
      <c r="D72" s="78" t="s">
        <v>139</v>
      </c>
      <c r="E72" s="78" t="s">
        <v>140</v>
      </c>
      <c r="F72" s="78" t="s">
        <v>141</v>
      </c>
      <c r="G72" s="78" t="s">
        <v>143</v>
      </c>
      <c r="H72" s="78" t="s">
        <v>142</v>
      </c>
      <c r="I72" s="78" t="s">
        <v>144</v>
      </c>
      <c r="J72" s="78" t="s">
        <v>145</v>
      </c>
      <c r="K72" s="78" t="s">
        <v>146</v>
      </c>
      <c r="L72" s="78" t="s">
        <v>147</v>
      </c>
      <c r="M72" s="78" t="s">
        <v>148</v>
      </c>
      <c r="N72" s="78"/>
      <c r="O72" s="78"/>
      <c r="P72" s="78"/>
      <c r="Q72" s="78"/>
      <c r="R72" s="78"/>
    </row>
    <row r="73" spans="1:22" ht="60" customHeight="1" x14ac:dyDescent="0.25">
      <c r="B73" s="80"/>
      <c r="C73" s="81"/>
      <c r="D73" s="78" t="s">
        <v>149</v>
      </c>
      <c r="E73" s="78">
        <f>5*10^7</f>
        <v>50000000</v>
      </c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</row>
    <row r="74" spans="1:22" ht="59.25" customHeight="1" x14ac:dyDescent="0.25">
      <c r="B74" s="80"/>
      <c r="C74" s="81"/>
      <c r="D74" s="78" t="s">
        <v>150</v>
      </c>
      <c r="E74" s="78">
        <f>60*D3*C10</f>
        <v>1350000000</v>
      </c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</row>
    <row r="75" spans="1:22" ht="59.25" customHeight="1" x14ac:dyDescent="0.25">
      <c r="B75" s="80"/>
      <c r="C75" s="81"/>
      <c r="D75" s="78" t="s">
        <v>151</v>
      </c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</row>
  </sheetData>
  <mergeCells count="74">
    <mergeCell ref="T65:V65"/>
    <mergeCell ref="T67:V67"/>
    <mergeCell ref="T66:V66"/>
    <mergeCell ref="W55:W58"/>
    <mergeCell ref="J65:O65"/>
    <mergeCell ref="J66:O66"/>
    <mergeCell ref="J67:O67"/>
    <mergeCell ref="P64:R64"/>
    <mergeCell ref="P65:R65"/>
    <mergeCell ref="P66:R66"/>
    <mergeCell ref="P67:R67"/>
    <mergeCell ref="T59:V59"/>
    <mergeCell ref="T60:V60"/>
    <mergeCell ref="T61:V61"/>
    <mergeCell ref="T62:V62"/>
    <mergeCell ref="J64:O64"/>
    <mergeCell ref="H65:I65"/>
    <mergeCell ref="H66:I66"/>
    <mergeCell ref="H67:I67"/>
    <mergeCell ref="D64:E64"/>
    <mergeCell ref="D65:E65"/>
    <mergeCell ref="D66:E66"/>
    <mergeCell ref="D67:E67"/>
    <mergeCell ref="F64:G64"/>
    <mergeCell ref="F65:G65"/>
    <mergeCell ref="F66:G66"/>
    <mergeCell ref="F67:G67"/>
    <mergeCell ref="H64:I64"/>
    <mergeCell ref="T64:V64"/>
    <mergeCell ref="P62:S62"/>
    <mergeCell ref="A55:S56"/>
    <mergeCell ref="P57:S58"/>
    <mergeCell ref="P59:S59"/>
    <mergeCell ref="P60:S60"/>
    <mergeCell ref="P61:S61"/>
    <mergeCell ref="J59:O59"/>
    <mergeCell ref="F60:G60"/>
    <mergeCell ref="F61:G61"/>
    <mergeCell ref="F62:G62"/>
    <mergeCell ref="J60:O60"/>
    <mergeCell ref="J61:O61"/>
    <mergeCell ref="J62:O62"/>
    <mergeCell ref="F59:G59"/>
    <mergeCell ref="D59:E59"/>
    <mergeCell ref="D60:E60"/>
    <mergeCell ref="D61:E61"/>
    <mergeCell ref="D62:E62"/>
    <mergeCell ref="H60:I60"/>
    <mergeCell ref="H61:I61"/>
    <mergeCell ref="H62:I62"/>
    <mergeCell ref="H1:H2"/>
    <mergeCell ref="I1:I2"/>
    <mergeCell ref="F17:I17"/>
    <mergeCell ref="A29:D29"/>
    <mergeCell ref="C1:C2"/>
    <mergeCell ref="E1:E2"/>
    <mergeCell ref="F1:F2"/>
    <mergeCell ref="G1:G2"/>
    <mergeCell ref="D71:R71"/>
    <mergeCell ref="B71:C75"/>
    <mergeCell ref="A57:C58"/>
    <mergeCell ref="J17:M17"/>
    <mergeCell ref="A16:V16"/>
    <mergeCell ref="A37:R37"/>
    <mergeCell ref="E38:H38"/>
    <mergeCell ref="I38:L38"/>
    <mergeCell ref="O18:P18"/>
    <mergeCell ref="M38:Q38"/>
    <mergeCell ref="F57:G58"/>
    <mergeCell ref="H57:I58"/>
    <mergeCell ref="D57:E58"/>
    <mergeCell ref="J57:O58"/>
    <mergeCell ref="T55:V58"/>
    <mergeCell ref="H59:I5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Asandei Catalina</dc:creator>
  <cp:lastModifiedBy>User</cp:lastModifiedBy>
  <dcterms:created xsi:type="dcterms:W3CDTF">2023-10-16T10:30:48Z</dcterms:created>
  <dcterms:modified xsi:type="dcterms:W3CDTF">2023-11-13T09:25:44Z</dcterms:modified>
</cp:coreProperties>
</file>