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FA087BB2-14BC-42A4-B7D4-6A41628862B6}" xr6:coauthVersionLast="47" xr6:coauthVersionMax="47" xr10:uidLastSave="{00000000-0000-0000-0000-000000000000}"/>
  <bookViews>
    <workbookView xWindow="7200" yWindow="2475" windowWidth="21600" windowHeight="11835" tabRatio="702" activeTab="1" xr2:uid="{00000000-000D-0000-FFFF-FFFF00000000}"/>
  </bookViews>
  <sheets>
    <sheet name="Caracteristica externa" sheetId="1" r:id="rId1"/>
    <sheet name="Viteza maxima" sheetId="2" r:id="rId2"/>
    <sheet name="razele rotilor" sheetId="3" r:id="rId3"/>
    <sheet name="Rapoarte de transmitere" sheetId="4" r:id="rId4"/>
    <sheet name="Diagrama de viteze" sheetId="5" r:id="rId5"/>
    <sheet name="Performante" sheetId="6" r:id="rId6"/>
    <sheet name="Capacitatea de franare" sheetId="7" r:id="rId7"/>
  </sheets>
  <calcPr calcId="191029"/>
</workbook>
</file>

<file path=xl/calcChain.xml><?xml version="1.0" encoding="utf-8"?>
<calcChain xmlns="http://schemas.openxmlformats.org/spreadsheetml/2006/main">
  <c r="B24" i="2" l="1"/>
  <c r="B21" i="2"/>
  <c r="B20" i="2"/>
  <c r="B19" i="2"/>
  <c r="B18" i="2"/>
  <c r="B23" i="2" l="1"/>
  <c r="B16" i="2" l="1"/>
  <c r="C2" i="7"/>
  <c r="B29" i="7"/>
  <c r="B5" i="7"/>
  <c r="B6" i="7" s="1"/>
  <c r="B13" i="7" s="1"/>
  <c r="AP34" i="6"/>
  <c r="AQ30" i="6"/>
  <c r="AQ21" i="6"/>
  <c r="AQ13" i="6"/>
  <c r="A43" i="5"/>
  <c r="A30" i="1"/>
  <c r="B30" i="1" s="1"/>
  <c r="AW34" i="6" s="1"/>
  <c r="D2" i="1"/>
  <c r="E3" i="6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  <c r="B2" i="1"/>
  <c r="AW25" i="6" s="1"/>
  <c r="F2" i="1"/>
  <c r="B5" i="3"/>
  <c r="B3" i="3"/>
  <c r="B4" i="3" s="1"/>
  <c r="B5" i="2"/>
  <c r="E1" i="6" s="1"/>
  <c r="B8" i="2"/>
  <c r="E2" i="6" s="1"/>
  <c r="C25" i="4"/>
  <c r="B30" i="4" s="1"/>
  <c r="G5" i="6" s="1"/>
  <c r="F3" i="1"/>
  <c r="Z9" i="6" s="1"/>
  <c r="G1" i="6"/>
  <c r="N19" i="7"/>
  <c r="O19" i="7" s="1"/>
  <c r="N20" i="7"/>
  <c r="O20" i="7"/>
  <c r="N21" i="7"/>
  <c r="O21" i="7" s="1"/>
  <c r="N22" i="7"/>
  <c r="O22" i="7"/>
  <c r="N23" i="7"/>
  <c r="O23" i="7" s="1"/>
  <c r="N24" i="7"/>
  <c r="O24" i="7" s="1"/>
  <c r="N25" i="7"/>
  <c r="N26" i="7"/>
  <c r="O26" i="7"/>
  <c r="N27" i="7"/>
  <c r="O27" i="7" s="1"/>
  <c r="N28" i="7"/>
  <c r="O28" i="7" s="1"/>
  <c r="N29" i="7"/>
  <c r="O29" i="7" s="1"/>
  <c r="N18" i="7"/>
  <c r="O18" i="7" s="1"/>
  <c r="H19" i="7"/>
  <c r="I19" i="7"/>
  <c r="H20" i="7"/>
  <c r="I20" i="7" s="1"/>
  <c r="H21" i="7"/>
  <c r="I21" i="7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/>
  <c r="H28" i="7"/>
  <c r="I28" i="7" s="1"/>
  <c r="H29" i="7"/>
  <c r="I29" i="7" s="1"/>
  <c r="H18" i="7"/>
  <c r="I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B25" i="7"/>
  <c r="B26" i="7"/>
  <c r="B27" i="7"/>
  <c r="C27" i="7" s="1"/>
  <c r="B28" i="7"/>
  <c r="C28" i="7"/>
  <c r="B18" i="7"/>
  <c r="C18" i="7" s="1"/>
  <c r="O25" i="7"/>
  <c r="B13" i="4"/>
  <c r="B11" i="4" s="1"/>
  <c r="C24" i="7"/>
  <c r="C25" i="7"/>
  <c r="C26" i="7"/>
  <c r="C29" i="7"/>
  <c r="B1" i="6"/>
  <c r="B19" i="4"/>
  <c r="B16" i="4"/>
  <c r="J3" i="6" s="1"/>
  <c r="AQ11" i="6" l="1"/>
  <c r="AQ19" i="6"/>
  <c r="AQ28" i="6"/>
  <c r="AH9" i="6"/>
  <c r="B4" i="7"/>
  <c r="B8" i="7" s="1"/>
  <c r="AQ12" i="6"/>
  <c r="AQ20" i="6"/>
  <c r="AQ29" i="6"/>
  <c r="AQ9" i="6"/>
  <c r="AQ22" i="6"/>
  <c r="AQ31" i="6"/>
  <c r="B43" i="5"/>
  <c r="AQ15" i="6"/>
  <c r="AQ23" i="6"/>
  <c r="AQ32" i="6"/>
  <c r="AQ14" i="6"/>
  <c r="B23" i="5"/>
  <c r="AQ16" i="6"/>
  <c r="AQ24" i="6"/>
  <c r="AQ33" i="6"/>
  <c r="D1" i="5"/>
  <c r="C23" i="5"/>
  <c r="B9" i="6"/>
  <c r="AQ17" i="6"/>
  <c r="AQ26" i="6"/>
  <c r="B22" i="1"/>
  <c r="AW26" i="6" s="1"/>
  <c r="AQ10" i="6"/>
  <c r="AQ18" i="6"/>
  <c r="AQ27" i="6"/>
  <c r="AQ34" i="6"/>
  <c r="AQ25" i="6"/>
  <c r="A32" i="5"/>
  <c r="B1" i="5"/>
  <c r="B29" i="1"/>
  <c r="AW33" i="6" s="1"/>
  <c r="C37" i="5"/>
  <c r="H2" i="1"/>
  <c r="B29" i="4"/>
  <c r="B28" i="4"/>
  <c r="B5" i="6"/>
  <c r="B27" i="4"/>
  <c r="B31" i="4"/>
  <c r="C29" i="1"/>
  <c r="R17" i="6"/>
  <c r="C30" i="1"/>
  <c r="C43" i="5" s="1"/>
  <c r="B7" i="3"/>
  <c r="B10" i="3" s="1"/>
  <c r="B2" i="4" s="1"/>
  <c r="B14" i="4" s="1"/>
  <c r="B9" i="3"/>
  <c r="B6" i="3"/>
  <c r="F4" i="7"/>
  <c r="B12" i="2"/>
  <c r="F3" i="7"/>
  <c r="B11" i="2"/>
  <c r="B15" i="2" s="1"/>
  <c r="B17" i="2" s="1"/>
  <c r="C22" i="1"/>
  <c r="C20" i="5"/>
  <c r="C14" i="1"/>
  <c r="B15" i="4" s="1"/>
  <c r="B16" i="5"/>
  <c r="C9" i="1"/>
  <c r="B42" i="5"/>
  <c r="B20" i="5"/>
  <c r="B34" i="5"/>
  <c r="Z15" i="6"/>
  <c r="C27" i="1"/>
  <c r="C7" i="1"/>
  <c r="B37" i="5"/>
  <c r="C24" i="1"/>
  <c r="C16" i="1"/>
  <c r="C26" i="1"/>
  <c r="B22" i="5"/>
  <c r="B36" i="5"/>
  <c r="C41" i="5"/>
  <c r="C27" i="5"/>
  <c r="Z21" i="6"/>
  <c r="R13" i="6"/>
  <c r="J33" i="6"/>
  <c r="C17" i="1"/>
  <c r="B24" i="5"/>
  <c r="C16" i="5"/>
  <c r="C28" i="5"/>
  <c r="Z22" i="6"/>
  <c r="R15" i="6"/>
  <c r="C23" i="1"/>
  <c r="C15" i="1"/>
  <c r="C10" i="1"/>
  <c r="B21" i="5"/>
  <c r="B35" i="5"/>
  <c r="C39" i="5"/>
  <c r="C22" i="5"/>
  <c r="Z20" i="6"/>
  <c r="C13" i="1"/>
  <c r="B41" i="5"/>
  <c r="C18" i="5"/>
  <c r="Z32" i="6"/>
  <c r="C20" i="1"/>
  <c r="C12" i="1"/>
  <c r="B27" i="5"/>
  <c r="B18" i="5"/>
  <c r="B40" i="5"/>
  <c r="B31" i="5"/>
  <c r="C35" i="5"/>
  <c r="Z31" i="6"/>
  <c r="R28" i="6"/>
  <c r="C6" i="1"/>
  <c r="B28" i="5"/>
  <c r="C36" i="5"/>
  <c r="R30" i="6"/>
  <c r="C19" i="1"/>
  <c r="C11" i="1"/>
  <c r="B26" i="5"/>
  <c r="B17" i="5"/>
  <c r="B39" i="5"/>
  <c r="B30" i="5"/>
  <c r="C33" i="5"/>
  <c r="Z29" i="6"/>
  <c r="R26" i="6"/>
  <c r="C21" i="1"/>
  <c r="B19" i="5"/>
  <c r="B33" i="5"/>
  <c r="Z13" i="6"/>
  <c r="C28" i="1"/>
  <c r="C18" i="1"/>
  <c r="C8" i="1"/>
  <c r="C25" i="1"/>
  <c r="B25" i="5"/>
  <c r="B38" i="5"/>
  <c r="B29" i="5"/>
  <c r="C30" i="5"/>
  <c r="Z24" i="6"/>
  <c r="R19" i="6"/>
  <c r="C42" i="5"/>
  <c r="C34" i="5"/>
  <c r="C21" i="5"/>
  <c r="Z30" i="6"/>
  <c r="Z16" i="6"/>
  <c r="R29" i="6"/>
  <c r="R21" i="6"/>
  <c r="C40" i="5"/>
  <c r="C31" i="5"/>
  <c r="C19" i="5"/>
  <c r="Z28" i="6"/>
  <c r="Z14" i="6"/>
  <c r="R27" i="6"/>
  <c r="J17" i="6"/>
  <c r="C38" i="5"/>
  <c r="C29" i="5"/>
  <c r="Z23" i="6"/>
  <c r="Z12" i="6"/>
  <c r="J15" i="6"/>
  <c r="C26" i="5"/>
  <c r="C17" i="5"/>
  <c r="Z27" i="6"/>
  <c r="Z19" i="6"/>
  <c r="Z11" i="6"/>
  <c r="R33" i="6"/>
  <c r="R10" i="6"/>
  <c r="J14" i="6"/>
  <c r="C25" i="5"/>
  <c r="Z26" i="6"/>
  <c r="Z18" i="6"/>
  <c r="Z10" i="6"/>
  <c r="R32" i="6"/>
  <c r="R23" i="6"/>
  <c r="B7" i="1"/>
  <c r="AW10" i="6" s="1"/>
  <c r="C24" i="5"/>
  <c r="Z33" i="6"/>
  <c r="Z17" i="6"/>
  <c r="R9" i="6"/>
  <c r="R31" i="6"/>
  <c r="J29" i="6"/>
  <c r="J22" i="6"/>
  <c r="J21" i="6"/>
  <c r="J13" i="6"/>
  <c r="J30" i="6"/>
  <c r="J28" i="6"/>
  <c r="J20" i="6"/>
  <c r="J12" i="6"/>
  <c r="J27" i="6"/>
  <c r="J19" i="6"/>
  <c r="J11" i="6"/>
  <c r="J26" i="6"/>
  <c r="J18" i="6"/>
  <c r="AH12" i="6"/>
  <c r="J32" i="6"/>
  <c r="J24" i="6"/>
  <c r="J16" i="6"/>
  <c r="J9" i="6"/>
  <c r="J31" i="6"/>
  <c r="J23" i="6"/>
  <c r="AH29" i="6"/>
  <c r="AH10" i="6"/>
  <c r="AH20" i="6"/>
  <c r="AH24" i="6"/>
  <c r="AH30" i="6"/>
  <c r="B9" i="1"/>
  <c r="AW12" i="6" s="1"/>
  <c r="B11" i="1"/>
  <c r="AW14" i="6" s="1"/>
  <c r="B13" i="1"/>
  <c r="AW16" i="6" s="1"/>
  <c r="B15" i="1"/>
  <c r="AW18" i="6" s="1"/>
  <c r="B17" i="1"/>
  <c r="AW20" i="6" s="1"/>
  <c r="B19" i="1"/>
  <c r="AW22" i="6" s="1"/>
  <c r="B21" i="1"/>
  <c r="AW24" i="6" s="1"/>
  <c r="B23" i="1"/>
  <c r="AW27" i="6" s="1"/>
  <c r="B25" i="1"/>
  <c r="AW29" i="6" s="1"/>
  <c r="B27" i="1"/>
  <c r="AW31" i="6" s="1"/>
  <c r="R11" i="6"/>
  <c r="B6" i="1"/>
  <c r="AW9" i="6" s="1"/>
  <c r="B8" i="1"/>
  <c r="AW11" i="6" s="1"/>
  <c r="B10" i="1"/>
  <c r="AW13" i="6" s="1"/>
  <c r="B12" i="1"/>
  <c r="AW15" i="6" s="1"/>
  <c r="B14" i="1"/>
  <c r="AW17" i="6" s="1"/>
  <c r="B16" i="1"/>
  <c r="AW19" i="6" s="1"/>
  <c r="B18" i="1"/>
  <c r="AW21" i="6" s="1"/>
  <c r="B20" i="1"/>
  <c r="AW23" i="6" s="1"/>
  <c r="B24" i="1"/>
  <c r="AW28" i="6" s="1"/>
  <c r="B26" i="1"/>
  <c r="AW30" i="6" s="1"/>
  <c r="B28" i="1"/>
  <c r="AW32" i="6" s="1"/>
  <c r="R12" i="6"/>
  <c r="R14" i="6"/>
  <c r="R16" i="6"/>
  <c r="R18" i="6"/>
  <c r="R20" i="6"/>
  <c r="R22" i="6"/>
  <c r="R24" i="6"/>
  <c r="AH33" i="6"/>
  <c r="AH13" i="6"/>
  <c r="B33" i="6"/>
  <c r="B31" i="6"/>
  <c r="B29" i="6"/>
  <c r="B27" i="6"/>
  <c r="B23" i="6"/>
  <c r="B21" i="6"/>
  <c r="B19" i="6"/>
  <c r="B17" i="6"/>
  <c r="B15" i="6"/>
  <c r="B13" i="6"/>
  <c r="B11" i="6"/>
  <c r="AH26" i="6"/>
  <c r="AH23" i="6"/>
  <c r="AH19" i="6"/>
  <c r="AH16" i="6"/>
  <c r="AH32" i="6"/>
  <c r="AH22" i="6"/>
  <c r="AH18" i="6"/>
  <c r="AH15" i="6"/>
  <c r="AH28" i="6"/>
  <c r="AH11" i="6"/>
  <c r="J10" i="6"/>
  <c r="B32" i="6"/>
  <c r="B30" i="6"/>
  <c r="B28" i="6"/>
  <c r="B26" i="6"/>
  <c r="B24" i="6"/>
  <c r="B22" i="6"/>
  <c r="B20" i="6"/>
  <c r="B18" i="6"/>
  <c r="B16" i="6"/>
  <c r="B14" i="6"/>
  <c r="B12" i="6"/>
  <c r="AH31" i="6"/>
  <c r="AH21" i="6"/>
  <c r="AH14" i="6"/>
  <c r="B10" i="6"/>
  <c r="AH27" i="6"/>
  <c r="AH17" i="6"/>
  <c r="J28" i="7" l="1"/>
  <c r="K28" i="7" s="1"/>
  <c r="D27" i="7"/>
  <c r="E27" i="7" s="1"/>
  <c r="P29" i="7"/>
  <c r="Q29" i="7" s="1"/>
  <c r="J18" i="7"/>
  <c r="K18" i="7" s="1"/>
  <c r="D28" i="7"/>
  <c r="E28" i="7" s="1"/>
  <c r="B6" i="6"/>
  <c r="G6" i="6"/>
  <c r="AG25" i="6"/>
  <c r="AH25" i="6" s="1"/>
  <c r="I25" i="6"/>
  <c r="J25" i="6" s="1"/>
  <c r="Y25" i="6"/>
  <c r="Z25" i="6" s="1"/>
  <c r="Q25" i="6"/>
  <c r="R25" i="6" s="1"/>
  <c r="A25" i="6"/>
  <c r="B25" i="6" s="1"/>
  <c r="J2" i="6"/>
  <c r="B32" i="5"/>
  <c r="C32" i="5"/>
  <c r="B4" i="6"/>
  <c r="G2" i="6"/>
  <c r="G4" i="6"/>
  <c r="B2" i="6"/>
  <c r="G3" i="6"/>
  <c r="B3" i="6"/>
  <c r="P20" i="7"/>
  <c r="Q20" i="7" s="1"/>
  <c r="J21" i="7"/>
  <c r="K21" i="7" s="1"/>
  <c r="D26" i="7"/>
  <c r="E26" i="7" s="1"/>
  <c r="P25" i="7"/>
  <c r="Q25" i="7" s="1"/>
  <c r="J20" i="7"/>
  <c r="K20" i="7" s="1"/>
  <c r="D22" i="7"/>
  <c r="E22" i="7" s="1"/>
  <c r="D29" i="7"/>
  <c r="E29" i="7" s="1"/>
  <c r="D25" i="7"/>
  <c r="E25" i="7" s="1"/>
  <c r="P24" i="7"/>
  <c r="Q24" i="7" s="1"/>
  <c r="J22" i="7"/>
  <c r="K22" i="7" s="1"/>
  <c r="J26" i="7"/>
  <c r="K26" i="7" s="1"/>
  <c r="D23" i="7"/>
  <c r="E23" i="7" s="1"/>
  <c r="P28" i="7"/>
  <c r="Q28" i="7" s="1"/>
  <c r="P23" i="7"/>
  <c r="Q23" i="7" s="1"/>
  <c r="D19" i="7"/>
  <c r="E19" i="7" s="1"/>
  <c r="J27" i="7"/>
  <c r="K27" i="7" s="1"/>
  <c r="J24" i="7"/>
  <c r="K24" i="7" s="1"/>
  <c r="P21" i="7"/>
  <c r="Q21" i="7" s="1"/>
  <c r="D20" i="7"/>
  <c r="E20" i="7" s="1"/>
  <c r="D24" i="7"/>
  <c r="E24" i="7" s="1"/>
  <c r="J19" i="7"/>
  <c r="K19" i="7" s="1"/>
  <c r="P26" i="7"/>
  <c r="Q26" i="7" s="1"/>
  <c r="P18" i="7"/>
  <c r="Q18" i="7" s="1"/>
  <c r="D21" i="7"/>
  <c r="E21" i="7" s="1"/>
  <c r="D18" i="7"/>
  <c r="E18" i="7" s="1"/>
  <c r="P22" i="7"/>
  <c r="Q22" i="7" s="1"/>
  <c r="P27" i="7"/>
  <c r="Q27" i="7" s="1"/>
  <c r="P19" i="7"/>
  <c r="Q19" i="7" s="1"/>
  <c r="J25" i="7"/>
  <c r="K25" i="7" s="1"/>
  <c r="J29" i="7"/>
  <c r="K29" i="7" s="1"/>
  <c r="J23" i="7"/>
  <c r="K23" i="7" s="1"/>
  <c r="B13" i="2"/>
  <c r="E7" i="1"/>
  <c r="E24" i="1"/>
  <c r="E8" i="1"/>
  <c r="E15" i="1"/>
  <c r="E20" i="1"/>
  <c r="E27" i="1"/>
  <c r="E11" i="1"/>
  <c r="E29" i="1"/>
  <c r="E30" i="1" s="1"/>
  <c r="E18" i="1"/>
  <c r="E25" i="1"/>
  <c r="E9" i="1"/>
  <c r="E16" i="1"/>
  <c r="E23" i="1"/>
  <c r="E22" i="1"/>
  <c r="E13" i="1"/>
  <c r="E14" i="1"/>
  <c r="E21" i="1"/>
  <c r="E28" i="1"/>
  <c r="E12" i="1"/>
  <c r="E19" i="1"/>
  <c r="E26" i="1"/>
  <c r="E10" i="1"/>
  <c r="E6" i="1"/>
  <c r="E17" i="1"/>
  <c r="B4" i="4" l="1"/>
  <c r="B7" i="4" s="1"/>
  <c r="E32" i="5" s="1"/>
  <c r="C13" i="2"/>
  <c r="AR17" i="6" l="1"/>
  <c r="AY17" i="6" s="1"/>
  <c r="AR25" i="6"/>
  <c r="AY25" i="6" s="1"/>
  <c r="AR33" i="6"/>
  <c r="AY33" i="6" s="1"/>
  <c r="H32" i="5"/>
  <c r="AR18" i="6"/>
  <c r="AY18" i="6" s="1"/>
  <c r="AR26" i="6"/>
  <c r="AY26" i="6" s="1"/>
  <c r="AR34" i="6"/>
  <c r="G32" i="5"/>
  <c r="AR10" i="6"/>
  <c r="AY10" i="6" s="1"/>
  <c r="AR11" i="6"/>
  <c r="AY11" i="6" s="1"/>
  <c r="AR19" i="6"/>
  <c r="AY19" i="6" s="1"/>
  <c r="AR27" i="6"/>
  <c r="AY27" i="6" s="1"/>
  <c r="AR9" i="6"/>
  <c r="AY9" i="6" s="1"/>
  <c r="G33" i="5"/>
  <c r="AR24" i="6"/>
  <c r="AY24" i="6" s="1"/>
  <c r="AR12" i="6"/>
  <c r="AY12" i="6" s="1"/>
  <c r="AR20" i="6"/>
  <c r="AY20" i="6" s="1"/>
  <c r="AR28" i="6"/>
  <c r="AY28" i="6" s="1"/>
  <c r="F32" i="5"/>
  <c r="AR13" i="6"/>
  <c r="AY13" i="6" s="1"/>
  <c r="AR21" i="6"/>
  <c r="AY21" i="6" s="1"/>
  <c r="AR29" i="6"/>
  <c r="AY29" i="6" s="1"/>
  <c r="AR32" i="6"/>
  <c r="AY32" i="6" s="1"/>
  <c r="I32" i="5"/>
  <c r="AR14" i="6"/>
  <c r="AY14" i="6" s="1"/>
  <c r="AR22" i="6"/>
  <c r="AY22" i="6" s="1"/>
  <c r="AR30" i="6"/>
  <c r="AY30" i="6" s="1"/>
  <c r="D32" i="5"/>
  <c r="AR15" i="6"/>
  <c r="AY15" i="6" s="1"/>
  <c r="AR23" i="6"/>
  <c r="AY23" i="6" s="1"/>
  <c r="AR31" i="6"/>
  <c r="AY31" i="6" s="1"/>
  <c r="AR16" i="6"/>
  <c r="AY16" i="6" s="1"/>
  <c r="B3" i="5"/>
  <c r="H37" i="5"/>
  <c r="F43" i="5"/>
  <c r="I43" i="5" s="1"/>
  <c r="H38" i="5"/>
  <c r="F41" i="5"/>
  <c r="I41" i="5" s="1"/>
  <c r="D16" i="5"/>
  <c r="F42" i="5"/>
  <c r="I42" i="5" s="1"/>
  <c r="D23" i="5"/>
  <c r="E43" i="5"/>
  <c r="H43" i="5" s="1"/>
  <c r="E42" i="5"/>
  <c r="H42" i="5" s="1"/>
  <c r="E41" i="5"/>
  <c r="H41" i="5" s="1"/>
  <c r="D43" i="5"/>
  <c r="G43" i="5" s="1"/>
  <c r="H35" i="5"/>
  <c r="H34" i="5"/>
  <c r="H39" i="5"/>
  <c r="H33" i="5"/>
  <c r="H40" i="5"/>
  <c r="H36" i="5"/>
  <c r="B11" i="5"/>
  <c r="B2" i="5"/>
  <c r="I37" i="5"/>
  <c r="G35" i="5"/>
  <c r="E33" i="5"/>
  <c r="E37" i="5"/>
  <c r="B7" i="5"/>
  <c r="E40" i="5"/>
  <c r="F34" i="5"/>
  <c r="E38" i="5"/>
  <c r="B13" i="5"/>
  <c r="G40" i="5"/>
  <c r="E39" i="5"/>
  <c r="E35" i="5"/>
  <c r="F36" i="5"/>
  <c r="F35" i="5"/>
  <c r="B12" i="5"/>
  <c r="I39" i="5"/>
  <c r="I36" i="5"/>
  <c r="B4" i="5"/>
  <c r="F33" i="5"/>
  <c r="G37" i="5"/>
  <c r="I35" i="5"/>
  <c r="I33" i="5"/>
  <c r="G36" i="5"/>
  <c r="E34" i="5"/>
  <c r="F38" i="5"/>
  <c r="E36" i="5"/>
  <c r="I38" i="5"/>
  <c r="B5" i="5"/>
  <c r="F39" i="5"/>
  <c r="F37" i="5"/>
  <c r="G39" i="5"/>
  <c r="B9" i="5"/>
  <c r="I34" i="5"/>
  <c r="G38" i="5"/>
  <c r="G34" i="5"/>
  <c r="F40" i="5"/>
  <c r="I40" i="5"/>
  <c r="AI25" i="6"/>
  <c r="K21" i="6"/>
  <c r="AI12" i="6"/>
  <c r="AI28" i="6"/>
  <c r="K24" i="6"/>
  <c r="C31" i="6"/>
  <c r="C16" i="6"/>
  <c r="AA20" i="6"/>
  <c r="S19" i="6"/>
  <c r="S27" i="6"/>
  <c r="S25" i="6"/>
  <c r="S32" i="6"/>
  <c r="AA15" i="6"/>
  <c r="AA31" i="6"/>
  <c r="S18" i="6"/>
  <c r="B8" i="5"/>
  <c r="S28" i="6"/>
  <c r="D19" i="5"/>
  <c r="B17" i="4"/>
  <c r="AA9" i="6"/>
  <c r="AA28" i="6"/>
  <c r="S17" i="6"/>
  <c r="D29" i="5"/>
  <c r="AI11" i="6"/>
  <c r="AI27" i="6"/>
  <c r="K23" i="6"/>
  <c r="AI14" i="6"/>
  <c r="AI30" i="6"/>
  <c r="K10" i="6"/>
  <c r="K26" i="6"/>
  <c r="C21" i="6"/>
  <c r="AA22" i="6"/>
  <c r="S29" i="6"/>
  <c r="C12" i="6"/>
  <c r="C13" i="6"/>
  <c r="AA17" i="6"/>
  <c r="AA33" i="6"/>
  <c r="D40" i="5"/>
  <c r="D28" i="5"/>
  <c r="D24" i="5"/>
  <c r="C20" i="6"/>
  <c r="D39" i="5"/>
  <c r="K13" i="6"/>
  <c r="S13" i="6"/>
  <c r="C23" i="6"/>
  <c r="S22" i="6"/>
  <c r="C30" i="6"/>
  <c r="AI13" i="6"/>
  <c r="AI29" i="6"/>
  <c r="K25" i="6"/>
  <c r="AI16" i="6"/>
  <c r="AI32" i="6"/>
  <c r="K12" i="6"/>
  <c r="K28" i="6"/>
  <c r="C9" i="6"/>
  <c r="C32" i="6"/>
  <c r="AA24" i="6"/>
  <c r="C11" i="6"/>
  <c r="C17" i="6"/>
  <c r="AI9" i="6"/>
  <c r="C24" i="6"/>
  <c r="AA19" i="6"/>
  <c r="S15" i="6"/>
  <c r="D30" i="5"/>
  <c r="D34" i="5"/>
  <c r="D33" i="5"/>
  <c r="D21" i="5"/>
  <c r="D22" i="5"/>
  <c r="K29" i="6"/>
  <c r="K16" i="6"/>
  <c r="AA12" i="6"/>
  <c r="C27" i="6"/>
  <c r="S11" i="6"/>
  <c r="AI15" i="6"/>
  <c r="AI31" i="6"/>
  <c r="K11" i="6"/>
  <c r="K27" i="6"/>
  <c r="AI18" i="6"/>
  <c r="K14" i="6"/>
  <c r="K30" i="6"/>
  <c r="S10" i="6"/>
  <c r="AA10" i="6"/>
  <c r="AA26" i="6"/>
  <c r="C22" i="6"/>
  <c r="C28" i="6"/>
  <c r="C18" i="6"/>
  <c r="D31" i="5"/>
  <c r="C29" i="6"/>
  <c r="AA21" i="6"/>
  <c r="D38" i="5"/>
  <c r="S23" i="6"/>
  <c r="D17" i="5"/>
  <c r="AI17" i="6"/>
  <c r="AI33" i="6"/>
  <c r="AI20" i="6"/>
  <c r="K32" i="6"/>
  <c r="S16" i="6"/>
  <c r="C33" i="6"/>
  <c r="AA23" i="6"/>
  <c r="S30" i="6"/>
  <c r="D41" i="5"/>
  <c r="G41" i="5" s="1"/>
  <c r="D26" i="5"/>
  <c r="J1" i="6"/>
  <c r="AI19" i="6"/>
  <c r="K15" i="6"/>
  <c r="K31" i="6"/>
  <c r="K9" i="6"/>
  <c r="AI22" i="6"/>
  <c r="K18" i="6"/>
  <c r="C10" i="6"/>
  <c r="S21" i="6"/>
  <c r="S24" i="6"/>
  <c r="AA14" i="6"/>
  <c r="AA30" i="6"/>
  <c r="D27" i="5"/>
  <c r="S9" i="6"/>
  <c r="AA25" i="6"/>
  <c r="C14" i="6"/>
  <c r="B10" i="5"/>
  <c r="D20" i="5"/>
  <c r="D18" i="5"/>
  <c r="D37" i="5"/>
  <c r="K22" i="6"/>
  <c r="S33" i="6"/>
  <c r="AA18" i="6"/>
  <c r="S20" i="6"/>
  <c r="AA29" i="6"/>
  <c r="AI21" i="6"/>
  <c r="K17" i="6"/>
  <c r="K33" i="6"/>
  <c r="AI24" i="6"/>
  <c r="K20" i="6"/>
  <c r="C15" i="6"/>
  <c r="S26" i="6"/>
  <c r="S31" i="6"/>
  <c r="AA16" i="6"/>
  <c r="AA32" i="6"/>
  <c r="S14" i="6"/>
  <c r="D42" i="5"/>
  <c r="G42" i="5" s="1"/>
  <c r="S12" i="6"/>
  <c r="AA11" i="6"/>
  <c r="AA27" i="6"/>
  <c r="D35" i="5"/>
  <c r="C19" i="6"/>
  <c r="B6" i="5"/>
  <c r="C25" i="6"/>
  <c r="AI23" i="6"/>
  <c r="K19" i="6"/>
  <c r="AI10" i="6"/>
  <c r="AI26" i="6"/>
  <c r="C26" i="6"/>
  <c r="D25" i="5"/>
  <c r="AA13" i="6"/>
  <c r="D36" i="5"/>
  <c r="AS13" i="6" l="1"/>
  <c r="AT13" i="6" s="1"/>
  <c r="AS21" i="6"/>
  <c r="AT21" i="6" s="1"/>
  <c r="AS30" i="6"/>
  <c r="AT30" i="6" s="1"/>
  <c r="AS14" i="6"/>
  <c r="AT14" i="6" s="1"/>
  <c r="AS32" i="6"/>
  <c r="AT32" i="6" s="1"/>
  <c r="AU32" i="6" s="1"/>
  <c r="AV32" i="6" s="1"/>
  <c r="AS29" i="6"/>
  <c r="AT29" i="6" s="1"/>
  <c r="AU29" i="6" s="1"/>
  <c r="AV29" i="6" s="1"/>
  <c r="AS10" i="6"/>
  <c r="AT10" i="6" s="1"/>
  <c r="AU10" i="6" s="1"/>
  <c r="AV10" i="6" s="1"/>
  <c r="AS24" i="6"/>
  <c r="AT24" i="6" s="1"/>
  <c r="AU24" i="6" s="1"/>
  <c r="AV24" i="6" s="1"/>
  <c r="AS19" i="6"/>
  <c r="AT19" i="6" s="1"/>
  <c r="AS31" i="6"/>
  <c r="AT31" i="6" s="1"/>
  <c r="AS27" i="6"/>
  <c r="AT27" i="6" s="1"/>
  <c r="AS16" i="6"/>
  <c r="AT16" i="6" s="1"/>
  <c r="AU16" i="6" s="1"/>
  <c r="AV16" i="6" s="1"/>
  <c r="AS11" i="6"/>
  <c r="AT11" i="6" s="1"/>
  <c r="AU11" i="6" s="1"/>
  <c r="AV11" i="6" s="1"/>
  <c r="AS18" i="6"/>
  <c r="AT18" i="6" s="1"/>
  <c r="AU18" i="6" s="1"/>
  <c r="AV18" i="6" s="1"/>
  <c r="AS22" i="6"/>
  <c r="AT22" i="6" s="1"/>
  <c r="AU22" i="6" s="1"/>
  <c r="AV22" i="6" s="1"/>
  <c r="AS26" i="6"/>
  <c r="AT26" i="6" s="1"/>
  <c r="AU26" i="6" s="1"/>
  <c r="AV26" i="6" s="1"/>
  <c r="AS34" i="6"/>
  <c r="AT34" i="6" s="1"/>
  <c r="AU34" i="6" s="1"/>
  <c r="AS33" i="6"/>
  <c r="AT33" i="6" s="1"/>
  <c r="AS25" i="6"/>
  <c r="AT25" i="6" s="1"/>
  <c r="AS28" i="6"/>
  <c r="AT28" i="6" s="1"/>
  <c r="AU28" i="6" s="1"/>
  <c r="AV28" i="6" s="1"/>
  <c r="AS12" i="6"/>
  <c r="AT12" i="6" s="1"/>
  <c r="AU12" i="6" s="1"/>
  <c r="AV12" i="6" s="1"/>
  <c r="AS17" i="6"/>
  <c r="AT17" i="6" s="1"/>
  <c r="AU17" i="6" s="1"/>
  <c r="AV17" i="6" s="1"/>
  <c r="AS20" i="6"/>
  <c r="AT20" i="6" s="1"/>
  <c r="AU20" i="6" s="1"/>
  <c r="AV20" i="6" s="1"/>
  <c r="AS15" i="6"/>
  <c r="AT15" i="6" s="1"/>
  <c r="AU15" i="6" s="1"/>
  <c r="AV15" i="6" s="1"/>
  <c r="AS23" i="6"/>
  <c r="AT23" i="6" s="1"/>
  <c r="AU31" i="6"/>
  <c r="AV31" i="6" s="1"/>
  <c r="AU27" i="6"/>
  <c r="AV27" i="6" s="1"/>
  <c r="AS9" i="6"/>
  <c r="AT9" i="6" s="1"/>
  <c r="AU9" i="6" s="1"/>
  <c r="AV9" i="6" s="1"/>
  <c r="AU14" i="6"/>
  <c r="AV14" i="6" s="1"/>
  <c r="AU23" i="6"/>
  <c r="AV23" i="6" s="1"/>
  <c r="AU13" i="6"/>
  <c r="AV13" i="6" s="1"/>
  <c r="AU19" i="6"/>
  <c r="AV19" i="6" s="1"/>
  <c r="AU21" i="6"/>
  <c r="AV21" i="6" s="1"/>
  <c r="AU30" i="6"/>
  <c r="AV30" i="6" s="1"/>
  <c r="AU33" i="6"/>
  <c r="AV33" i="6" s="1"/>
  <c r="AU25" i="6"/>
  <c r="AV25" i="6" s="1"/>
  <c r="AV34" i="6"/>
  <c r="D13" i="6"/>
  <c r="E13" i="6" s="1"/>
  <c r="F13" i="6" s="1"/>
  <c r="G13" i="6" s="1"/>
  <c r="D24" i="6"/>
  <c r="E24" i="6" s="1"/>
  <c r="F24" i="6" s="1"/>
  <c r="G24" i="6" s="1"/>
  <c r="AJ23" i="6"/>
  <c r="AK23" i="6" s="1"/>
  <c r="AL23" i="6" s="1"/>
  <c r="AM23" i="6" s="1"/>
  <c r="D23" i="6"/>
  <c r="E23" i="6" s="1"/>
  <c r="F23" i="6" s="1"/>
  <c r="G23" i="6" s="1"/>
  <c r="T24" i="6"/>
  <c r="U24" i="6" s="1"/>
  <c r="V24" i="6" s="1"/>
  <c r="W24" i="6" s="1"/>
  <c r="D20" i="6"/>
  <c r="E20" i="6" s="1"/>
  <c r="F20" i="6" s="1"/>
  <c r="G20" i="6" s="1"/>
  <c r="AJ20" i="6"/>
  <c r="AK20" i="6" s="1"/>
  <c r="AL20" i="6" s="1"/>
  <c r="AM20" i="6" s="1"/>
  <c r="D10" i="6"/>
  <c r="E10" i="6" s="1"/>
  <c r="F10" i="6" s="1"/>
  <c r="G10" i="6" s="1"/>
  <c r="T22" i="6"/>
  <c r="U22" i="6" s="1"/>
  <c r="V22" i="6" s="1"/>
  <c r="W22" i="6" s="1"/>
  <c r="D19" i="6"/>
  <c r="E19" i="6" s="1"/>
  <c r="F19" i="6" s="1"/>
  <c r="G19" i="6" s="1"/>
  <c r="D15" i="6"/>
  <c r="E15" i="6" s="1"/>
  <c r="F15" i="6" s="1"/>
  <c r="G15" i="6" s="1"/>
  <c r="AJ30" i="6"/>
  <c r="AK30" i="6" s="1"/>
  <c r="AL30" i="6" s="1"/>
  <c r="AM30" i="6" s="1"/>
  <c r="D16" i="6"/>
  <c r="E16" i="6" s="1"/>
  <c r="F16" i="6" s="1"/>
  <c r="G16" i="6" s="1"/>
  <c r="AJ22" i="6"/>
  <c r="AK22" i="6" s="1"/>
  <c r="AL22" i="6" s="1"/>
  <c r="AM22" i="6" s="1"/>
  <c r="D30" i="6"/>
  <c r="E30" i="6" s="1"/>
  <c r="F30" i="6" s="1"/>
  <c r="G30" i="6" s="1"/>
  <c r="AJ25" i="6"/>
  <c r="AK25" i="6" s="1"/>
  <c r="AL25" i="6" s="1"/>
  <c r="AM25" i="6" s="1"/>
  <c r="AJ15" i="6"/>
  <c r="AK15" i="6" s="1"/>
  <c r="AL15" i="6" s="1"/>
  <c r="AM15" i="6" s="1"/>
  <c r="AJ32" i="6"/>
  <c r="AK32" i="6" s="1"/>
  <c r="AL32" i="6" s="1"/>
  <c r="AM32" i="6" s="1"/>
  <c r="D21" i="6"/>
  <c r="E21" i="6" s="1"/>
  <c r="F21" i="6" s="1"/>
  <c r="G21" i="6" s="1"/>
  <c r="D32" i="6"/>
  <c r="E32" i="6" s="1"/>
  <c r="F32" i="6" s="1"/>
  <c r="G32" i="6" s="1"/>
  <c r="D11" i="6"/>
  <c r="E11" i="6" s="1"/>
  <c r="F11" i="6" s="1"/>
  <c r="G11" i="6" s="1"/>
  <c r="AJ14" i="6"/>
  <c r="AK14" i="6" s="1"/>
  <c r="AL14" i="6" s="1"/>
  <c r="AM14" i="6" s="1"/>
  <c r="AJ33" i="6"/>
  <c r="AK33" i="6" s="1"/>
  <c r="AL33" i="6" s="1"/>
  <c r="AM33" i="6" s="1"/>
  <c r="D25" i="6"/>
  <c r="E25" i="6" s="1"/>
  <c r="F25" i="6" s="1"/>
  <c r="G25" i="6" s="1"/>
  <c r="L10" i="6"/>
  <c r="M10" i="6" s="1"/>
  <c r="N10" i="6" s="1"/>
  <c r="O10" i="6" s="1"/>
  <c r="D27" i="6"/>
  <c r="E27" i="6" s="1"/>
  <c r="F27" i="6" s="1"/>
  <c r="G27" i="6" s="1"/>
  <c r="D31" i="6"/>
  <c r="E31" i="6" s="1"/>
  <c r="F31" i="6" s="1"/>
  <c r="G31" i="6" s="1"/>
  <c r="T12" i="6"/>
  <c r="U12" i="6" s="1"/>
  <c r="V12" i="6" s="1"/>
  <c r="W12" i="6" s="1"/>
  <c r="AJ10" i="6"/>
  <c r="AK10" i="6" s="1"/>
  <c r="AL10" i="6" s="1"/>
  <c r="AM10" i="6" s="1"/>
  <c r="D14" i="6"/>
  <c r="E14" i="6" s="1"/>
  <c r="F14" i="6" s="1"/>
  <c r="G14" i="6" s="1"/>
  <c r="AJ18" i="6"/>
  <c r="AK18" i="6" s="1"/>
  <c r="AL18" i="6" s="1"/>
  <c r="AM18" i="6" s="1"/>
  <c r="AJ24" i="6"/>
  <c r="AK24" i="6" s="1"/>
  <c r="AL24" i="6" s="1"/>
  <c r="AM24" i="6" s="1"/>
  <c r="AJ26" i="6"/>
  <c r="AK26" i="6" s="1"/>
  <c r="AL26" i="6" s="1"/>
  <c r="AM26" i="6" s="1"/>
  <c r="AJ27" i="6"/>
  <c r="AK27" i="6" s="1"/>
  <c r="AL27" i="6" s="1"/>
  <c r="AM27" i="6" s="1"/>
  <c r="AJ17" i="6"/>
  <c r="AK17" i="6" s="1"/>
  <c r="AL17" i="6" s="1"/>
  <c r="AM17" i="6" s="1"/>
  <c r="L24" i="6"/>
  <c r="M24" i="6" s="1"/>
  <c r="N24" i="6" s="1"/>
  <c r="O24" i="6" s="1"/>
  <c r="T28" i="6"/>
  <c r="U28" i="6" s="1"/>
  <c r="V28" i="6" s="1"/>
  <c r="W28" i="6" s="1"/>
  <c r="T21" i="6"/>
  <c r="U21" i="6" s="1"/>
  <c r="V21" i="6" s="1"/>
  <c r="W21" i="6" s="1"/>
  <c r="T9" i="6"/>
  <c r="U9" i="6" s="1"/>
  <c r="V9" i="6" s="1"/>
  <c r="W9" i="6" s="1"/>
  <c r="AB15" i="6"/>
  <c r="AC15" i="6" s="1"/>
  <c r="AD15" i="6" s="1"/>
  <c r="AE15" i="6" s="1"/>
  <c r="AB16" i="6"/>
  <c r="AC16" i="6" s="1"/>
  <c r="AD16" i="6" s="1"/>
  <c r="AE16" i="6" s="1"/>
  <c r="L31" i="6"/>
  <c r="M31" i="6" s="1"/>
  <c r="N31" i="6" s="1"/>
  <c r="O31" i="6" s="1"/>
  <c r="L11" i="6"/>
  <c r="M11" i="6" s="1"/>
  <c r="N11" i="6" s="1"/>
  <c r="O11" i="6" s="1"/>
  <c r="AB20" i="6"/>
  <c r="AC20" i="6" s="1"/>
  <c r="AD20" i="6" s="1"/>
  <c r="AE20" i="6" s="1"/>
  <c r="AB30" i="6"/>
  <c r="AC30" i="6" s="1"/>
  <c r="AD30" i="6" s="1"/>
  <c r="AE30" i="6" s="1"/>
  <c r="AJ19" i="6"/>
  <c r="AK19" i="6" s="1"/>
  <c r="AL19" i="6" s="1"/>
  <c r="AM19" i="6" s="1"/>
  <c r="AB28" i="6"/>
  <c r="AC28" i="6" s="1"/>
  <c r="AD28" i="6" s="1"/>
  <c r="AE28" i="6" s="1"/>
  <c r="AJ21" i="6"/>
  <c r="AK21" i="6" s="1"/>
  <c r="AL21" i="6" s="1"/>
  <c r="AM21" i="6" s="1"/>
  <c r="L18" i="6"/>
  <c r="M18" i="6" s="1"/>
  <c r="N18" i="6" s="1"/>
  <c r="O18" i="6" s="1"/>
  <c r="AB32" i="6"/>
  <c r="AC32" i="6" s="1"/>
  <c r="AD32" i="6" s="1"/>
  <c r="AE32" i="6" s="1"/>
  <c r="AB14" i="6"/>
  <c r="AC14" i="6" s="1"/>
  <c r="AD14" i="6" s="1"/>
  <c r="AE14" i="6" s="1"/>
  <c r="L33" i="6"/>
  <c r="M33" i="6" s="1"/>
  <c r="N33" i="6" s="1"/>
  <c r="O33" i="6" s="1"/>
  <c r="T32" i="6"/>
  <c r="U32" i="6" s="1"/>
  <c r="V32" i="6" s="1"/>
  <c r="W32" i="6" s="1"/>
  <c r="AB33" i="6"/>
  <c r="AC33" i="6" s="1"/>
  <c r="AD33" i="6" s="1"/>
  <c r="AE33" i="6" s="1"/>
  <c r="AJ29" i="6"/>
  <c r="AK29" i="6" s="1"/>
  <c r="AL29" i="6" s="1"/>
  <c r="AM29" i="6" s="1"/>
  <c r="D29" i="6"/>
  <c r="E29" i="6" s="1"/>
  <c r="F29" i="6" s="1"/>
  <c r="G29" i="6" s="1"/>
  <c r="T17" i="6"/>
  <c r="U17" i="6" s="1"/>
  <c r="V17" i="6" s="1"/>
  <c r="W17" i="6" s="1"/>
  <c r="L26" i="6"/>
  <c r="M26" i="6" s="1"/>
  <c r="N26" i="6" s="1"/>
  <c r="O26" i="6" s="1"/>
  <c r="T13" i="6"/>
  <c r="U13" i="6" s="1"/>
  <c r="V13" i="6" s="1"/>
  <c r="W13" i="6" s="1"/>
  <c r="AB23" i="6"/>
  <c r="AC23" i="6" s="1"/>
  <c r="AD23" i="6" s="1"/>
  <c r="AE23" i="6" s="1"/>
  <c r="AB29" i="6"/>
  <c r="AC29" i="6" s="1"/>
  <c r="AD29" i="6" s="1"/>
  <c r="AE29" i="6" s="1"/>
  <c r="AB21" i="6"/>
  <c r="AC21" i="6" s="1"/>
  <c r="AD21" i="6" s="1"/>
  <c r="AE21" i="6" s="1"/>
  <c r="T15" i="6"/>
  <c r="U15" i="6" s="1"/>
  <c r="V15" i="6" s="1"/>
  <c r="W15" i="6" s="1"/>
  <c r="L28" i="6"/>
  <c r="M28" i="6" s="1"/>
  <c r="N28" i="6" s="1"/>
  <c r="O28" i="6" s="1"/>
  <c r="AB12" i="6"/>
  <c r="AC12" i="6" s="1"/>
  <c r="AD12" i="6" s="1"/>
  <c r="AE12" i="6" s="1"/>
  <c r="AJ9" i="6"/>
  <c r="AK9" i="6" s="1"/>
  <c r="AL9" i="6" s="1"/>
  <c r="AM9" i="6" s="1"/>
  <c r="AJ16" i="6"/>
  <c r="AK16" i="6" s="1"/>
  <c r="AL16" i="6" s="1"/>
  <c r="AM16" i="6" s="1"/>
  <c r="T33" i="6"/>
  <c r="U33" i="6" s="1"/>
  <c r="V33" i="6" s="1"/>
  <c r="W33" i="6" s="1"/>
  <c r="AB13" i="6"/>
  <c r="AC13" i="6" s="1"/>
  <c r="AD13" i="6" s="1"/>
  <c r="AE13" i="6" s="1"/>
  <c r="D33" i="6"/>
  <c r="E33" i="6" s="1"/>
  <c r="F33" i="6" s="1"/>
  <c r="G33" i="6" s="1"/>
  <c r="T25" i="6"/>
  <c r="U25" i="6" s="1"/>
  <c r="V25" i="6" s="1"/>
  <c r="W25" i="6" s="1"/>
  <c r="T26" i="6"/>
  <c r="U26" i="6" s="1"/>
  <c r="V26" i="6" s="1"/>
  <c r="W26" i="6" s="1"/>
  <c r="AB22" i="6"/>
  <c r="AC22" i="6" s="1"/>
  <c r="AD22" i="6" s="1"/>
  <c r="AE22" i="6" s="1"/>
  <c r="T29" i="6"/>
  <c r="U29" i="6" s="1"/>
  <c r="V29" i="6" s="1"/>
  <c r="W29" i="6" s="1"/>
  <c r="L21" i="6"/>
  <c r="M21" i="6" s="1"/>
  <c r="N21" i="6" s="1"/>
  <c r="O21" i="6" s="1"/>
  <c r="L16" i="6"/>
  <c r="M16" i="6" s="1"/>
  <c r="N16" i="6" s="1"/>
  <c r="O16" i="6" s="1"/>
  <c r="AB19" i="6"/>
  <c r="AC19" i="6" s="1"/>
  <c r="AD19" i="6" s="1"/>
  <c r="AE19" i="6" s="1"/>
  <c r="AB11" i="6"/>
  <c r="AC11" i="6" s="1"/>
  <c r="AD11" i="6" s="1"/>
  <c r="AE11" i="6" s="1"/>
  <c r="L23" i="6"/>
  <c r="M23" i="6" s="1"/>
  <c r="N23" i="6" s="1"/>
  <c r="O23" i="6" s="1"/>
  <c r="AJ31" i="6"/>
  <c r="AK31" i="6" s="1"/>
  <c r="AL31" i="6" s="1"/>
  <c r="AM31" i="6" s="1"/>
  <c r="D26" i="6"/>
  <c r="E26" i="6" s="1"/>
  <c r="F26" i="6" s="1"/>
  <c r="G26" i="6" s="1"/>
  <c r="D9" i="6"/>
  <c r="E9" i="6" s="1"/>
  <c r="F9" i="6" s="1"/>
  <c r="G9" i="6" s="1"/>
  <c r="L29" i="6"/>
  <c r="M29" i="6" s="1"/>
  <c r="N29" i="6" s="1"/>
  <c r="O29" i="6" s="1"/>
  <c r="AB9" i="6"/>
  <c r="T18" i="6"/>
  <c r="U18" i="6" s="1"/>
  <c r="V18" i="6" s="1"/>
  <c r="W18" i="6" s="1"/>
  <c r="L22" i="6"/>
  <c r="M22" i="6" s="1"/>
  <c r="N22" i="6" s="1"/>
  <c r="O22" i="6" s="1"/>
  <c r="T30" i="6"/>
  <c r="U30" i="6" s="1"/>
  <c r="V30" i="6" s="1"/>
  <c r="W30" i="6" s="1"/>
  <c r="T23" i="6"/>
  <c r="U23" i="6" s="1"/>
  <c r="V23" i="6" s="1"/>
  <c r="W23" i="6" s="1"/>
  <c r="L25" i="6"/>
  <c r="M25" i="6" s="1"/>
  <c r="N25" i="6" s="1"/>
  <c r="O25" i="6" s="1"/>
  <c r="L15" i="6"/>
  <c r="M15" i="6" s="1"/>
  <c r="N15" i="6" s="1"/>
  <c r="O15" i="6" s="1"/>
  <c r="AB26" i="6"/>
  <c r="AC26" i="6" s="1"/>
  <c r="AD26" i="6" s="1"/>
  <c r="AE26" i="6" s="1"/>
  <c r="L9" i="6"/>
  <c r="M9" i="6" s="1"/>
  <c r="N9" i="6" s="1"/>
  <c r="O9" i="6" s="1"/>
  <c r="D28" i="6"/>
  <c r="E28" i="6" s="1"/>
  <c r="F28" i="6" s="1"/>
  <c r="G28" i="6" s="1"/>
  <c r="T11" i="6"/>
  <c r="U11" i="6" s="1"/>
  <c r="V11" i="6" s="1"/>
  <c r="W11" i="6" s="1"/>
  <c r="L19" i="6"/>
  <c r="M19" i="6" s="1"/>
  <c r="N19" i="6" s="1"/>
  <c r="O19" i="6" s="1"/>
  <c r="AB10" i="6"/>
  <c r="AC10" i="6" s="1"/>
  <c r="AD10" i="6" s="1"/>
  <c r="AE10" i="6" s="1"/>
  <c r="L30" i="6"/>
  <c r="M30" i="6" s="1"/>
  <c r="N30" i="6" s="1"/>
  <c r="O30" i="6" s="1"/>
  <c r="AJ12" i="6"/>
  <c r="AK12" i="6" s="1"/>
  <c r="AL12" i="6" s="1"/>
  <c r="AM12" i="6" s="1"/>
  <c r="L14" i="6"/>
  <c r="M14" i="6" s="1"/>
  <c r="N14" i="6" s="1"/>
  <c r="O14" i="6" s="1"/>
  <c r="L17" i="6"/>
  <c r="M17" i="6" s="1"/>
  <c r="N17" i="6" s="1"/>
  <c r="O17" i="6" s="1"/>
  <c r="AB17" i="6"/>
  <c r="AC17" i="6" s="1"/>
  <c r="AD17" i="6" s="1"/>
  <c r="AE17" i="6" s="1"/>
  <c r="D17" i="6"/>
  <c r="E17" i="6" s="1"/>
  <c r="F17" i="6" s="1"/>
  <c r="G17" i="6" s="1"/>
  <c r="AJ28" i="6"/>
  <c r="AK28" i="6" s="1"/>
  <c r="AL28" i="6" s="1"/>
  <c r="AM28" i="6" s="1"/>
  <c r="T20" i="6"/>
  <c r="U20" i="6" s="1"/>
  <c r="V20" i="6" s="1"/>
  <c r="W20" i="6" s="1"/>
  <c r="AJ11" i="6"/>
  <c r="AK11" i="6" s="1"/>
  <c r="AL11" i="6" s="1"/>
  <c r="AM11" i="6" s="1"/>
  <c r="T31" i="6"/>
  <c r="U31" i="6" s="1"/>
  <c r="V31" i="6" s="1"/>
  <c r="W31" i="6" s="1"/>
  <c r="AJ13" i="6"/>
  <c r="AK13" i="6" s="1"/>
  <c r="AL13" i="6" s="1"/>
  <c r="AM13" i="6" s="1"/>
  <c r="L20" i="6"/>
  <c r="M20" i="6" s="1"/>
  <c r="N20" i="6" s="1"/>
  <c r="O20" i="6" s="1"/>
  <c r="L32" i="6"/>
  <c r="M32" i="6" s="1"/>
  <c r="N32" i="6" s="1"/>
  <c r="O32" i="6" s="1"/>
  <c r="T10" i="6"/>
  <c r="U10" i="6" s="1"/>
  <c r="V10" i="6" s="1"/>
  <c r="W10" i="6" s="1"/>
  <c r="AB18" i="6"/>
  <c r="AC18" i="6" s="1"/>
  <c r="AD18" i="6" s="1"/>
  <c r="AE18" i="6" s="1"/>
  <c r="AB24" i="6"/>
  <c r="AC24" i="6" s="1"/>
  <c r="AD24" i="6" s="1"/>
  <c r="AE24" i="6" s="1"/>
  <c r="T27" i="6"/>
  <c r="U27" i="6" s="1"/>
  <c r="V27" i="6" s="1"/>
  <c r="W27" i="6" s="1"/>
  <c r="L13" i="6"/>
  <c r="M13" i="6" s="1"/>
  <c r="N13" i="6" s="1"/>
  <c r="O13" i="6" s="1"/>
  <c r="T19" i="6"/>
  <c r="U19" i="6" s="1"/>
  <c r="V19" i="6" s="1"/>
  <c r="W19" i="6" s="1"/>
  <c r="AB27" i="6"/>
  <c r="AC27" i="6" s="1"/>
  <c r="AD27" i="6" s="1"/>
  <c r="AE27" i="6" s="1"/>
  <c r="L27" i="6"/>
  <c r="M27" i="6" s="1"/>
  <c r="N27" i="6" s="1"/>
  <c r="O27" i="6" s="1"/>
  <c r="AB31" i="6"/>
  <c r="AC31" i="6" s="1"/>
  <c r="AD31" i="6" s="1"/>
  <c r="AE31" i="6" s="1"/>
  <c r="D22" i="6"/>
  <c r="E22" i="6" s="1"/>
  <c r="F22" i="6" s="1"/>
  <c r="G22" i="6" s="1"/>
  <c r="T14" i="6"/>
  <c r="U14" i="6" s="1"/>
  <c r="V14" i="6" s="1"/>
  <c r="W14" i="6" s="1"/>
  <c r="D12" i="6"/>
  <c r="E12" i="6" s="1"/>
  <c r="F12" i="6" s="1"/>
  <c r="G12" i="6" s="1"/>
  <c r="D18" i="6"/>
  <c r="E18" i="6" s="1"/>
  <c r="F18" i="6" s="1"/>
  <c r="G18" i="6" s="1"/>
  <c r="T16" i="6"/>
  <c r="U16" i="6" s="1"/>
  <c r="V16" i="6" s="1"/>
  <c r="W16" i="6" s="1"/>
  <c r="L12" i="6"/>
  <c r="M12" i="6" s="1"/>
  <c r="N12" i="6" s="1"/>
  <c r="O12" i="6" s="1"/>
  <c r="AB25" i="6"/>
  <c r="AC25" i="6" s="1"/>
  <c r="C21" i="4"/>
  <c r="C22" i="4"/>
  <c r="AD25" i="6" l="1"/>
  <c r="AE25" i="6" s="1"/>
  <c r="AC9" i="6"/>
  <c r="AD9" i="6" s="1"/>
  <c r="AE9" i="6" s="1"/>
</calcChain>
</file>

<file path=xl/sharedStrings.xml><?xml version="1.0" encoding="utf-8"?>
<sst xmlns="http://schemas.openxmlformats.org/spreadsheetml/2006/main" count="215" uniqueCount="147">
  <si>
    <t>ka=</t>
  </si>
  <si>
    <t>cmin</t>
  </si>
  <si>
    <t>alfa1=</t>
  </si>
  <si>
    <t>alfa2=</t>
  </si>
  <si>
    <t>alfa3=</t>
  </si>
  <si>
    <t>Verificare</t>
  </si>
  <si>
    <t>nn=</t>
  </si>
  <si>
    <t>Mn=</t>
  </si>
  <si>
    <t>n</t>
  </si>
  <si>
    <t>Pe</t>
  </si>
  <si>
    <t>Me</t>
  </si>
  <si>
    <t>ce</t>
  </si>
  <si>
    <t>Ce</t>
  </si>
  <si>
    <t>Ga=</t>
  </si>
  <si>
    <t>K=</t>
  </si>
  <si>
    <t>B=</t>
  </si>
  <si>
    <t>S=</t>
  </si>
  <si>
    <t>eta=</t>
  </si>
  <si>
    <t>pvmax=</t>
  </si>
  <si>
    <t>A=</t>
  </si>
  <si>
    <t>vmax=</t>
  </si>
  <si>
    <t>lamda</t>
  </si>
  <si>
    <t>B</t>
  </si>
  <si>
    <t>H</t>
  </si>
  <si>
    <t>d</t>
  </si>
  <si>
    <t>D</t>
  </si>
  <si>
    <t>rn</t>
  </si>
  <si>
    <t>K</t>
  </si>
  <si>
    <t>rs</t>
  </si>
  <si>
    <t>rd</t>
  </si>
  <si>
    <t>Raport reductor central</t>
  </si>
  <si>
    <t>r</t>
  </si>
  <si>
    <t>nvmax</t>
  </si>
  <si>
    <t>vmax</t>
  </si>
  <si>
    <t>icdn</t>
  </si>
  <si>
    <t>ikvmax</t>
  </si>
  <si>
    <t>io</t>
  </si>
  <si>
    <t>Rapoarte cutie de viteze</t>
  </si>
  <si>
    <t>Ga</t>
  </si>
  <si>
    <t>psimax</t>
  </si>
  <si>
    <t>alfamax</t>
  </si>
  <si>
    <t>f</t>
  </si>
  <si>
    <t>MM</t>
  </si>
  <si>
    <t>etatr</t>
  </si>
  <si>
    <t>i0</t>
  </si>
  <si>
    <t>mm</t>
  </si>
  <si>
    <t>Gm</t>
  </si>
  <si>
    <t>fi</t>
  </si>
  <si>
    <t>rezistente la rulare</t>
  </si>
  <si>
    <t>conditia de aderenta</t>
  </si>
  <si>
    <t>se adopta i1=</t>
  </si>
  <si>
    <t>nr trepte viteza=</t>
  </si>
  <si>
    <t>ratie rapoarte viteza</t>
  </si>
  <si>
    <t>treapta</t>
  </si>
  <si>
    <t>raport</t>
  </si>
  <si>
    <t>nmin</t>
  </si>
  <si>
    <t>v1min</t>
  </si>
  <si>
    <t>v1max</t>
  </si>
  <si>
    <t>v2min</t>
  </si>
  <si>
    <t>v2max</t>
  </si>
  <si>
    <t>v3min</t>
  </si>
  <si>
    <t>v3max</t>
  </si>
  <si>
    <t>v4min</t>
  </si>
  <si>
    <t>v4max</t>
  </si>
  <si>
    <t>v5min</t>
  </si>
  <si>
    <t>v5max</t>
  </si>
  <si>
    <t>v1</t>
  </si>
  <si>
    <t>v2</t>
  </si>
  <si>
    <t>v3</t>
  </si>
  <si>
    <t>v4</t>
  </si>
  <si>
    <t>v5</t>
  </si>
  <si>
    <t>gama1</t>
  </si>
  <si>
    <t>k</t>
  </si>
  <si>
    <t>i1</t>
  </si>
  <si>
    <t>gama2</t>
  </si>
  <si>
    <t>S</t>
  </si>
  <si>
    <t>i2</t>
  </si>
  <si>
    <t>gama3</t>
  </si>
  <si>
    <t>i3</t>
  </si>
  <si>
    <t>gama4</t>
  </si>
  <si>
    <t>i4</t>
  </si>
  <si>
    <t>gama5</t>
  </si>
  <si>
    <t>i5</t>
  </si>
  <si>
    <t>treapta 1</t>
  </si>
  <si>
    <t>treapta 2</t>
  </si>
  <si>
    <t>treapta 3</t>
  </si>
  <si>
    <t>treapta 4</t>
  </si>
  <si>
    <t>treapta 5</t>
  </si>
  <si>
    <t>v</t>
  </si>
  <si>
    <t>FR</t>
  </si>
  <si>
    <t>a</t>
  </si>
  <si>
    <t>1/a</t>
  </si>
  <si>
    <t>Spatiul minim de franare</t>
  </si>
  <si>
    <t>g</t>
  </si>
  <si>
    <t>Sfmin=</t>
  </si>
  <si>
    <t>Deceleratia maxima</t>
  </si>
  <si>
    <t>af=</t>
  </si>
  <si>
    <t>Spatiul de oprire</t>
  </si>
  <si>
    <t>t0</t>
  </si>
  <si>
    <t>t1'</t>
  </si>
  <si>
    <t>t1''</t>
  </si>
  <si>
    <t>Sopr=</t>
  </si>
  <si>
    <t xml:space="preserve">fi </t>
  </si>
  <si>
    <t>viteza</t>
  </si>
  <si>
    <t>franare</t>
  </si>
  <si>
    <t>oprire</t>
  </si>
  <si>
    <t>franare cu Fa</t>
  </si>
  <si>
    <t>oprire cu Fa</t>
  </si>
  <si>
    <t>alfa4</t>
  </si>
  <si>
    <t>alfa5</t>
  </si>
  <si>
    <t>alfa6</t>
  </si>
  <si>
    <t>Pn(Putere maxima=</t>
  </si>
  <si>
    <t>ce=</t>
  </si>
  <si>
    <t>Inaltimea autovehicului H=</t>
  </si>
  <si>
    <t>ecartament B=</t>
  </si>
  <si>
    <t>(coeficient rezistenta rulare) f=</t>
  </si>
  <si>
    <t>Gautivehicul incarcat GA=</t>
  </si>
  <si>
    <t>(coeficintii de rezistenta) cx=</t>
  </si>
  <si>
    <t>v6</t>
  </si>
  <si>
    <t>v6min</t>
  </si>
  <si>
    <t>v6max</t>
  </si>
  <si>
    <t>treapta 6</t>
  </si>
  <si>
    <t>i6</t>
  </si>
  <si>
    <t>gama6</t>
  </si>
  <si>
    <t>D - factor dinamic</t>
  </si>
  <si>
    <t>FR - forta la roata</t>
  </si>
  <si>
    <t>D= (FR -k*S*v^2)/Ga</t>
  </si>
  <si>
    <t>a - acceleratia la demaraj</t>
  </si>
  <si>
    <t>v1 - Viteza de încercare [km/h]
încercare
[km/h]</t>
  </si>
  <si>
    <t>g - forta gravitationala</t>
  </si>
  <si>
    <t>f- (coeficient rezistenta rulare)</t>
  </si>
  <si>
    <t>af- deceleraţia absolută a autovehiculului</t>
  </si>
  <si>
    <t>Sfmin - spaţiul minim de frânare</t>
  </si>
  <si>
    <t>timp de reactie</t>
  </si>
  <si>
    <t>timpul de intarziere a inceperii actiunii de manevra</t>
  </si>
  <si>
    <t>timpul de crestere a fortei de franare</t>
  </si>
  <si>
    <t>1/a - inversul accelerarii</t>
  </si>
  <si>
    <t>ce - coeficientul de elasticitate</t>
  </si>
  <si>
    <t>cmin -Consum specific de combustibi</t>
  </si>
  <si>
    <t>densitate aer ro=</t>
  </si>
  <si>
    <t>coeficient aerodinamic K=</t>
  </si>
  <si>
    <t>f -  coeficient la rulare</t>
  </si>
  <si>
    <t xml:space="preserve">raportul de transmitere al reductorului central </t>
  </si>
  <si>
    <t>b</t>
  </si>
  <si>
    <t>L</t>
  </si>
  <si>
    <t>Ff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</si>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</sst>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2" tint="-0.899990844447157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2" fontId="0" fillId="6" borderId="1" xfId="0" applyNumberFormat="1" applyFill="1" applyBorder="1"/>
    <xf numFmtId="2" fontId="2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Caracteristica externă</a:t>
            </a:r>
            <a:r>
              <a:rPr lang="ro-RO" baseline="0"/>
              <a:t>  MAC</a:t>
            </a:r>
            <a:endParaRPr lang="ro-RO"/>
          </a:p>
        </c:rich>
      </c:tx>
      <c:layout>
        <c:manualLayout>
          <c:xMode val="edge"/>
          <c:yMode val="edge"/>
          <c:x val="0.34703680652270952"/>
          <c:y val="2.9412667337846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23838065859082E-2"/>
          <c:y val="0.14286152706953784"/>
          <c:w val="0.8937968363911416"/>
          <c:h val="0.7647293507839967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externa'!$C$6:$C$30</c:f>
              <c:numCache>
                <c:formatCode>0.00</c:formatCode>
                <c:ptCount val="25"/>
                <c:pt idx="0">
                  <c:v>925.05573095909324</c:v>
                </c:pt>
                <c:pt idx="1">
                  <c:v>931.04540816813073</c:v>
                </c:pt>
                <c:pt idx="2">
                  <c:v>941.82682714439829</c:v>
                </c:pt>
                <c:pt idx="3">
                  <c:v>951.01099886492216</c:v>
                </c:pt>
                <c:pt idx="4">
                  <c:v>958.59792332970312</c:v>
                </c:pt>
                <c:pt idx="5">
                  <c:v>964.5876005387405</c:v>
                </c:pt>
                <c:pt idx="6">
                  <c:v>968.98003049203476</c:v>
                </c:pt>
                <c:pt idx="7">
                  <c:v>971.77521318958543</c:v>
                </c:pt>
                <c:pt idx="8">
                  <c:v>972.97314863139309</c:v>
                </c:pt>
                <c:pt idx="9">
                  <c:v>972.57383681745728</c:v>
                </c:pt>
                <c:pt idx="10">
                  <c:v>970.57727774777788</c:v>
                </c:pt>
                <c:pt idx="11">
                  <c:v>966.98347142235559</c:v>
                </c:pt>
                <c:pt idx="12">
                  <c:v>961.7924178411896</c:v>
                </c:pt>
                <c:pt idx="13">
                  <c:v>955.0041170042806</c:v>
                </c:pt>
                <c:pt idx="14">
                  <c:v>946.61856891162836</c:v>
                </c:pt>
                <c:pt idx="15">
                  <c:v>936.63577356323253</c:v>
                </c:pt>
                <c:pt idx="16">
                  <c:v>925.05573095909313</c:v>
                </c:pt>
                <c:pt idx="17">
                  <c:v>911.87844109921093</c:v>
                </c:pt>
                <c:pt idx="18">
                  <c:v>897.10390398358527</c:v>
                </c:pt>
                <c:pt idx="19">
                  <c:v>880.73211961221625</c:v>
                </c:pt>
                <c:pt idx="20">
                  <c:v>862.76308798510388</c:v>
                </c:pt>
                <c:pt idx="21">
                  <c:v>843.19680910224793</c:v>
                </c:pt>
                <c:pt idx="22">
                  <c:v>822.03328296364907</c:v>
                </c:pt>
                <c:pt idx="23">
                  <c:v>810.85255217344582</c:v>
                </c:pt>
                <c:pt idx="24">
                  <c:v>-1.6338992537113658E-12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110-AA90-02156249402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externa'!$D$6:$D$30</c:f>
              <c:numCache>
                <c:formatCode>General</c:formatCode>
                <c:ptCount val="25"/>
                <c:pt idx="0">
                  <c:v>280.91412742382272</c:v>
                </c:pt>
                <c:pt idx="1">
                  <c:v>276.66551246537398</c:v>
                </c:pt>
                <c:pt idx="2">
                  <c:v>268.58379501385042</c:v>
                </c:pt>
                <c:pt idx="3">
                  <c:v>261.05609418282546</c:v>
                </c:pt>
                <c:pt idx="4">
                  <c:v>254.08240997229913</c:v>
                </c:pt>
                <c:pt idx="5">
                  <c:v>247.66274238227149</c:v>
                </c:pt>
                <c:pt idx="6">
                  <c:v>241.79709141274242</c:v>
                </c:pt>
                <c:pt idx="7">
                  <c:v>236.48545706371192</c:v>
                </c:pt>
                <c:pt idx="8">
                  <c:v>231.72783933518005</c:v>
                </c:pt>
                <c:pt idx="9">
                  <c:v>227.52423822714681</c:v>
                </c:pt>
                <c:pt idx="10">
                  <c:v>223.8746537396122</c:v>
                </c:pt>
                <c:pt idx="11">
                  <c:v>220.77908587257616</c:v>
                </c:pt>
                <c:pt idx="12">
                  <c:v>218.23753462603878</c:v>
                </c:pt>
                <c:pt idx="13">
                  <c:v>216.24999999999997</c:v>
                </c:pt>
                <c:pt idx="14">
                  <c:v>214.81648199445982</c:v>
                </c:pt>
                <c:pt idx="15">
                  <c:v>213.93698060941827</c:v>
                </c:pt>
                <c:pt idx="16">
                  <c:v>213.61149584487535</c:v>
                </c:pt>
                <c:pt idx="17">
                  <c:v>213.84002770083103</c:v>
                </c:pt>
                <c:pt idx="18">
                  <c:v>214.62257617728528</c:v>
                </c:pt>
                <c:pt idx="19">
                  <c:v>215.95914127423819</c:v>
                </c:pt>
                <c:pt idx="20">
                  <c:v>217.84972299168976</c:v>
                </c:pt>
                <c:pt idx="21">
                  <c:v>220.2943213296399</c:v>
                </c:pt>
                <c:pt idx="22">
                  <c:v>223.29293628808861</c:v>
                </c:pt>
                <c:pt idx="23">
                  <c:v>225</c:v>
                </c:pt>
                <c:pt idx="2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A-4110-AA90-02156249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8800"/>
        <c:axId val="1"/>
      </c:scatterChart>
      <c:scatterChart>
        <c:scatterStyle val="lineMarker"/>
        <c:varyColors val="0"/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externa'!$E$6:$E$30</c:f>
              <c:numCache>
                <c:formatCode>General</c:formatCode>
                <c:ptCount val="25"/>
                <c:pt idx="0">
                  <c:v>17.688192397201611</c:v>
                </c:pt>
                <c:pt idx="1">
                  <c:v>18.882197957815151</c:v>
                </c:pt>
                <c:pt idx="2">
                  <c:v>21.191879105653541</c:v>
                </c:pt>
                <c:pt idx="3">
                  <c:v>23.398633941130782</c:v>
                </c:pt>
                <c:pt idx="4">
                  <c:v>25.505844160661734</c:v>
                </c:pt>
                <c:pt idx="5">
                  <c:v>27.518430190736261</c:v>
                </c:pt>
                <c:pt idx="6">
                  <c:v>29.442573187905655</c:v>
                </c:pt>
                <c:pt idx="7">
                  <c:v>31.285437038769157</c:v>
                </c:pt>
                <c:pt idx="8">
                  <c:v>33.054890359960325</c:v>
                </c:pt>
                <c:pt idx="9">
                  <c:v>34.759228498133545</c:v>
                </c:pt>
                <c:pt idx="10">
                  <c:v>36.406895529950468</c:v>
                </c:pt>
                <c:pt idx="11">
                  <c:v>38.006206262066371</c:v>
                </c:pt>
                <c:pt idx="12">
                  <c:v>39.565068231116769</c:v>
                </c:pt>
                <c:pt idx="13">
                  <c:v>41.090703703703703</c:v>
                </c:pt>
                <c:pt idx="14">
                  <c:v>42.589371676382278</c:v>
                </c:pt>
                <c:pt idx="15">
                  <c:v>44.066089875647137</c:v>
                </c:pt>
                <c:pt idx="16">
                  <c:v>45.524356757918774</c:v>
                </c:pt>
                <c:pt idx="17">
                  <c:v>46.965873509530148</c:v>
                </c:pt>
                <c:pt idx="18">
                  <c:v>48.390266046712981</c:v>
                </c:pt>
                <c:pt idx="19">
                  <c:v>49.794807015584375</c:v>
                </c:pt>
                <c:pt idx="20">
                  <c:v>51.174137792133095</c:v>
                </c:pt>
                <c:pt idx="21">
                  <c:v>52.519990482206083</c:v>
                </c:pt>
                <c:pt idx="22">
                  <c:v>53.820909921494938</c:v>
                </c:pt>
                <c:pt idx="23">
                  <c:v>54.45</c:v>
                </c:pt>
                <c:pt idx="24">
                  <c:v>18.150000000000002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A-4110-AA90-02156249402A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externa'!$B$6:$B$30</c:f>
              <c:numCache>
                <c:formatCode>0.00</c:formatCode>
                <c:ptCount val="25"/>
                <c:pt idx="0">
                  <c:v>62.96654625174817</c:v>
                </c:pt>
                <c:pt idx="1">
                  <c:v>68.249193004055215</c:v>
                </c:pt>
                <c:pt idx="2">
                  <c:v>78.902299762949994</c:v>
                </c:pt>
                <c:pt idx="3">
                  <c:v>89.630675025513909</c:v>
                </c:pt>
                <c:pt idx="4">
                  <c:v>100.38413978930089</c:v>
                </c:pt>
                <c:pt idx="5">
                  <c:v>111.11251505186482</c:v>
                </c:pt>
                <c:pt idx="6">
                  <c:v>121.76562181075957</c:v>
                </c:pt>
                <c:pt idx="7">
                  <c:v>132.29328106353913</c:v>
                </c:pt>
                <c:pt idx="8">
                  <c:v>142.6453138077573</c:v>
                </c:pt>
                <c:pt idx="9">
                  <c:v>152.77154104096803</c:v>
                </c:pt>
                <c:pt idx="10">
                  <c:v>162.62178376072529</c:v>
                </c:pt>
                <c:pt idx="11">
                  <c:v>172.14586296458288</c:v>
                </c:pt>
                <c:pt idx="12">
                  <c:v>181.29359965009476</c:v>
                </c:pt>
                <c:pt idx="13">
                  <c:v>190.01481481481483</c:v>
                </c:pt>
                <c:pt idx="14">
                  <c:v>198.25932945629691</c:v>
                </c:pt>
                <c:pt idx="15">
                  <c:v>205.97696457209506</c:v>
                </c:pt>
                <c:pt idx="16">
                  <c:v>213.11754115976302</c:v>
                </c:pt>
                <c:pt idx="17">
                  <c:v>219.63088021685485</c:v>
                </c:pt>
                <c:pt idx="18">
                  <c:v>225.46680274092432</c:v>
                </c:pt>
                <c:pt idx="19">
                  <c:v>230.5751297295254</c:v>
                </c:pt>
                <c:pt idx="20">
                  <c:v>234.90568218021198</c:v>
                </c:pt>
                <c:pt idx="21">
                  <c:v>238.40828109053797</c:v>
                </c:pt>
                <c:pt idx="22">
                  <c:v>241.03274745805729</c:v>
                </c:pt>
                <c:pt idx="23">
                  <c:v>242</c:v>
                </c:pt>
                <c:pt idx="24">
                  <c:v>-4.0847481342784146E-13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A-4110-AA90-02156249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8138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turația</a:t>
                </a:r>
                <a:r>
                  <a:rPr lang="ro-RO" baseline="0"/>
                  <a:t> [rpm]</a:t>
                </a:r>
                <a:endParaRPr lang="ro-RO"/>
              </a:p>
            </c:rich>
          </c:tx>
          <c:layout>
            <c:manualLayout>
              <c:xMode val="edge"/>
              <c:yMode val="edge"/>
              <c:x val="0.45127389529566597"/>
              <c:y val="0.95271863075939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880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5073268349810623E-2"/>
          <c:y val="6.7228953915076634E-2"/>
          <c:w val="0.82863890537055118"/>
          <c:h val="5.042171543630747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Diagrama</a:t>
            </a:r>
            <a:r>
              <a:rPr lang="ro-RO" baseline="0"/>
              <a:t> vitezelor</a:t>
            </a:r>
            <a:endParaRPr lang="ro-RO"/>
          </a:p>
        </c:rich>
      </c:tx>
      <c:layout>
        <c:manualLayout>
          <c:xMode val="edge"/>
          <c:yMode val="edge"/>
          <c:x val="0.42056379987792164"/>
          <c:y val="2.7608238959353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6657123037702"/>
          <c:y val="8.6755446552787455E-2"/>
          <c:w val="0.80405018666836903"/>
          <c:h val="0.79143618350147349"/>
        </c:manualLayout>
      </c:layout>
      <c:scatterChart>
        <c:scatterStyle val="smoothMarker"/>
        <c:varyColors val="0"/>
        <c:ser>
          <c:idx val="0"/>
          <c:order val="0"/>
          <c:tx>
            <c:v>Pe [kW]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viteze'!$A$16:$A$43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  <c:pt idx="25">
                  <c:v>2900</c:v>
                </c:pt>
                <c:pt idx="26">
                  <c:v>3000</c:v>
                </c:pt>
                <c:pt idx="27">
                  <c:v>3135</c:v>
                </c:pt>
              </c:numCache>
            </c:numRef>
          </c:xVal>
          <c:yVal>
            <c:numRef>
              <c:f>'Diagrama de viteze'!$B$16:$B$43</c:f>
              <c:numCache>
                <c:formatCode>0.00</c:formatCode>
                <c:ptCount val="28"/>
                <c:pt idx="0">
                  <c:v>62.96654625174817</c:v>
                </c:pt>
                <c:pt idx="1">
                  <c:v>68.249193004055215</c:v>
                </c:pt>
                <c:pt idx="2">
                  <c:v>78.902299762949994</c:v>
                </c:pt>
                <c:pt idx="3">
                  <c:v>89.630675025513909</c:v>
                </c:pt>
                <c:pt idx="4">
                  <c:v>100.38413978930089</c:v>
                </c:pt>
                <c:pt idx="5">
                  <c:v>111.11251505186482</c:v>
                </c:pt>
                <c:pt idx="6">
                  <c:v>121.76562181075957</c:v>
                </c:pt>
                <c:pt idx="7">
                  <c:v>129.13203313750793</c:v>
                </c:pt>
                <c:pt idx="8">
                  <c:v>132.29328106353913</c:v>
                </c:pt>
                <c:pt idx="9">
                  <c:v>142.6453138077573</c:v>
                </c:pt>
                <c:pt idx="10">
                  <c:v>152.77154104096803</c:v>
                </c:pt>
                <c:pt idx="11">
                  <c:v>162.62178376072529</c:v>
                </c:pt>
                <c:pt idx="12">
                  <c:v>172.14586296458288</c:v>
                </c:pt>
                <c:pt idx="13">
                  <c:v>181.29359965009476</c:v>
                </c:pt>
                <c:pt idx="14">
                  <c:v>190.01481481481483</c:v>
                </c:pt>
                <c:pt idx="15">
                  <c:v>198.25932945629691</c:v>
                </c:pt>
                <c:pt idx="16">
                  <c:v>205.41129521282355</c:v>
                </c:pt>
                <c:pt idx="17">
                  <c:v>205.97696457209506</c:v>
                </c:pt>
                <c:pt idx="18">
                  <c:v>213.11754115976302</c:v>
                </c:pt>
                <c:pt idx="19">
                  <c:v>219.63088021685485</c:v>
                </c:pt>
                <c:pt idx="20">
                  <c:v>225.46680274092432</c:v>
                </c:pt>
                <c:pt idx="21">
                  <c:v>230.5751297295254</c:v>
                </c:pt>
                <c:pt idx="22">
                  <c:v>234.90568218021198</c:v>
                </c:pt>
                <c:pt idx="23">
                  <c:v>238.40828109053797</c:v>
                </c:pt>
                <c:pt idx="24">
                  <c:v>242</c:v>
                </c:pt>
                <c:pt idx="25">
                  <c:v>242.72890228032378</c:v>
                </c:pt>
                <c:pt idx="26">
                  <c:v>243.44656655489143</c:v>
                </c:pt>
                <c:pt idx="27">
                  <c:v>-4.0847481342784146E-13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09-4583-896C-8A1985EFA400}"/>
            </c:ext>
          </c:extLst>
        </c:ser>
        <c:ser>
          <c:idx val="1"/>
          <c:order val="1"/>
          <c:tx>
            <c:v>Me [Nm]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viteze'!$A$16:$A$43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  <c:pt idx="25">
                  <c:v>2900</c:v>
                </c:pt>
                <c:pt idx="26">
                  <c:v>3000</c:v>
                </c:pt>
                <c:pt idx="27">
                  <c:v>3135</c:v>
                </c:pt>
              </c:numCache>
            </c:numRef>
          </c:xVal>
          <c:yVal>
            <c:numRef>
              <c:f>'Diagrama de viteze'!$C$16:$C$43</c:f>
              <c:numCache>
                <c:formatCode>0.00</c:formatCode>
                <c:ptCount val="28"/>
                <c:pt idx="0">
                  <c:v>925.05573095909324</c:v>
                </c:pt>
                <c:pt idx="1">
                  <c:v>931.04540816813073</c:v>
                </c:pt>
                <c:pt idx="2">
                  <c:v>941.82682714439829</c:v>
                </c:pt>
                <c:pt idx="3">
                  <c:v>951.01099886492216</c:v>
                </c:pt>
                <c:pt idx="4">
                  <c:v>958.59792332970312</c:v>
                </c:pt>
                <c:pt idx="5">
                  <c:v>964.5876005387405</c:v>
                </c:pt>
                <c:pt idx="6">
                  <c:v>968.98003049203476</c:v>
                </c:pt>
                <c:pt idx="7">
                  <c:v>971.0998608623039</c:v>
                </c:pt>
                <c:pt idx="8">
                  <c:v>971.77521318958543</c:v>
                </c:pt>
                <c:pt idx="9">
                  <c:v>972.97314863139309</c:v>
                </c:pt>
                <c:pt idx="10">
                  <c:v>972.57383681745728</c:v>
                </c:pt>
                <c:pt idx="11">
                  <c:v>970.57727774777788</c:v>
                </c:pt>
                <c:pt idx="12">
                  <c:v>966.98347142235559</c:v>
                </c:pt>
                <c:pt idx="13">
                  <c:v>961.7924178411896</c:v>
                </c:pt>
                <c:pt idx="14">
                  <c:v>955.0041170042806</c:v>
                </c:pt>
                <c:pt idx="15">
                  <c:v>946.61856891162836</c:v>
                </c:pt>
                <c:pt idx="16">
                  <c:v>937.44877997770936</c:v>
                </c:pt>
                <c:pt idx="17">
                  <c:v>936.63577356323253</c:v>
                </c:pt>
                <c:pt idx="18">
                  <c:v>925.05573095909313</c:v>
                </c:pt>
                <c:pt idx="19">
                  <c:v>911.87844109921093</c:v>
                </c:pt>
                <c:pt idx="20">
                  <c:v>897.10390398358527</c:v>
                </c:pt>
                <c:pt idx="21">
                  <c:v>880.73211961221625</c:v>
                </c:pt>
                <c:pt idx="22">
                  <c:v>862.76308798510388</c:v>
                </c:pt>
                <c:pt idx="23">
                  <c:v>843.19680910224793</c:v>
                </c:pt>
                <c:pt idx="24">
                  <c:v>810.85255217344582</c:v>
                </c:pt>
                <c:pt idx="25">
                  <c:v>799.27250956930675</c:v>
                </c:pt>
                <c:pt idx="26">
                  <c:v>774.9144889192213</c:v>
                </c:pt>
                <c:pt idx="27">
                  <c:v>-1.6338992537113658E-12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09-4583-896C-8A1985E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76320"/>
        <c:axId val="1"/>
      </c:scatterChart>
      <c:scatterChart>
        <c:scatterStyle val="smoothMarker"/>
        <c:varyColors val="0"/>
        <c:ser>
          <c:idx val="2"/>
          <c:order val="2"/>
          <c:tx>
            <c:v>v1 [m/s]</c:v>
          </c:tx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viteze'!$D$16:$D$40</c:f>
              <c:numCache>
                <c:formatCode>General</c:formatCode>
                <c:ptCount val="25"/>
                <c:pt idx="0">
                  <c:v>1.0784190689646318</c:v>
                </c:pt>
                <c:pt idx="1">
                  <c:v>1.1613743819619113</c:v>
                </c:pt>
                <c:pt idx="2">
                  <c:v>1.32728500795647</c:v>
                </c:pt>
                <c:pt idx="3">
                  <c:v>1.4931956339510288</c:v>
                </c:pt>
                <c:pt idx="4">
                  <c:v>1.6591062599455875</c:v>
                </c:pt>
                <c:pt idx="5">
                  <c:v>1.8250168859401463</c:v>
                </c:pt>
                <c:pt idx="6">
                  <c:v>1.9909275119347054</c:v>
                </c:pt>
                <c:pt idx="7">
                  <c:v>2.1067629927915865</c:v>
                </c:pt>
                <c:pt idx="8">
                  <c:v>2.1568381379292636</c:v>
                </c:pt>
                <c:pt idx="9">
                  <c:v>2.3227487639238227</c:v>
                </c:pt>
                <c:pt idx="10">
                  <c:v>2.4886593899183813</c:v>
                </c:pt>
                <c:pt idx="11">
                  <c:v>2.65457001591294</c:v>
                </c:pt>
                <c:pt idx="12">
                  <c:v>2.8204806419074986</c:v>
                </c:pt>
                <c:pt idx="13">
                  <c:v>2.9863912679020577</c:v>
                </c:pt>
                <c:pt idx="14">
                  <c:v>3.1523018938966163</c:v>
                </c:pt>
                <c:pt idx="15">
                  <c:v>3.3182125198911749</c:v>
                </c:pt>
                <c:pt idx="16">
                  <c:v>3.4715414637699369</c:v>
                </c:pt>
                <c:pt idx="17">
                  <c:v>3.484123145885734</c:v>
                </c:pt>
                <c:pt idx="18">
                  <c:v>3.6500337718802927</c:v>
                </c:pt>
                <c:pt idx="19">
                  <c:v>3.8159443978748513</c:v>
                </c:pt>
                <c:pt idx="20">
                  <c:v>3.9818550238694108</c:v>
                </c:pt>
                <c:pt idx="21">
                  <c:v>4.1477656498639695</c:v>
                </c:pt>
                <c:pt idx="22">
                  <c:v>4.3136762758585272</c:v>
                </c:pt>
                <c:pt idx="23">
                  <c:v>4.4795869018530867</c:v>
                </c:pt>
                <c:pt idx="24">
                  <c:v>4.7284528408449251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B09-4583-896C-8A1985EFA400}"/>
            </c:ext>
          </c:extLst>
        </c:ser>
        <c:ser>
          <c:idx val="3"/>
          <c:order val="3"/>
          <c:tx>
            <c:v>v2 [m/s]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viteze'!$E$16:$E$40</c:f>
              <c:numCache>
                <c:formatCode>General</c:formatCode>
                <c:ptCount val="25"/>
                <c:pt idx="16">
                  <c:v>5.2012981249294175</c:v>
                </c:pt>
                <c:pt idx="17">
                  <c:v>5.2201488516974299</c:v>
                </c:pt>
                <c:pt idx="18">
                  <c:v>5.4687273684449265</c:v>
                </c:pt>
                <c:pt idx="19">
                  <c:v>5.717305885192423</c:v>
                </c:pt>
                <c:pt idx="20">
                  <c:v>5.9658844019399204</c:v>
                </c:pt>
                <c:pt idx="21">
                  <c:v>6.2144629186874161</c:v>
                </c:pt>
                <c:pt idx="22">
                  <c:v>6.4630414354349126</c:v>
                </c:pt>
                <c:pt idx="23">
                  <c:v>6.71161995218241</c:v>
                </c:pt>
                <c:pt idx="24">
                  <c:v>7.0844877273036548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09-4583-896C-8A1985EFA400}"/>
            </c:ext>
          </c:extLst>
        </c:ser>
        <c:ser>
          <c:idx val="4"/>
          <c:order val="4"/>
          <c:tx>
            <c:v>v3 [m/s]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viteze'!$F$16:$F$40</c:f>
              <c:numCache>
                <c:formatCode>General</c:formatCode>
                <c:ptCount val="25"/>
                <c:pt idx="16">
                  <c:v>7.7929365000340205</c:v>
                </c:pt>
                <c:pt idx="17">
                  <c:v>7.8211799333374339</c:v>
                </c:pt>
                <c:pt idx="18">
                  <c:v>8.1936170730201692</c:v>
                </c:pt>
                <c:pt idx="19">
                  <c:v>8.5660542127029036</c:v>
                </c:pt>
                <c:pt idx="20">
                  <c:v>8.9384913523856397</c:v>
                </c:pt>
                <c:pt idx="21">
                  <c:v>9.3109284920683741</c:v>
                </c:pt>
                <c:pt idx="22">
                  <c:v>9.6833656317511085</c:v>
                </c:pt>
                <c:pt idx="23">
                  <c:v>10.055802771433843</c:v>
                </c:pt>
                <c:pt idx="24">
                  <c:v>10.614458480957946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09-4583-896C-8A1985EFA400}"/>
            </c:ext>
          </c:extLst>
        </c:ser>
        <c:ser>
          <c:idx val="5"/>
          <c:order val="5"/>
          <c:tx>
            <c:v>v4 [m/s]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viteze'!$G$16:$G$40</c:f>
              <c:numCache>
                <c:formatCode>General</c:formatCode>
                <c:ptCount val="25"/>
                <c:pt idx="16">
                  <c:v>11.67590432905374</c:v>
                </c:pt>
                <c:pt idx="17">
                  <c:v>11.718220550310416</c:v>
                </c:pt>
                <c:pt idx="18">
                  <c:v>12.27623105270615</c:v>
                </c:pt>
                <c:pt idx="19">
                  <c:v>12.834241555101883</c:v>
                </c:pt>
                <c:pt idx="20">
                  <c:v>13.39225205749762</c:v>
                </c:pt>
                <c:pt idx="21">
                  <c:v>13.950262559893352</c:v>
                </c:pt>
                <c:pt idx="22">
                  <c:v>14.508273062289085</c:v>
                </c:pt>
                <c:pt idx="23">
                  <c:v>15.06628356468482</c:v>
                </c:pt>
                <c:pt idx="24">
                  <c:v>15.903299318278421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B09-4583-896C-8A1985EFA400}"/>
            </c:ext>
          </c:extLst>
        </c:ser>
        <c:ser>
          <c:idx val="6"/>
          <c:order val="6"/>
          <c:tx>
            <c:v>v5 [m/s]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viteze'!$H$16:$H$40</c:f>
              <c:numCache>
                <c:formatCode>General</c:formatCode>
                <c:ptCount val="25"/>
                <c:pt idx="16">
                  <c:v>17.493629250106263</c:v>
                </c:pt>
                <c:pt idx="17">
                  <c:v>17.557030273707298</c:v>
                </c:pt>
                <c:pt idx="18">
                  <c:v>18.393079334360028</c:v>
                </c:pt>
                <c:pt idx="19">
                  <c:v>19.229128395012754</c:v>
                </c:pt>
                <c:pt idx="20">
                  <c:v>20.065177455665488</c:v>
                </c:pt>
                <c:pt idx="21">
                  <c:v>20.901226516318211</c:v>
                </c:pt>
                <c:pt idx="22">
                  <c:v>21.737275576970941</c:v>
                </c:pt>
                <c:pt idx="23">
                  <c:v>22.573324637623671</c:v>
                </c:pt>
                <c:pt idx="24">
                  <c:v>23.827398228602764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B09-4583-896C-8A1985EFA400}"/>
            </c:ext>
          </c:extLst>
        </c:ser>
        <c:ser>
          <c:idx val="7"/>
          <c:order val="7"/>
          <c:tx>
            <c:v>v6 [m/s]</c:v>
          </c:tx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viteze'!$I$16:$I$40</c:f>
              <c:numCache>
                <c:formatCode>General</c:formatCode>
                <c:ptCount val="25"/>
                <c:pt idx="16">
                  <c:v>26.210138051463044</c:v>
                </c:pt>
                <c:pt idx="17">
                  <c:v>26.305129751437313</c:v>
                </c:pt>
                <c:pt idx="18">
                  <c:v>27.557754977696231</c:v>
                </c:pt>
                <c:pt idx="19">
                  <c:v>28.810380203955148</c:v>
                </c:pt>
                <c:pt idx="20">
                  <c:v>30.063005430214076</c:v>
                </c:pt>
                <c:pt idx="21">
                  <c:v>31.31563065647299</c:v>
                </c:pt>
                <c:pt idx="22">
                  <c:v>32.568255882731911</c:v>
                </c:pt>
                <c:pt idx="23">
                  <c:v>33.820881108990832</c:v>
                </c:pt>
                <c:pt idx="24">
                  <c:v>35.69981894837921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B09-4583-896C-8A1985E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69936"/>
        <c:axId val="858510896"/>
      </c:scatterChart>
      <c:valAx>
        <c:axId val="756876320"/>
        <c:scaling>
          <c:orientation val="minMax"/>
          <c:max val="4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turația</a:t>
                </a:r>
                <a:r>
                  <a:rPr lang="ro-RO" baseline="0"/>
                  <a:t> [rot/min]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6320"/>
        <c:crosses val="autoZero"/>
        <c:crossBetween val="midCat"/>
      </c:valAx>
      <c:valAx>
        <c:axId val="85851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2869936"/>
        <c:crosses val="max"/>
        <c:crossBetween val="midCat"/>
      </c:valAx>
      <c:valAx>
        <c:axId val="71286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5108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952529557520036"/>
          <c:y val="0.20436650836052478"/>
          <c:w val="7.3254507719670792E-2"/>
          <c:h val="0.2408095526493500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Caracteristica</a:t>
            </a:r>
            <a:r>
              <a:rPr lang="ro-RO" baseline="0"/>
              <a:t> de tracțiune</a:t>
            </a:r>
            <a:endParaRPr lang="ro-RO"/>
          </a:p>
        </c:rich>
      </c:tx>
      <c:layout>
        <c:manualLayout>
          <c:xMode val="edge"/>
          <c:yMode val="edge"/>
          <c:x val="0.3541191903292954"/>
          <c:y val="2.87365293133997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1347926747252"/>
          <c:y val="9.9065170940170963E-2"/>
          <c:w val="0.86014873140857417"/>
          <c:h val="0.76413591475540521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1.0784190689646318</c:v>
                </c:pt>
                <c:pt idx="1">
                  <c:v>1.1613743819619113</c:v>
                </c:pt>
                <c:pt idx="2">
                  <c:v>1.32728500795647</c:v>
                </c:pt>
                <c:pt idx="3">
                  <c:v>1.4931956339510288</c:v>
                </c:pt>
                <c:pt idx="4">
                  <c:v>1.6591062599455875</c:v>
                </c:pt>
                <c:pt idx="5">
                  <c:v>1.8250168859401463</c:v>
                </c:pt>
                <c:pt idx="6">
                  <c:v>1.9909275119347054</c:v>
                </c:pt>
                <c:pt idx="7">
                  <c:v>2.1067629927915865</c:v>
                </c:pt>
                <c:pt idx="8">
                  <c:v>2.1568381379292636</c:v>
                </c:pt>
                <c:pt idx="9">
                  <c:v>2.3227487639238227</c:v>
                </c:pt>
                <c:pt idx="10">
                  <c:v>2.4886593899183813</c:v>
                </c:pt>
                <c:pt idx="11">
                  <c:v>2.65457001591294</c:v>
                </c:pt>
                <c:pt idx="12">
                  <c:v>2.8204806419074986</c:v>
                </c:pt>
                <c:pt idx="13">
                  <c:v>2.9863912679020577</c:v>
                </c:pt>
                <c:pt idx="14">
                  <c:v>3.1523018938966163</c:v>
                </c:pt>
                <c:pt idx="15">
                  <c:v>3.3182125198911749</c:v>
                </c:pt>
                <c:pt idx="16">
                  <c:v>3.4715414637699369</c:v>
                </c:pt>
                <c:pt idx="17">
                  <c:v>3.484123145885734</c:v>
                </c:pt>
                <c:pt idx="18">
                  <c:v>3.6500337718802927</c:v>
                </c:pt>
                <c:pt idx="19">
                  <c:v>3.8159443978748513</c:v>
                </c:pt>
                <c:pt idx="20">
                  <c:v>3.9818550238694108</c:v>
                </c:pt>
                <c:pt idx="21">
                  <c:v>4.1477656498639695</c:v>
                </c:pt>
                <c:pt idx="22">
                  <c:v>4.3136762758585272</c:v>
                </c:pt>
                <c:pt idx="23">
                  <c:v>4.4795869018530867</c:v>
                </c:pt>
                <c:pt idx="24">
                  <c:v>4.7284528408449251</c:v>
                </c:pt>
              </c:numCache>
            </c:numRef>
          </c:xVal>
          <c:yVal>
            <c:numRef>
              <c:f>Performante!$D$9:$D$46</c:f>
              <c:numCache>
                <c:formatCode>General</c:formatCode>
                <c:ptCount val="38"/>
                <c:pt idx="0">
                  <c:v>46710.261762860755</c:v>
                </c:pt>
                <c:pt idx="1">
                  <c:v>47012.707746325017</c:v>
                </c:pt>
                <c:pt idx="2">
                  <c:v>47557.110516560715</c:v>
                </c:pt>
                <c:pt idx="3">
                  <c:v>48020.861024539248</c:v>
                </c:pt>
                <c:pt idx="4">
                  <c:v>48403.959270260661</c:v>
                </c:pt>
                <c:pt idx="5">
                  <c:v>48706.405253724923</c:v>
                </c:pt>
                <c:pt idx="6">
                  <c:v>48928.198974932071</c:v>
                </c:pt>
                <c:pt idx="7">
                  <c:v>49035.238830125942</c:v>
                </c:pt>
                <c:pt idx="8">
                  <c:v>49069.340433882047</c:v>
                </c:pt>
                <c:pt idx="9">
                  <c:v>49129.829630574917</c:v>
                </c:pt>
                <c:pt idx="10">
                  <c:v>49109.66656501063</c:v>
                </c:pt>
                <c:pt idx="11">
                  <c:v>49008.851237189192</c:v>
                </c:pt>
                <c:pt idx="12">
                  <c:v>48827.383647110641</c:v>
                </c:pt>
                <c:pt idx="13">
                  <c:v>48565.263794774932</c:v>
                </c:pt>
                <c:pt idx="14">
                  <c:v>48222.491680182102</c:v>
                </c:pt>
                <c:pt idx="15">
                  <c:v>47799.067303332136</c:v>
                </c:pt>
                <c:pt idx="16">
                  <c:v>47336.043047518426</c:v>
                </c:pt>
                <c:pt idx="17">
                  <c:v>47294.990664225013</c:v>
                </c:pt>
                <c:pt idx="18">
                  <c:v>46710.261762860748</c:v>
                </c:pt>
                <c:pt idx="19">
                  <c:v>46044.880599239368</c:v>
                </c:pt>
                <c:pt idx="20">
                  <c:v>45298.847173360846</c:v>
                </c:pt>
                <c:pt idx="21">
                  <c:v>44472.161485225181</c:v>
                </c:pt>
                <c:pt idx="22">
                  <c:v>43564.823534832372</c:v>
                </c:pt>
                <c:pt idx="23">
                  <c:v>42576.833322182414</c:v>
                </c:pt>
                <c:pt idx="24">
                  <c:v>40943.625011475364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A-457A-A76F-08757E3F0C45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1.6157603588587282</c:v>
                </c:pt>
                <c:pt idx="1">
                  <c:v>1.7400496172324769</c:v>
                </c:pt>
                <c:pt idx="2">
                  <c:v>1.9886281339799732</c:v>
                </c:pt>
                <c:pt idx="3">
                  <c:v>2.2372066507274702</c:v>
                </c:pt>
                <c:pt idx="4">
                  <c:v>2.4857851674749663</c:v>
                </c:pt>
                <c:pt idx="5">
                  <c:v>2.7343636842224632</c:v>
                </c:pt>
                <c:pt idx="6">
                  <c:v>2.9829422009699602</c:v>
                </c:pt>
                <c:pt idx="7">
                  <c:v>3.1564947497927274</c:v>
                </c:pt>
                <c:pt idx="8">
                  <c:v>3.2315207177174563</c:v>
                </c:pt>
                <c:pt idx="9">
                  <c:v>3.4800992344649537</c:v>
                </c:pt>
                <c:pt idx="10">
                  <c:v>3.7286777512124498</c:v>
                </c:pt>
                <c:pt idx="11">
                  <c:v>3.9772562679599464</c:v>
                </c:pt>
                <c:pt idx="12">
                  <c:v>4.2258347847074429</c:v>
                </c:pt>
                <c:pt idx="13">
                  <c:v>4.4744133014549403</c:v>
                </c:pt>
                <c:pt idx="14">
                  <c:v>4.7229918182024369</c:v>
                </c:pt>
                <c:pt idx="15">
                  <c:v>4.9715703349499325</c:v>
                </c:pt>
                <c:pt idx="16">
                  <c:v>5.2012981249294175</c:v>
                </c:pt>
                <c:pt idx="17">
                  <c:v>5.2201488516974299</c:v>
                </c:pt>
                <c:pt idx="18">
                  <c:v>5.4687273684449265</c:v>
                </c:pt>
                <c:pt idx="19">
                  <c:v>5.717305885192423</c:v>
                </c:pt>
                <c:pt idx="20">
                  <c:v>5.9658844019399204</c:v>
                </c:pt>
                <c:pt idx="21">
                  <c:v>6.2144629186874161</c:v>
                </c:pt>
                <c:pt idx="22">
                  <c:v>6.4630414354349126</c:v>
                </c:pt>
                <c:pt idx="23">
                  <c:v>6.71161995218241</c:v>
                </c:pt>
                <c:pt idx="24">
                  <c:v>7.0844877273036548</c:v>
                </c:pt>
              </c:numCache>
            </c:numRef>
          </c:xVal>
          <c:yVal>
            <c:numRef>
              <c:f>Performante!$L$9:$L$46</c:f>
              <c:numCache>
                <c:formatCode>General</c:formatCode>
                <c:ptCount val="38"/>
                <c:pt idx="0">
                  <c:v>31176.18075305365</c:v>
                </c:pt>
                <c:pt idx="1">
                  <c:v>31378.044546846693</c:v>
                </c:pt>
                <c:pt idx="2">
                  <c:v>31741.399375674169</c:v>
                </c:pt>
                <c:pt idx="3">
                  <c:v>32050.923859490162</c:v>
                </c:pt>
                <c:pt idx="4">
                  <c:v>32306.617998294681</c:v>
                </c:pt>
                <c:pt idx="5">
                  <c:v>32508.481792087725</c:v>
                </c:pt>
                <c:pt idx="6">
                  <c:v>32656.515240869299</c:v>
                </c:pt>
                <c:pt idx="7">
                  <c:v>32727.957655177452</c:v>
                </c:pt>
                <c:pt idx="8">
                  <c:v>32750.718344639372</c:v>
                </c:pt>
                <c:pt idx="9">
                  <c:v>32791.091103397986</c:v>
                </c:pt>
                <c:pt idx="10">
                  <c:v>32777.633517145121</c:v>
                </c:pt>
                <c:pt idx="11">
                  <c:v>32710.345585880761</c:v>
                </c:pt>
                <c:pt idx="12">
                  <c:v>32589.227309604943</c:v>
                </c:pt>
                <c:pt idx="13">
                  <c:v>32414.27868831763</c:v>
                </c:pt>
                <c:pt idx="14">
                  <c:v>32185.499722018856</c:v>
                </c:pt>
                <c:pt idx="15">
                  <c:v>31902.890410708609</c:v>
                </c:pt>
                <c:pt idx="16">
                  <c:v>31593.850654828373</c:v>
                </c:pt>
                <c:pt idx="17">
                  <c:v>31566.450754386868</c:v>
                </c:pt>
                <c:pt idx="18">
                  <c:v>31176.180753053646</c:v>
                </c:pt>
                <c:pt idx="19">
                  <c:v>30732.080406708959</c:v>
                </c:pt>
                <c:pt idx="20">
                  <c:v>30234.149715352793</c:v>
                </c:pt>
                <c:pt idx="21">
                  <c:v>29682.388678985149</c:v>
                </c:pt>
                <c:pt idx="22">
                  <c:v>29076.797297606023</c:v>
                </c:pt>
                <c:pt idx="23">
                  <c:v>28417.375571215416</c:v>
                </c:pt>
                <c:pt idx="24">
                  <c:v>27327.311084732995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A-457A-A76F-08757E3F0C45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2.4208414079377771</c:v>
                </c:pt>
                <c:pt idx="1">
                  <c:v>2.6070599777791448</c:v>
                </c:pt>
                <c:pt idx="2">
                  <c:v>2.9794971174618796</c:v>
                </c:pt>
                <c:pt idx="3">
                  <c:v>3.3519342571446145</c:v>
                </c:pt>
                <c:pt idx="4">
                  <c:v>3.7243713968273493</c:v>
                </c:pt>
                <c:pt idx="5">
                  <c:v>4.0968085365100846</c:v>
                </c:pt>
                <c:pt idx="6">
                  <c:v>4.4692456761928199</c:v>
                </c:pt>
                <c:pt idx="7">
                  <c:v>4.7292738383765114</c:v>
                </c:pt>
                <c:pt idx="8">
                  <c:v>4.8416828158755543</c:v>
                </c:pt>
                <c:pt idx="9">
                  <c:v>5.2141199555582896</c:v>
                </c:pt>
                <c:pt idx="10">
                  <c:v>5.586557095241024</c:v>
                </c:pt>
                <c:pt idx="11">
                  <c:v>5.9589942349237592</c:v>
                </c:pt>
                <c:pt idx="12">
                  <c:v>6.3314313746064936</c:v>
                </c:pt>
                <c:pt idx="13">
                  <c:v>6.7038685142892289</c:v>
                </c:pt>
                <c:pt idx="14">
                  <c:v>7.0763056539719633</c:v>
                </c:pt>
                <c:pt idx="15">
                  <c:v>7.4487427936546986</c:v>
                </c:pt>
                <c:pt idx="16">
                  <c:v>7.7929365000340205</c:v>
                </c:pt>
                <c:pt idx="17">
                  <c:v>7.8211799333374339</c:v>
                </c:pt>
                <c:pt idx="18">
                  <c:v>8.1936170730201692</c:v>
                </c:pt>
                <c:pt idx="19">
                  <c:v>8.5660542127029036</c:v>
                </c:pt>
                <c:pt idx="20">
                  <c:v>8.9384913523856397</c:v>
                </c:pt>
                <c:pt idx="21">
                  <c:v>9.3109284920683741</c:v>
                </c:pt>
                <c:pt idx="22">
                  <c:v>9.6833656317511085</c:v>
                </c:pt>
                <c:pt idx="23">
                  <c:v>10.055802771433843</c:v>
                </c:pt>
                <c:pt idx="24">
                  <c:v>10.614458480957946</c:v>
                </c:pt>
              </c:numCache>
            </c:numRef>
          </c:xVal>
          <c:yVal>
            <c:numRef>
              <c:f>Performante!$T$9:$T$46</c:f>
              <c:numCache>
                <c:formatCode>General</c:formatCode>
                <c:ptCount val="38"/>
                <c:pt idx="0">
                  <c:v>20808.152420157745</c:v>
                </c:pt>
                <c:pt idx="1">
                  <c:v>20942.883887832646</c:v>
                </c:pt>
                <c:pt idx="2">
                  <c:v>21185.400529647475</c:v>
                </c:pt>
                <c:pt idx="3">
                  <c:v>21391.988780082316</c:v>
                </c:pt>
                <c:pt idx="4">
                  <c:v>21562.648639137191</c:v>
                </c:pt>
                <c:pt idx="5">
                  <c:v>21697.380106812088</c:v>
                </c:pt>
                <c:pt idx="6">
                  <c:v>21796.183183107019</c:v>
                </c:pt>
                <c:pt idx="7">
                  <c:v>21843.866530145697</c:v>
                </c:pt>
                <c:pt idx="8">
                  <c:v>21859.05786802197</c:v>
                </c:pt>
                <c:pt idx="9">
                  <c:v>21886.004161556957</c:v>
                </c:pt>
                <c:pt idx="10">
                  <c:v>21877.02206371196</c:v>
                </c:pt>
                <c:pt idx="11">
                  <c:v>21832.111574486989</c:v>
                </c:pt>
                <c:pt idx="12">
                  <c:v>21751.272693882052</c:v>
                </c:pt>
                <c:pt idx="13">
                  <c:v>21634.505421897135</c:v>
                </c:pt>
                <c:pt idx="14">
                  <c:v>21481.80975853225</c:v>
                </c:pt>
                <c:pt idx="15">
                  <c:v>21293.185703787396</c:v>
                </c:pt>
                <c:pt idx="16">
                  <c:v>21086.920978958504</c:v>
                </c:pt>
                <c:pt idx="17">
                  <c:v>21068.633257662561</c:v>
                </c:pt>
                <c:pt idx="18">
                  <c:v>20808.152420157745</c:v>
                </c:pt>
                <c:pt idx="19">
                  <c:v>20511.74319127297</c:v>
                </c:pt>
                <c:pt idx="20">
                  <c:v>20179.405571008214</c:v>
                </c:pt>
                <c:pt idx="21">
                  <c:v>19811.139559363488</c:v>
                </c:pt>
                <c:pt idx="22">
                  <c:v>19406.945156338788</c:v>
                </c:pt>
                <c:pt idx="23">
                  <c:v>18966.822361934108</c:v>
                </c:pt>
                <c:pt idx="24">
                  <c:v>18239.272436489646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A-457A-A76F-08757E3F0C45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3.6270682655722712</c:v>
                </c:pt>
                <c:pt idx="1">
                  <c:v>3.9060735167701388</c:v>
                </c:pt>
                <c:pt idx="2">
                  <c:v>4.4640840191658722</c:v>
                </c:pt>
                <c:pt idx="3">
                  <c:v>5.0220945215616073</c:v>
                </c:pt>
                <c:pt idx="4">
                  <c:v>5.5801050239573406</c:v>
                </c:pt>
                <c:pt idx="5">
                  <c:v>6.1381155263530749</c:v>
                </c:pt>
                <c:pt idx="6">
                  <c:v>6.69612602874881</c:v>
                </c:pt>
                <c:pt idx="7">
                  <c:v>7.0857178013114632</c:v>
                </c:pt>
                <c:pt idx="8">
                  <c:v>7.2541365311445425</c:v>
                </c:pt>
                <c:pt idx="9">
                  <c:v>7.8121470335402776</c:v>
                </c:pt>
                <c:pt idx="10">
                  <c:v>8.370157535936011</c:v>
                </c:pt>
                <c:pt idx="11">
                  <c:v>8.9281680383317443</c:v>
                </c:pt>
                <c:pt idx="12">
                  <c:v>9.4861785407274795</c:v>
                </c:pt>
                <c:pt idx="13">
                  <c:v>10.044189043123215</c:v>
                </c:pt>
                <c:pt idx="14">
                  <c:v>10.602199545518948</c:v>
                </c:pt>
                <c:pt idx="15">
                  <c:v>11.160210047914681</c:v>
                </c:pt>
                <c:pt idx="16">
                  <c:v>11.67590432905374</c:v>
                </c:pt>
                <c:pt idx="17">
                  <c:v>11.718220550310416</c:v>
                </c:pt>
                <c:pt idx="18">
                  <c:v>12.27623105270615</c:v>
                </c:pt>
                <c:pt idx="19">
                  <c:v>12.834241555101883</c:v>
                </c:pt>
                <c:pt idx="20">
                  <c:v>13.39225205749762</c:v>
                </c:pt>
                <c:pt idx="21">
                  <c:v>13.950262559893352</c:v>
                </c:pt>
                <c:pt idx="22">
                  <c:v>14.508273062289085</c:v>
                </c:pt>
                <c:pt idx="23">
                  <c:v>15.06628356468482</c:v>
                </c:pt>
                <c:pt idx="24">
                  <c:v>15.903299318278421</c:v>
                </c:pt>
              </c:numCache>
            </c:numRef>
          </c:xVal>
          <c:yVal>
            <c:numRef>
              <c:f>Performante!$AB$9:$AB$46</c:f>
              <c:numCache>
                <c:formatCode>General</c:formatCode>
                <c:ptCount val="38"/>
                <c:pt idx="0">
                  <c:v>13888.141417004941</c:v>
                </c:pt>
                <c:pt idx="1">
                  <c:v>13978.066252166038</c:v>
                </c:pt>
                <c:pt idx="2">
                  <c:v>14139.930955456013</c:v>
                </c:pt>
                <c:pt idx="3">
                  <c:v>14277.815702703023</c:v>
                </c:pt>
                <c:pt idx="4">
                  <c:v>14391.72049390708</c:v>
                </c:pt>
                <c:pt idx="5">
                  <c:v>14481.645329068173</c:v>
                </c:pt>
                <c:pt idx="6">
                  <c:v>14547.590208186315</c:v>
                </c:pt>
                <c:pt idx="7">
                  <c:v>14579.415862551847</c:v>
                </c:pt>
                <c:pt idx="8">
                  <c:v>14589.55513126149</c:v>
                </c:pt>
                <c:pt idx="9">
                  <c:v>14607.540098293712</c:v>
                </c:pt>
                <c:pt idx="10">
                  <c:v>14601.545109282972</c:v>
                </c:pt>
                <c:pt idx="11">
                  <c:v>14571.570164229272</c:v>
                </c:pt>
                <c:pt idx="12">
                  <c:v>14517.615263132615</c:v>
                </c:pt>
                <c:pt idx="13">
                  <c:v>14439.680405992995</c:v>
                </c:pt>
                <c:pt idx="14">
                  <c:v>14337.765592810423</c:v>
                </c:pt>
                <c:pt idx="15">
                  <c:v>14211.870823584894</c:v>
                </c:pt>
                <c:pt idx="16">
                  <c:v>14074.202009462399</c:v>
                </c:pt>
                <c:pt idx="17">
                  <c:v>14061.996098316396</c:v>
                </c:pt>
                <c:pt idx="18">
                  <c:v>13888.141417004937</c:v>
                </c:pt>
                <c:pt idx="19">
                  <c:v>13690.306779650531</c:v>
                </c:pt>
                <c:pt idx="20">
                  <c:v>13468.492186253163</c:v>
                </c:pt>
                <c:pt idx="21">
                  <c:v>13222.697636812833</c:v>
                </c:pt>
                <c:pt idx="22">
                  <c:v>12952.923131329544</c:v>
                </c:pt>
                <c:pt idx="23">
                  <c:v>12659.168669803295</c:v>
                </c:pt>
                <c:pt idx="24">
                  <c:v>12173.574559933379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3A-457A-A76F-08757E3F0C45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5.4343188942427352</c:v>
                </c:pt>
                <c:pt idx="1">
                  <c:v>5.8523434245691002</c:v>
                </c:pt>
                <c:pt idx="2">
                  <c:v>6.6883924852218275</c:v>
                </c:pt>
                <c:pt idx="3">
                  <c:v>7.5244415458745566</c:v>
                </c:pt>
                <c:pt idx="4">
                  <c:v>8.3604906065272839</c:v>
                </c:pt>
                <c:pt idx="5">
                  <c:v>9.1965396671800139</c:v>
                </c:pt>
                <c:pt idx="6">
                  <c:v>10.032588727832744</c:v>
                </c:pt>
                <c:pt idx="7">
                  <c:v>10.616301460999265</c:v>
                </c:pt>
                <c:pt idx="8">
                  <c:v>10.86863778848547</c:v>
                </c:pt>
                <c:pt idx="9">
                  <c:v>11.7046868491382</c:v>
                </c:pt>
                <c:pt idx="10">
                  <c:v>12.540735909790927</c:v>
                </c:pt>
                <c:pt idx="11">
                  <c:v>13.376784970443655</c:v>
                </c:pt>
                <c:pt idx="12">
                  <c:v>14.212834031096383</c:v>
                </c:pt>
                <c:pt idx="13">
                  <c:v>15.048883091749113</c:v>
                </c:pt>
                <c:pt idx="14">
                  <c:v>15.884932152401841</c:v>
                </c:pt>
                <c:pt idx="15">
                  <c:v>16.720981213054568</c:v>
                </c:pt>
                <c:pt idx="16">
                  <c:v>17.493629250106263</c:v>
                </c:pt>
                <c:pt idx="17">
                  <c:v>17.557030273707298</c:v>
                </c:pt>
                <c:pt idx="18">
                  <c:v>18.393079334360028</c:v>
                </c:pt>
                <c:pt idx="19">
                  <c:v>19.229128395012754</c:v>
                </c:pt>
                <c:pt idx="20">
                  <c:v>20.065177455665488</c:v>
                </c:pt>
                <c:pt idx="21">
                  <c:v>20.901226516318211</c:v>
                </c:pt>
                <c:pt idx="22">
                  <c:v>21.737275576970941</c:v>
                </c:pt>
                <c:pt idx="23">
                  <c:v>22.573324637623671</c:v>
                </c:pt>
                <c:pt idx="24">
                  <c:v>23.827398228602764</c:v>
                </c:pt>
              </c:numCache>
            </c:numRef>
          </c:xVal>
          <c:yVal>
            <c:numRef>
              <c:f>Performante!$AJ$9:$AJ$46</c:f>
              <c:numCache>
                <c:formatCode>General</c:formatCode>
                <c:ptCount val="38"/>
                <c:pt idx="0">
                  <c:v>9269.4665112062739</c:v>
                </c:pt>
                <c:pt idx="1">
                  <c:v>9329.4857191782576</c:v>
                </c:pt>
                <c:pt idx="2">
                  <c:v>9437.5202935278267</c:v>
                </c:pt>
                <c:pt idx="3">
                  <c:v>9529.5497457515321</c:v>
                </c:pt>
                <c:pt idx="4">
                  <c:v>9605.5740758493776</c:v>
                </c:pt>
                <c:pt idx="5">
                  <c:v>9665.5932838213594</c:v>
                </c:pt>
                <c:pt idx="6">
                  <c:v>9709.6073696674812</c:v>
                </c:pt>
                <c:pt idx="7">
                  <c:v>9730.8490051376739</c:v>
                </c:pt>
                <c:pt idx="8">
                  <c:v>9737.6163333877375</c:v>
                </c:pt>
                <c:pt idx="9">
                  <c:v>9749.6201749821375</c:v>
                </c:pt>
                <c:pt idx="10">
                  <c:v>9745.6188944506721</c:v>
                </c:pt>
                <c:pt idx="11">
                  <c:v>9725.612491793343</c:v>
                </c:pt>
                <c:pt idx="12">
                  <c:v>9689.6009670101539</c:v>
                </c:pt>
                <c:pt idx="13">
                  <c:v>9637.5843201010994</c:v>
                </c:pt>
                <c:pt idx="14">
                  <c:v>9569.5625510661866</c:v>
                </c:pt>
                <c:pt idx="15">
                  <c:v>9485.5356599054139</c:v>
                </c:pt>
                <c:pt idx="16">
                  <c:v>9393.6503295484363</c:v>
                </c:pt>
                <c:pt idx="17">
                  <c:v>9385.5036466187757</c:v>
                </c:pt>
                <c:pt idx="18">
                  <c:v>9269.4665112062739</c:v>
                </c:pt>
                <c:pt idx="19">
                  <c:v>9137.4242536679121</c:v>
                </c:pt>
                <c:pt idx="20">
                  <c:v>8989.3768740036903</c:v>
                </c:pt>
                <c:pt idx="21">
                  <c:v>8825.3243722136031</c:v>
                </c:pt>
                <c:pt idx="22">
                  <c:v>8645.2667482976576</c:v>
                </c:pt>
                <c:pt idx="23">
                  <c:v>8449.2040022558449</c:v>
                </c:pt>
                <c:pt idx="24">
                  <c:v>8125.1002792071404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3A-457A-A76F-08757E3F0C45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8.1420639706829778</c:v>
                </c:pt>
                <c:pt idx="1">
                  <c:v>8.7683765838124383</c:v>
                </c:pt>
                <c:pt idx="2">
                  <c:v>10.021001810071356</c:v>
                </c:pt>
                <c:pt idx="3">
                  <c:v>11.273627036330277</c:v>
                </c:pt>
                <c:pt idx="4">
                  <c:v>12.526252262589194</c:v>
                </c:pt>
                <c:pt idx="5">
                  <c:v>13.778877488848115</c:v>
                </c:pt>
                <c:pt idx="6">
                  <c:v>15.031502715107038</c:v>
                </c:pt>
                <c:pt idx="7">
                  <c:v>15.90606059557649</c:v>
                </c:pt>
                <c:pt idx="8">
                  <c:v>16.284127941365956</c:v>
                </c:pt>
                <c:pt idx="9">
                  <c:v>17.536753167624877</c:v>
                </c:pt>
                <c:pt idx="10">
                  <c:v>18.789378393883794</c:v>
                </c:pt>
                <c:pt idx="11">
                  <c:v>20.042003620142712</c:v>
                </c:pt>
                <c:pt idx="12">
                  <c:v>21.294628846401633</c:v>
                </c:pt>
                <c:pt idx="13">
                  <c:v>22.547254072660554</c:v>
                </c:pt>
                <c:pt idx="14">
                  <c:v>23.799879298919471</c:v>
                </c:pt>
                <c:pt idx="15">
                  <c:v>25.052504525178389</c:v>
                </c:pt>
                <c:pt idx="16">
                  <c:v>26.2101431805301</c:v>
                </c:pt>
                <c:pt idx="17">
                  <c:v>26.305129751437313</c:v>
                </c:pt>
                <c:pt idx="18">
                  <c:v>27.557754977696231</c:v>
                </c:pt>
                <c:pt idx="19">
                  <c:v>28.810380203955148</c:v>
                </c:pt>
                <c:pt idx="20">
                  <c:v>30.063005430214076</c:v>
                </c:pt>
                <c:pt idx="21">
                  <c:v>31.31563065647299</c:v>
                </c:pt>
                <c:pt idx="22">
                  <c:v>32.568255882731911</c:v>
                </c:pt>
                <c:pt idx="23">
                  <c:v>33.820881108990832</c:v>
                </c:pt>
                <c:pt idx="24">
                  <c:v>35.69981894837921</c:v>
                </c:pt>
                <c:pt idx="25">
                  <c:v>39.269800843217126</c:v>
                </c:pt>
              </c:numCache>
            </c:numRef>
          </c:xVal>
          <c:yVal>
            <c:numRef>
              <c:f>Performante!$AS$9:$AS$34</c:f>
              <c:numCache>
                <c:formatCode>General</c:formatCode>
                <c:ptCount val="26"/>
                <c:pt idx="0">
                  <c:v>6186.7896374649963</c:v>
                </c:pt>
                <c:pt idx="1">
                  <c:v>6226.8487081225148</c:v>
                </c:pt>
                <c:pt idx="2">
                  <c:v>6298.9550353060504</c:v>
                </c:pt>
                <c:pt idx="3">
                  <c:v>6360.3789436475772</c:v>
                </c:pt>
                <c:pt idx="4">
                  <c:v>6411.1204331471026</c:v>
                </c:pt>
                <c:pt idx="5">
                  <c:v>6451.1795038046203</c:v>
                </c:pt>
                <c:pt idx="6">
                  <c:v>6480.5561556201365</c:v>
                </c:pt>
                <c:pt idx="7">
                  <c:v>6494.7336198842258</c:v>
                </c:pt>
                <c:pt idx="8">
                  <c:v>6499.250388593643</c:v>
                </c:pt>
                <c:pt idx="9">
                  <c:v>6507.2622027251482</c:v>
                </c:pt>
                <c:pt idx="10">
                  <c:v>6504.5915980146474</c:v>
                </c:pt>
                <c:pt idx="11">
                  <c:v>6491.2385744621397</c:v>
                </c:pt>
                <c:pt idx="12">
                  <c:v>6467.2031320676297</c:v>
                </c:pt>
                <c:pt idx="13">
                  <c:v>6432.4852708311118</c:v>
                </c:pt>
                <c:pt idx="14">
                  <c:v>6387.0849907525917</c:v>
                </c:pt>
                <c:pt idx="15">
                  <c:v>6331.0022918320665</c:v>
                </c:pt>
                <c:pt idx="16">
                  <c:v>6269.6742838967357</c:v>
                </c:pt>
                <c:pt idx="17">
                  <c:v>6264.2371740695344</c:v>
                </c:pt>
                <c:pt idx="18">
                  <c:v>6186.7896374649954</c:v>
                </c:pt>
                <c:pt idx="19">
                  <c:v>6098.6596820184541</c:v>
                </c:pt>
                <c:pt idx="20">
                  <c:v>5999.8473077299077</c:v>
                </c:pt>
                <c:pt idx="21">
                  <c:v>5890.3525145993563</c:v>
                </c:pt>
                <c:pt idx="22">
                  <c:v>5770.1753026267997</c:v>
                </c:pt>
                <c:pt idx="23">
                  <c:v>5639.3156718122364</c:v>
                </c:pt>
                <c:pt idx="24">
                  <c:v>5422.9966902616343</c:v>
                </c:pt>
                <c:pt idx="25">
                  <c:v>4945.7729815186112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7-42F1-A150-51D93A62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792"/>
        <c:axId val="1"/>
      </c:scatterChart>
      <c:valAx>
        <c:axId val="18138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Forța la roată [N]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9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749014024099504"/>
          <c:y val="0.34024139092126993"/>
          <c:w val="0.12094947202967272"/>
          <c:h val="0.2635293866896636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Caracteristica</a:t>
            </a:r>
            <a:r>
              <a:rPr lang="ro-RO" baseline="0"/>
              <a:t> dinamică</a:t>
            </a:r>
            <a:endParaRPr lang="ro-RO"/>
          </a:p>
        </c:rich>
      </c:tx>
      <c:layout>
        <c:manualLayout>
          <c:xMode val="edge"/>
          <c:yMode val="edge"/>
          <c:x val="0.37075047577585546"/>
          <c:y val="2.8958463881692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5049433841833E-2"/>
          <c:y val="0.10231990571531388"/>
          <c:w val="0.89349444162073977"/>
          <c:h val="0.74905893240644883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1.0784190689646318</c:v>
                </c:pt>
                <c:pt idx="1">
                  <c:v>1.1613743819619113</c:v>
                </c:pt>
                <c:pt idx="2">
                  <c:v>1.32728500795647</c:v>
                </c:pt>
                <c:pt idx="3">
                  <c:v>1.4931956339510288</c:v>
                </c:pt>
                <c:pt idx="4">
                  <c:v>1.6591062599455875</c:v>
                </c:pt>
                <c:pt idx="5">
                  <c:v>1.8250168859401463</c:v>
                </c:pt>
                <c:pt idx="6">
                  <c:v>1.9909275119347054</c:v>
                </c:pt>
                <c:pt idx="7">
                  <c:v>2.1067629927915865</c:v>
                </c:pt>
                <c:pt idx="8">
                  <c:v>2.1568381379292636</c:v>
                </c:pt>
                <c:pt idx="9">
                  <c:v>2.3227487639238227</c:v>
                </c:pt>
                <c:pt idx="10">
                  <c:v>2.4886593899183813</c:v>
                </c:pt>
                <c:pt idx="11">
                  <c:v>2.65457001591294</c:v>
                </c:pt>
                <c:pt idx="12">
                  <c:v>2.8204806419074986</c:v>
                </c:pt>
                <c:pt idx="13">
                  <c:v>2.9863912679020577</c:v>
                </c:pt>
                <c:pt idx="14">
                  <c:v>3.1523018938966163</c:v>
                </c:pt>
                <c:pt idx="15">
                  <c:v>3.3182125198911749</c:v>
                </c:pt>
                <c:pt idx="16">
                  <c:v>3.4715414637699369</c:v>
                </c:pt>
                <c:pt idx="17">
                  <c:v>3.484123145885734</c:v>
                </c:pt>
                <c:pt idx="18">
                  <c:v>3.6500337718802927</c:v>
                </c:pt>
                <c:pt idx="19">
                  <c:v>3.8159443978748513</c:v>
                </c:pt>
                <c:pt idx="20">
                  <c:v>3.9818550238694108</c:v>
                </c:pt>
                <c:pt idx="21">
                  <c:v>4.1477656498639695</c:v>
                </c:pt>
                <c:pt idx="22">
                  <c:v>4.3136762758585272</c:v>
                </c:pt>
                <c:pt idx="23">
                  <c:v>4.4795869018530867</c:v>
                </c:pt>
                <c:pt idx="24">
                  <c:v>4.7284528408449251</c:v>
                </c:pt>
              </c:numCache>
            </c:numRef>
          </c:xVal>
          <c:yVal>
            <c:numRef>
              <c:f>Performante!$E$9:$E$46</c:f>
              <c:numCache>
                <c:formatCode>General</c:formatCode>
                <c:ptCount val="38"/>
                <c:pt idx="0">
                  <c:v>1.6387993433500991</c:v>
                </c:pt>
                <c:pt idx="1">
                  <c:v>1.6493863667729418</c:v>
                </c:pt>
                <c:pt idx="2">
                  <c:v>1.6684324042538632</c:v>
                </c:pt>
                <c:pt idx="3">
                  <c:v>1.684641095915097</c:v>
                </c:pt>
                <c:pt idx="4">
                  <c:v>1.6980124417566449</c:v>
                </c:pt>
                <c:pt idx="5">
                  <c:v>1.7085464417785061</c:v>
                </c:pt>
                <c:pt idx="6">
                  <c:v>1.7162430959806816</c:v>
                </c:pt>
                <c:pt idx="7">
                  <c:v>1.7199347173129003</c:v>
                </c:pt>
                <c:pt idx="8">
                  <c:v>1.7211024043631695</c:v>
                </c:pt>
                <c:pt idx="9">
                  <c:v>1.7231243669259722</c:v>
                </c:pt>
                <c:pt idx="10">
                  <c:v>1.7223089836690879</c:v>
                </c:pt>
                <c:pt idx="11">
                  <c:v>1.7186562545925164</c:v>
                </c:pt>
                <c:pt idx="12">
                  <c:v>1.7121661796962593</c:v>
                </c:pt>
                <c:pt idx="13">
                  <c:v>1.7028387589803151</c:v>
                </c:pt>
                <c:pt idx="14">
                  <c:v>1.6906739924446852</c:v>
                </c:pt>
                <c:pt idx="15">
                  <c:v>1.6756718800893691</c:v>
                </c:pt>
                <c:pt idx="16">
                  <c:v>1.6592846863316835</c:v>
                </c:pt>
                <c:pt idx="17">
                  <c:v>1.6578324219143654</c:v>
                </c:pt>
                <c:pt idx="18">
                  <c:v>1.6371556179196753</c:v>
                </c:pt>
                <c:pt idx="19">
                  <c:v>1.6136414681052997</c:v>
                </c:pt>
                <c:pt idx="20">
                  <c:v>1.5872899724712377</c:v>
                </c:pt>
                <c:pt idx="21">
                  <c:v>1.5581011310174888</c:v>
                </c:pt>
                <c:pt idx="22">
                  <c:v>1.5260749437440533</c:v>
                </c:pt>
                <c:pt idx="23">
                  <c:v>1.4912114106509309</c:v>
                </c:pt>
                <c:pt idx="24">
                  <c:v>1.4335960875993361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0-4085-9FC4-400399003E62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1.6157603588587282</c:v>
                </c:pt>
                <c:pt idx="1">
                  <c:v>1.7400496172324769</c:v>
                </c:pt>
                <c:pt idx="2">
                  <c:v>1.9886281339799732</c:v>
                </c:pt>
                <c:pt idx="3">
                  <c:v>2.2372066507274702</c:v>
                </c:pt>
                <c:pt idx="4">
                  <c:v>2.4857851674749663</c:v>
                </c:pt>
                <c:pt idx="5">
                  <c:v>2.7343636842224632</c:v>
                </c:pt>
                <c:pt idx="6">
                  <c:v>2.9829422009699602</c:v>
                </c:pt>
                <c:pt idx="7">
                  <c:v>3.1564947497927274</c:v>
                </c:pt>
                <c:pt idx="8">
                  <c:v>3.2315207177174563</c:v>
                </c:pt>
                <c:pt idx="9">
                  <c:v>3.4800992344649537</c:v>
                </c:pt>
                <c:pt idx="10">
                  <c:v>3.7286777512124498</c:v>
                </c:pt>
                <c:pt idx="11">
                  <c:v>3.9772562679599464</c:v>
                </c:pt>
                <c:pt idx="12">
                  <c:v>4.2258347847074429</c:v>
                </c:pt>
                <c:pt idx="13">
                  <c:v>4.4744133014549403</c:v>
                </c:pt>
                <c:pt idx="14">
                  <c:v>4.7229918182024369</c:v>
                </c:pt>
                <c:pt idx="15">
                  <c:v>4.9715703349499325</c:v>
                </c:pt>
                <c:pt idx="16">
                  <c:v>5.2012981249294175</c:v>
                </c:pt>
                <c:pt idx="17">
                  <c:v>5.2201488516974299</c:v>
                </c:pt>
                <c:pt idx="18">
                  <c:v>5.4687273684449265</c:v>
                </c:pt>
                <c:pt idx="19">
                  <c:v>5.717305885192423</c:v>
                </c:pt>
                <c:pt idx="20">
                  <c:v>5.9658844019399204</c:v>
                </c:pt>
                <c:pt idx="21">
                  <c:v>6.2144629186874161</c:v>
                </c:pt>
                <c:pt idx="22">
                  <c:v>6.4630414354349126</c:v>
                </c:pt>
                <c:pt idx="23">
                  <c:v>6.71161995218241</c:v>
                </c:pt>
                <c:pt idx="24">
                  <c:v>7.0844877273036548</c:v>
                </c:pt>
              </c:numCache>
            </c:numRef>
          </c:xVal>
          <c:yVal>
            <c:numRef>
              <c:f>Performante!$M$9:$M$46</c:f>
              <c:numCache>
                <c:formatCode>General</c:formatCode>
                <c:ptCount val="38"/>
                <c:pt idx="0">
                  <c:v>1.0935481737307058</c:v>
                </c:pt>
                <c:pt idx="1">
                  <c:v>1.1005747325398727</c:v>
                </c:pt>
                <c:pt idx="2">
                  <c:v>1.1131987329484956</c:v>
                </c:pt>
                <c:pt idx="3">
                  <c:v>1.1239172437441691</c:v>
                </c:pt>
                <c:pt idx="4">
                  <c:v>1.132730264926894</c:v>
                </c:pt>
                <c:pt idx="5">
                  <c:v>1.1396377964966704</c:v>
                </c:pt>
                <c:pt idx="6">
                  <c:v>1.1446398384534979</c:v>
                </c:pt>
                <c:pt idx="7">
                  <c:v>1.1470025562206534</c:v>
                </c:pt>
                <c:pt idx="8">
                  <c:v>1.1477363907973761</c:v>
                </c:pt>
                <c:pt idx="9">
                  <c:v>1.1489274535283058</c:v>
                </c:pt>
                <c:pt idx="10">
                  <c:v>1.1482130266462869</c:v>
                </c:pt>
                <c:pt idx="11">
                  <c:v>1.1455931101513184</c:v>
                </c:pt>
                <c:pt idx="12">
                  <c:v>1.1410677040434019</c:v>
                </c:pt>
                <c:pt idx="13">
                  <c:v>1.1346368083225358</c:v>
                </c:pt>
                <c:pt idx="14">
                  <c:v>1.1263004229887215</c:v>
                </c:pt>
                <c:pt idx="15">
                  <c:v>1.1160585480419585</c:v>
                </c:pt>
                <c:pt idx="16">
                  <c:v>1.1048991393616241</c:v>
                </c:pt>
                <c:pt idx="17">
                  <c:v>1.1039111834822461</c:v>
                </c:pt>
                <c:pt idx="18">
                  <c:v>1.0898583293095849</c:v>
                </c:pt>
                <c:pt idx="19">
                  <c:v>1.073899985523975</c:v>
                </c:pt>
                <c:pt idx="20">
                  <c:v>1.0560361521254165</c:v>
                </c:pt>
                <c:pt idx="21">
                  <c:v>1.036266829113909</c:v>
                </c:pt>
                <c:pt idx="22">
                  <c:v>1.0145920164894526</c:v>
                </c:pt>
                <c:pt idx="23">
                  <c:v>0.99101171425204737</c:v>
                </c:pt>
                <c:pt idx="24">
                  <c:v>0.95206846787166077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C0-4085-9FC4-400399003E62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2.4208414079377771</c:v>
                </c:pt>
                <c:pt idx="1">
                  <c:v>2.6070599777791448</c:v>
                </c:pt>
                <c:pt idx="2">
                  <c:v>2.9794971174618796</c:v>
                </c:pt>
                <c:pt idx="3">
                  <c:v>3.3519342571446145</c:v>
                </c:pt>
                <c:pt idx="4">
                  <c:v>3.7243713968273493</c:v>
                </c:pt>
                <c:pt idx="5">
                  <c:v>4.0968085365100846</c:v>
                </c:pt>
                <c:pt idx="6">
                  <c:v>4.4692456761928199</c:v>
                </c:pt>
                <c:pt idx="7">
                  <c:v>4.7292738383765114</c:v>
                </c:pt>
                <c:pt idx="8">
                  <c:v>4.8416828158755543</c:v>
                </c:pt>
                <c:pt idx="9">
                  <c:v>5.2141199555582896</c:v>
                </c:pt>
                <c:pt idx="10">
                  <c:v>5.586557095241024</c:v>
                </c:pt>
                <c:pt idx="11">
                  <c:v>5.9589942349237592</c:v>
                </c:pt>
                <c:pt idx="12">
                  <c:v>6.3314313746064936</c:v>
                </c:pt>
                <c:pt idx="13">
                  <c:v>6.7038685142892289</c:v>
                </c:pt>
                <c:pt idx="14">
                  <c:v>7.0763056539719633</c:v>
                </c:pt>
                <c:pt idx="15">
                  <c:v>7.4487427936546986</c:v>
                </c:pt>
                <c:pt idx="16">
                  <c:v>7.7929365000340205</c:v>
                </c:pt>
                <c:pt idx="17">
                  <c:v>7.8211799333374339</c:v>
                </c:pt>
                <c:pt idx="18">
                  <c:v>8.1936170730201692</c:v>
                </c:pt>
                <c:pt idx="19">
                  <c:v>8.5660542127029036</c:v>
                </c:pt>
                <c:pt idx="20">
                  <c:v>8.9384913523856397</c:v>
                </c:pt>
                <c:pt idx="21">
                  <c:v>9.3109284920683741</c:v>
                </c:pt>
                <c:pt idx="22">
                  <c:v>9.6833656317511085</c:v>
                </c:pt>
                <c:pt idx="23">
                  <c:v>10.055802771433843</c:v>
                </c:pt>
                <c:pt idx="24">
                  <c:v>10.614458480957946</c:v>
                </c:pt>
              </c:numCache>
            </c:numRef>
          </c:xVal>
          <c:yVal>
            <c:numRef>
              <c:f>Performante!$U$9:$U$46</c:f>
              <c:numCache>
                <c:formatCode>General</c:formatCode>
                <c:ptCount val="38"/>
                <c:pt idx="0">
                  <c:v>0.72931840730700237</c:v>
                </c:pt>
                <c:pt idx="1">
                  <c:v>0.73391926210105141</c:v>
                </c:pt>
                <c:pt idx="2">
                  <c:v>0.74214736212227339</c:v>
                </c:pt>
                <c:pt idx="3">
                  <c:v>0.74907731605432615</c:v>
                </c:pt>
                <c:pt idx="4">
                  <c:v>0.75470912389721045</c:v>
                </c:pt>
                <c:pt idx="5">
                  <c:v>0.75904278565092609</c:v>
                </c:pt>
                <c:pt idx="6">
                  <c:v>0.76207830131547316</c:v>
                </c:pt>
                <c:pt idx="7">
                  <c:v>0.76342807372016019</c:v>
                </c:pt>
                <c:pt idx="8">
                  <c:v>0.76381567089085134</c:v>
                </c:pt>
                <c:pt idx="9">
                  <c:v>0.76425489437706107</c:v>
                </c:pt>
                <c:pt idx="10">
                  <c:v>0.7633959717741019</c:v>
                </c:pt>
                <c:pt idx="11">
                  <c:v>0.76123890308197406</c:v>
                </c:pt>
                <c:pt idx="12">
                  <c:v>0.75778368830067777</c:v>
                </c:pt>
                <c:pt idx="13">
                  <c:v>0.75303032743021248</c:v>
                </c:pt>
                <c:pt idx="14">
                  <c:v>0.74697882047057873</c:v>
                </c:pt>
                <c:pt idx="15">
                  <c:v>0.73962916742177653</c:v>
                </c:pt>
                <c:pt idx="16">
                  <c:v>0.73168265547318589</c:v>
                </c:pt>
                <c:pt idx="17">
                  <c:v>0.73098136828380533</c:v>
                </c:pt>
                <c:pt idx="18">
                  <c:v>0.72103542305666535</c:v>
                </c:pt>
                <c:pt idx="19">
                  <c:v>0.70979133174035702</c:v>
                </c:pt>
                <c:pt idx="20">
                  <c:v>0.6972490943348798</c:v>
                </c:pt>
                <c:pt idx="21">
                  <c:v>0.68340871084023402</c:v>
                </c:pt>
                <c:pt idx="22">
                  <c:v>0.66827018125641957</c:v>
                </c:pt>
                <c:pt idx="23">
                  <c:v>0.65183350558343611</c:v>
                </c:pt>
                <c:pt idx="24">
                  <c:v>0.62474446815676998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C0-4085-9FC4-400399003E62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3.6270682655722712</c:v>
                </c:pt>
                <c:pt idx="1">
                  <c:v>3.9060735167701388</c:v>
                </c:pt>
                <c:pt idx="2">
                  <c:v>4.4640840191658722</c:v>
                </c:pt>
                <c:pt idx="3">
                  <c:v>5.0220945215616073</c:v>
                </c:pt>
                <c:pt idx="4">
                  <c:v>5.5801050239573406</c:v>
                </c:pt>
                <c:pt idx="5">
                  <c:v>6.1381155263530749</c:v>
                </c:pt>
                <c:pt idx="6">
                  <c:v>6.69612602874881</c:v>
                </c:pt>
                <c:pt idx="7">
                  <c:v>7.0857178013114632</c:v>
                </c:pt>
                <c:pt idx="8">
                  <c:v>7.2541365311445425</c:v>
                </c:pt>
                <c:pt idx="9">
                  <c:v>7.8121470335402776</c:v>
                </c:pt>
                <c:pt idx="10">
                  <c:v>8.370157535936011</c:v>
                </c:pt>
                <c:pt idx="11">
                  <c:v>8.9281680383317443</c:v>
                </c:pt>
                <c:pt idx="12">
                  <c:v>9.4861785407274795</c:v>
                </c:pt>
                <c:pt idx="13">
                  <c:v>10.044189043123215</c:v>
                </c:pt>
                <c:pt idx="14">
                  <c:v>10.602199545518948</c:v>
                </c:pt>
                <c:pt idx="15">
                  <c:v>11.160210047914681</c:v>
                </c:pt>
                <c:pt idx="16">
                  <c:v>11.67590432905374</c:v>
                </c:pt>
                <c:pt idx="17">
                  <c:v>11.718220550310416</c:v>
                </c:pt>
                <c:pt idx="18">
                  <c:v>12.27623105270615</c:v>
                </c:pt>
                <c:pt idx="19">
                  <c:v>12.834241555101883</c:v>
                </c:pt>
                <c:pt idx="20">
                  <c:v>13.39225205749762</c:v>
                </c:pt>
                <c:pt idx="21">
                  <c:v>13.950262559893352</c:v>
                </c:pt>
                <c:pt idx="22">
                  <c:v>14.508273062289085</c:v>
                </c:pt>
                <c:pt idx="23">
                  <c:v>15.06628356468482</c:v>
                </c:pt>
                <c:pt idx="24">
                  <c:v>15.903299318278421</c:v>
                </c:pt>
              </c:numCache>
            </c:numRef>
          </c:xVal>
          <c:yVal>
            <c:numRef>
              <c:f>Performante!$AC$9:$AC$46</c:f>
              <c:numCache>
                <c:formatCode>General</c:formatCode>
                <c:ptCount val="38"/>
                <c:pt idx="0">
                  <c:v>0.48552486362508379</c:v>
                </c:pt>
                <c:pt idx="1">
                  <c:v>0.48839600687071727</c:v>
                </c:pt>
                <c:pt idx="2">
                  <c:v>0.49344410541418299</c:v>
                </c:pt>
                <c:pt idx="3">
                  <c:v>0.49756662002724661</c:v>
                </c:pt>
                <c:pt idx="4">
                  <c:v>0.50076355070990863</c:v>
                </c:pt>
                <c:pt idx="5">
                  <c:v>0.50303489746216856</c:v>
                </c:pt>
                <c:pt idx="6">
                  <c:v>0.50438066028402706</c:v>
                </c:pt>
                <c:pt idx="7">
                  <c:v>0.50477154247475464</c:v>
                </c:pt>
                <c:pt idx="8">
                  <c:v>0.50480083917548324</c:v>
                </c:pt>
                <c:pt idx="9">
                  <c:v>0.50429543413653788</c:v>
                </c:pt>
                <c:pt idx="10">
                  <c:v>0.50286444516719053</c:v>
                </c:pt>
                <c:pt idx="11">
                  <c:v>0.50050787226744142</c:v>
                </c:pt>
                <c:pt idx="12">
                  <c:v>0.49722571543729038</c:v>
                </c:pt>
                <c:pt idx="13">
                  <c:v>0.49301797467673741</c:v>
                </c:pt>
                <c:pt idx="14">
                  <c:v>0.48788464998578285</c:v>
                </c:pt>
                <c:pt idx="15">
                  <c:v>0.48182574136442646</c:v>
                </c:pt>
                <c:pt idx="16">
                  <c:v>0.47540334546302254</c:v>
                </c:pt>
                <c:pt idx="17">
                  <c:v>0.47484124881266798</c:v>
                </c:pt>
                <c:pt idx="18">
                  <c:v>0.46693117233050752</c:v>
                </c:pt>
                <c:pt idx="19">
                  <c:v>0.45809551191794556</c:v>
                </c:pt>
                <c:pt idx="20">
                  <c:v>0.44833426757498174</c:v>
                </c:pt>
                <c:pt idx="21">
                  <c:v>0.43764743930161593</c:v>
                </c:pt>
                <c:pt idx="22">
                  <c:v>0.4260350270978483</c:v>
                </c:pt>
                <c:pt idx="23">
                  <c:v>0.41349703096367879</c:v>
                </c:pt>
                <c:pt idx="24">
                  <c:v>0.39295456689292119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C0-4085-9FC4-400399003E62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5.4343188942427352</c:v>
                </c:pt>
                <c:pt idx="1">
                  <c:v>5.8523434245691002</c:v>
                </c:pt>
                <c:pt idx="2">
                  <c:v>6.6883924852218275</c:v>
                </c:pt>
                <c:pt idx="3">
                  <c:v>7.5244415458745566</c:v>
                </c:pt>
                <c:pt idx="4">
                  <c:v>8.3604906065272839</c:v>
                </c:pt>
                <c:pt idx="5">
                  <c:v>9.1965396671800139</c:v>
                </c:pt>
                <c:pt idx="6">
                  <c:v>10.032588727832744</c:v>
                </c:pt>
                <c:pt idx="7">
                  <c:v>10.616301460999265</c:v>
                </c:pt>
                <c:pt idx="8">
                  <c:v>10.86863778848547</c:v>
                </c:pt>
                <c:pt idx="9">
                  <c:v>11.7046868491382</c:v>
                </c:pt>
                <c:pt idx="10">
                  <c:v>12.540735909790927</c:v>
                </c:pt>
                <c:pt idx="11">
                  <c:v>13.376784970443655</c:v>
                </c:pt>
                <c:pt idx="12">
                  <c:v>14.212834031096383</c:v>
                </c:pt>
                <c:pt idx="13">
                  <c:v>15.048883091749113</c:v>
                </c:pt>
                <c:pt idx="14">
                  <c:v>15.884932152401841</c:v>
                </c:pt>
                <c:pt idx="15">
                  <c:v>16.720981213054568</c:v>
                </c:pt>
                <c:pt idx="16">
                  <c:v>17.493629250106263</c:v>
                </c:pt>
                <c:pt idx="17">
                  <c:v>17.557030273707298</c:v>
                </c:pt>
                <c:pt idx="18">
                  <c:v>18.393079334360028</c:v>
                </c:pt>
                <c:pt idx="19">
                  <c:v>19.229128395012754</c:v>
                </c:pt>
                <c:pt idx="20">
                  <c:v>20.065177455665488</c:v>
                </c:pt>
                <c:pt idx="21">
                  <c:v>20.901226516318211</c:v>
                </c:pt>
                <c:pt idx="22">
                  <c:v>21.737275576970941</c:v>
                </c:pt>
                <c:pt idx="23">
                  <c:v>22.573324637623671</c:v>
                </c:pt>
                <c:pt idx="24">
                  <c:v>23.827398228602764</c:v>
                </c:pt>
              </c:numCache>
            </c:numRef>
          </c:xVal>
          <c:yVal>
            <c:numRef>
              <c:f>Performante!$AK$9:$AK$46</c:f>
              <c:numCache>
                <c:formatCode>General</c:formatCode>
                <c:ptCount val="38"/>
                <c:pt idx="0">
                  <c:v>0.32125240204383049</c:v>
                </c:pt>
                <c:pt idx="1">
                  <c:v>0.32272055811513195</c:v>
                </c:pt>
                <c:pt idx="2">
                  <c:v>0.32509395371103167</c:v>
                </c:pt>
                <c:pt idx="3">
                  <c:v>0.32671679391132707</c:v>
                </c:pt>
                <c:pt idx="4">
                  <c:v>0.32758907871601844</c:v>
                </c:pt>
                <c:pt idx="5">
                  <c:v>0.32771080812510556</c:v>
                </c:pt>
                <c:pt idx="6">
                  <c:v>0.32708198213858858</c:v>
                </c:pt>
                <c:pt idx="7">
                  <c:v>0.32619800592085169</c:v>
                </c:pt>
                <c:pt idx="8">
                  <c:v>0.32570260075646729</c:v>
                </c:pt>
                <c:pt idx="9">
                  <c:v>0.32357266397874201</c:v>
                </c:pt>
                <c:pt idx="10">
                  <c:v>0.32069217180541243</c:v>
                </c:pt>
                <c:pt idx="11">
                  <c:v>0.3170611242364787</c:v>
                </c:pt>
                <c:pt idx="12">
                  <c:v>0.31267952127194076</c:v>
                </c:pt>
                <c:pt idx="13">
                  <c:v>0.30754736291179857</c:v>
                </c:pt>
                <c:pt idx="14">
                  <c:v>0.30166464915605229</c:v>
                </c:pt>
                <c:pt idx="15">
                  <c:v>0.29503138000470197</c:v>
                </c:pt>
                <c:pt idx="16">
                  <c:v>0.28823380180110292</c:v>
                </c:pt>
                <c:pt idx="17">
                  <c:v>0.28764755545774734</c:v>
                </c:pt>
                <c:pt idx="18">
                  <c:v>0.27951317551518845</c:v>
                </c:pt>
                <c:pt idx="19">
                  <c:v>0.27062824017702547</c:v>
                </c:pt>
                <c:pt idx="20">
                  <c:v>0.26099274944325829</c:v>
                </c:pt>
                <c:pt idx="21">
                  <c:v>0.25060670331388696</c:v>
                </c:pt>
                <c:pt idx="22">
                  <c:v>0.23947010178891154</c:v>
                </c:pt>
                <c:pt idx="23">
                  <c:v>0.22758294486833172</c:v>
                </c:pt>
                <c:pt idx="24">
                  <c:v>0.20834491812070438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C0-4085-9FC4-400399003E62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8.1420639706829778</c:v>
                </c:pt>
                <c:pt idx="1">
                  <c:v>8.7683765838124383</c:v>
                </c:pt>
                <c:pt idx="2">
                  <c:v>10.021001810071356</c:v>
                </c:pt>
                <c:pt idx="3">
                  <c:v>11.273627036330277</c:v>
                </c:pt>
                <c:pt idx="4">
                  <c:v>12.526252262589194</c:v>
                </c:pt>
                <c:pt idx="5">
                  <c:v>13.778877488848115</c:v>
                </c:pt>
                <c:pt idx="6">
                  <c:v>15.031502715107038</c:v>
                </c:pt>
                <c:pt idx="7">
                  <c:v>15.90606059557649</c:v>
                </c:pt>
                <c:pt idx="8">
                  <c:v>16.284127941365956</c:v>
                </c:pt>
                <c:pt idx="9">
                  <c:v>17.536753167624877</c:v>
                </c:pt>
                <c:pt idx="10">
                  <c:v>18.789378393883794</c:v>
                </c:pt>
                <c:pt idx="11">
                  <c:v>20.042003620142712</c:v>
                </c:pt>
                <c:pt idx="12">
                  <c:v>21.294628846401633</c:v>
                </c:pt>
                <c:pt idx="13">
                  <c:v>22.547254072660554</c:v>
                </c:pt>
                <c:pt idx="14">
                  <c:v>23.799879298919471</c:v>
                </c:pt>
                <c:pt idx="15">
                  <c:v>25.052504525178389</c:v>
                </c:pt>
                <c:pt idx="16">
                  <c:v>26.2101431805301</c:v>
                </c:pt>
                <c:pt idx="17">
                  <c:v>26.305129751437313</c:v>
                </c:pt>
                <c:pt idx="18">
                  <c:v>27.557754977696231</c:v>
                </c:pt>
                <c:pt idx="19">
                  <c:v>28.810380203955148</c:v>
                </c:pt>
                <c:pt idx="20">
                  <c:v>30.063005430214076</c:v>
                </c:pt>
                <c:pt idx="21">
                  <c:v>31.31563065647299</c:v>
                </c:pt>
                <c:pt idx="22">
                  <c:v>32.568255882731911</c:v>
                </c:pt>
                <c:pt idx="23">
                  <c:v>33.820881108990832</c:v>
                </c:pt>
                <c:pt idx="24">
                  <c:v>35.69981894837921</c:v>
                </c:pt>
                <c:pt idx="25">
                  <c:v>39.269800843217126</c:v>
                </c:pt>
              </c:numCache>
            </c:numRef>
          </c:xVal>
          <c:yVal>
            <c:numRef>
              <c:f>Performante!$AT$9:$AT$34</c:f>
              <c:numCache>
                <c:formatCode>General</c:formatCode>
                <c:ptCount val="26"/>
                <c:pt idx="0">
                  <c:v>0.20811899036647796</c:v>
                </c:pt>
                <c:pt idx="1">
                  <c:v>0.20809287717569014</c:v>
                </c:pt>
                <c:pt idx="2">
                  <c:v>0.20744138014938374</c:v>
                </c:pt>
                <c:pt idx="3">
                  <c:v>0.2059908555967693</c:v>
                </c:pt>
                <c:pt idx="4">
                  <c:v>0.20374130351784714</c:v>
                </c:pt>
                <c:pt idx="5">
                  <c:v>0.200692723912617</c:v>
                </c:pt>
                <c:pt idx="6">
                  <c:v>0.1968451167810791</c:v>
                </c:pt>
                <c:pt idx="7">
                  <c:v>0.19368511680859676</c:v>
                </c:pt>
                <c:pt idx="8">
                  <c:v>0.19219848212323323</c:v>
                </c:pt>
                <c:pt idx="9">
                  <c:v>0.18675281993907955</c:v>
                </c:pt>
                <c:pt idx="10">
                  <c:v>0.18050813022861803</c:v>
                </c:pt>
                <c:pt idx="11">
                  <c:v>0.17346441299184856</c:v>
                </c:pt>
                <c:pt idx="12">
                  <c:v>0.16562166822877128</c:v>
                </c:pt>
                <c:pt idx="13">
                  <c:v>0.15697989593938608</c:v>
                </c:pt>
                <c:pt idx="14">
                  <c:v>0.14753909612369312</c:v>
                </c:pt>
                <c:pt idx="15">
                  <c:v>0.13729926878169227</c:v>
                </c:pt>
                <c:pt idx="16">
                  <c:v>0.12712548812710095</c:v>
                </c:pt>
                <c:pt idx="17">
                  <c:v>0.12626041391338344</c:v>
                </c:pt>
                <c:pt idx="18">
                  <c:v>0.11442253151876673</c:v>
                </c:pt>
                <c:pt idx="19">
                  <c:v>0.10178562159784225</c:v>
                </c:pt>
                <c:pt idx="20">
                  <c:v>8.8349684150609828E-2</c:v>
                </c:pt>
                <c:pt idx="21">
                  <c:v>7.4114719177069646E-2</c:v>
                </c:pt>
                <c:pt idx="22">
                  <c:v>5.9080726677221543E-2</c:v>
                </c:pt>
                <c:pt idx="23">
                  <c:v>4.3247706651065462E-2</c:v>
                </c:pt>
                <c:pt idx="24">
                  <c:v>1.8000000000004276E-2</c:v>
                </c:pt>
                <c:pt idx="25">
                  <c:v>-3.4923614515712853E-2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4-45D8-8B5C-E2BA2A10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01280"/>
        <c:axId val="1"/>
      </c:scatterChart>
      <c:valAx>
        <c:axId val="18139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Factorul dinamic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1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769389291859936"/>
          <c:y val="0.32170069672804491"/>
          <c:w val="0.12129550394842878"/>
          <c:h val="0.2654080593907200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Accelerația</a:t>
            </a:r>
          </a:p>
        </c:rich>
      </c:tx>
      <c:layout>
        <c:manualLayout>
          <c:xMode val="edge"/>
          <c:yMode val="edge"/>
          <c:x val="0.43627484248569193"/>
          <c:y val="2.87917133849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906221872444989E-2"/>
          <c:y val="0.10173072062696956"/>
          <c:w val="0.91079455752694782"/>
          <c:h val="0.76394012848177129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1.0784190689646318</c:v>
                </c:pt>
                <c:pt idx="1">
                  <c:v>1.1613743819619113</c:v>
                </c:pt>
                <c:pt idx="2">
                  <c:v>1.32728500795647</c:v>
                </c:pt>
                <c:pt idx="3">
                  <c:v>1.4931956339510288</c:v>
                </c:pt>
                <c:pt idx="4">
                  <c:v>1.6591062599455875</c:v>
                </c:pt>
                <c:pt idx="5">
                  <c:v>1.8250168859401463</c:v>
                </c:pt>
                <c:pt idx="6">
                  <c:v>1.9909275119347054</c:v>
                </c:pt>
                <c:pt idx="7">
                  <c:v>2.1067629927915865</c:v>
                </c:pt>
                <c:pt idx="8">
                  <c:v>2.1568381379292636</c:v>
                </c:pt>
                <c:pt idx="9">
                  <c:v>2.3227487639238227</c:v>
                </c:pt>
                <c:pt idx="10">
                  <c:v>2.4886593899183813</c:v>
                </c:pt>
                <c:pt idx="11">
                  <c:v>2.65457001591294</c:v>
                </c:pt>
                <c:pt idx="12">
                  <c:v>2.8204806419074986</c:v>
                </c:pt>
                <c:pt idx="13">
                  <c:v>2.9863912679020577</c:v>
                </c:pt>
                <c:pt idx="14">
                  <c:v>3.1523018938966163</c:v>
                </c:pt>
                <c:pt idx="15">
                  <c:v>3.3182125198911749</c:v>
                </c:pt>
                <c:pt idx="16">
                  <c:v>3.4715414637699369</c:v>
                </c:pt>
                <c:pt idx="17">
                  <c:v>3.484123145885734</c:v>
                </c:pt>
                <c:pt idx="18">
                  <c:v>3.6500337718802927</c:v>
                </c:pt>
                <c:pt idx="19">
                  <c:v>3.8159443978748513</c:v>
                </c:pt>
                <c:pt idx="20">
                  <c:v>3.9818550238694108</c:v>
                </c:pt>
                <c:pt idx="21">
                  <c:v>4.1477656498639695</c:v>
                </c:pt>
                <c:pt idx="22">
                  <c:v>4.3136762758585272</c:v>
                </c:pt>
                <c:pt idx="23">
                  <c:v>4.4795869018530867</c:v>
                </c:pt>
                <c:pt idx="24">
                  <c:v>4.7284528408449251</c:v>
                </c:pt>
              </c:numCache>
            </c:numRef>
          </c:xVal>
          <c:yVal>
            <c:numRef>
              <c:f>Performante!$F$9:$F$46</c:f>
              <c:numCache>
                <c:formatCode>General</c:formatCode>
                <c:ptCount val="38"/>
                <c:pt idx="0">
                  <c:v>3.5971723942093536</c:v>
                </c:pt>
                <c:pt idx="1">
                  <c:v>3.6206690402005726</c:v>
                </c:pt>
                <c:pt idx="2">
                  <c:v>3.662939467151658</c:v>
                </c:pt>
                <c:pt idx="3">
                  <c:v>3.6989127407276006</c:v>
                </c:pt>
                <c:pt idx="4">
                  <c:v>3.7285888609284044</c:v>
                </c:pt>
                <c:pt idx="5">
                  <c:v>3.7519678277540685</c:v>
                </c:pt>
                <c:pt idx="6">
                  <c:v>3.7690496412045946</c:v>
                </c:pt>
                <c:pt idx="7">
                  <c:v>3.7772427580148986</c:v>
                </c:pt>
                <c:pt idx="8">
                  <c:v>3.7798343012799784</c:v>
                </c:pt>
                <c:pt idx="9">
                  <c:v>3.7843218079802239</c:v>
                </c:pt>
                <c:pt idx="10">
                  <c:v>3.7825121613053301</c:v>
                </c:pt>
                <c:pt idx="11">
                  <c:v>3.7744053612552944</c:v>
                </c:pt>
                <c:pt idx="12">
                  <c:v>3.7600014078301198</c:v>
                </c:pt>
                <c:pt idx="13">
                  <c:v>3.7393003010298056</c:v>
                </c:pt>
                <c:pt idx="14">
                  <c:v>3.7123020408543521</c:v>
                </c:pt>
                <c:pt idx="15">
                  <c:v>3.6790066273037594</c:v>
                </c:pt>
                <c:pt idx="16">
                  <c:v>3.6426371894423983</c:v>
                </c:pt>
                <c:pt idx="17">
                  <c:v>3.6394140603780252</c:v>
                </c:pt>
                <c:pt idx="18">
                  <c:v>3.5935243400771504</c:v>
                </c:pt>
                <c:pt idx="19">
                  <c:v>3.5413374664011386</c:v>
                </c:pt>
                <c:pt idx="20">
                  <c:v>3.4828534393499866</c:v>
                </c:pt>
                <c:pt idx="21">
                  <c:v>3.4180722589236945</c:v>
                </c:pt>
                <c:pt idx="22">
                  <c:v>3.3469939251222618</c:v>
                </c:pt>
                <c:pt idx="23">
                  <c:v>3.2696184379456885</c:v>
                </c:pt>
                <c:pt idx="24">
                  <c:v>3.1417480446024433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F-41C0-9847-AE2748E32E63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1.6157603588587282</c:v>
                </c:pt>
                <c:pt idx="1">
                  <c:v>1.7400496172324769</c:v>
                </c:pt>
                <c:pt idx="2">
                  <c:v>1.9886281339799732</c:v>
                </c:pt>
                <c:pt idx="3">
                  <c:v>2.2372066507274702</c:v>
                </c:pt>
                <c:pt idx="4">
                  <c:v>2.4857851674749663</c:v>
                </c:pt>
                <c:pt idx="5">
                  <c:v>2.7343636842224632</c:v>
                </c:pt>
                <c:pt idx="6">
                  <c:v>2.9829422009699602</c:v>
                </c:pt>
                <c:pt idx="7">
                  <c:v>3.1564947497927274</c:v>
                </c:pt>
                <c:pt idx="8">
                  <c:v>3.2315207177174563</c:v>
                </c:pt>
                <c:pt idx="9">
                  <c:v>3.4800992344649537</c:v>
                </c:pt>
                <c:pt idx="10">
                  <c:v>3.7286777512124498</c:v>
                </c:pt>
                <c:pt idx="11">
                  <c:v>3.9772562679599464</c:v>
                </c:pt>
                <c:pt idx="12">
                  <c:v>4.2258347847074429</c:v>
                </c:pt>
                <c:pt idx="13">
                  <c:v>4.4744133014549403</c:v>
                </c:pt>
                <c:pt idx="14">
                  <c:v>4.7229918182024369</c:v>
                </c:pt>
                <c:pt idx="15">
                  <c:v>4.9715703349499325</c:v>
                </c:pt>
                <c:pt idx="16">
                  <c:v>5.2012981249294175</c:v>
                </c:pt>
                <c:pt idx="17">
                  <c:v>5.2201488516974299</c:v>
                </c:pt>
                <c:pt idx="18">
                  <c:v>5.4687273684449265</c:v>
                </c:pt>
                <c:pt idx="19">
                  <c:v>5.717305885192423</c:v>
                </c:pt>
                <c:pt idx="20">
                  <c:v>5.9658844019399204</c:v>
                </c:pt>
                <c:pt idx="21">
                  <c:v>6.2144629186874161</c:v>
                </c:pt>
                <c:pt idx="22">
                  <c:v>6.4630414354349126</c:v>
                </c:pt>
                <c:pt idx="23">
                  <c:v>6.71161995218241</c:v>
                </c:pt>
                <c:pt idx="24">
                  <c:v>7.0844877273036548</c:v>
                </c:pt>
              </c:numCache>
            </c:numRef>
          </c:xVal>
          <c:yVal>
            <c:numRef>
              <c:f>Performante!$N$9:$N$46</c:f>
              <c:numCache>
                <c:formatCode>General</c:formatCode>
                <c:ptCount val="38"/>
                <c:pt idx="0">
                  <c:v>4.18100924244147</c:v>
                </c:pt>
                <c:pt idx="1">
                  <c:v>4.2083237858912375</c:v>
                </c:pt>
                <c:pt idx="2">
                  <c:v>4.2573974245009873</c:v>
                </c:pt>
                <c:pt idx="3">
                  <c:v>4.2990637987243518</c:v>
                </c:pt>
                <c:pt idx="4">
                  <c:v>4.3333229085613336</c:v>
                </c:pt>
                <c:pt idx="5">
                  <c:v>4.3601747540119327</c:v>
                </c:pt>
                <c:pt idx="6">
                  <c:v>4.3796193350761481</c:v>
                </c:pt>
                <c:pt idx="7">
                  <c:v>4.3888039955711706</c:v>
                </c:pt>
                <c:pt idx="8">
                  <c:v>4.391656651753979</c:v>
                </c:pt>
                <c:pt idx="9">
                  <c:v>4.3962867040454272</c:v>
                </c:pt>
                <c:pt idx="10">
                  <c:v>4.3935094919504918</c:v>
                </c:pt>
                <c:pt idx="11">
                  <c:v>4.383325015469171</c:v>
                </c:pt>
                <c:pt idx="12">
                  <c:v>4.3657332746014701</c:v>
                </c:pt>
                <c:pt idx="13">
                  <c:v>4.3407342693473812</c:v>
                </c:pt>
                <c:pt idx="14">
                  <c:v>4.308327999706913</c:v>
                </c:pt>
                <c:pt idx="15">
                  <c:v>4.2685144656800604</c:v>
                </c:pt>
                <c:pt idx="16">
                  <c:v>4.2251341764729116</c:v>
                </c:pt>
                <c:pt idx="17">
                  <c:v>4.2212936672668233</c:v>
                </c:pt>
                <c:pt idx="18">
                  <c:v>4.1666656044672026</c:v>
                </c:pt>
                <c:pt idx="19">
                  <c:v>4.1046302772811991</c:v>
                </c:pt>
                <c:pt idx="20">
                  <c:v>4.035187685708812</c:v>
                </c:pt>
                <c:pt idx="21">
                  <c:v>3.9583378297500418</c:v>
                </c:pt>
                <c:pt idx="22">
                  <c:v>3.874080709404887</c:v>
                </c:pt>
                <c:pt idx="23">
                  <c:v>3.7824163246733487</c:v>
                </c:pt>
                <c:pt idx="24">
                  <c:v>3.6310311268515738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F-41C0-9847-AE2748E32E63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2.4208414079377771</c:v>
                </c:pt>
                <c:pt idx="1">
                  <c:v>2.6070599777791448</c:v>
                </c:pt>
                <c:pt idx="2">
                  <c:v>2.9794971174618796</c:v>
                </c:pt>
                <c:pt idx="3">
                  <c:v>3.3519342571446145</c:v>
                </c:pt>
                <c:pt idx="4">
                  <c:v>3.7243713968273493</c:v>
                </c:pt>
                <c:pt idx="5">
                  <c:v>4.0968085365100846</c:v>
                </c:pt>
                <c:pt idx="6">
                  <c:v>4.4692456761928199</c:v>
                </c:pt>
                <c:pt idx="7">
                  <c:v>4.7292738383765114</c:v>
                </c:pt>
                <c:pt idx="8">
                  <c:v>4.8416828158755543</c:v>
                </c:pt>
                <c:pt idx="9">
                  <c:v>5.2141199555582896</c:v>
                </c:pt>
                <c:pt idx="10">
                  <c:v>5.586557095241024</c:v>
                </c:pt>
                <c:pt idx="11">
                  <c:v>5.9589942349237592</c:v>
                </c:pt>
                <c:pt idx="12">
                  <c:v>6.3314313746064936</c:v>
                </c:pt>
                <c:pt idx="13">
                  <c:v>6.7038685142892289</c:v>
                </c:pt>
                <c:pt idx="14">
                  <c:v>7.0763056539719633</c:v>
                </c:pt>
                <c:pt idx="15">
                  <c:v>7.4487427936546986</c:v>
                </c:pt>
                <c:pt idx="16">
                  <c:v>7.7929365000340205</c:v>
                </c:pt>
                <c:pt idx="17">
                  <c:v>7.8211799333374339</c:v>
                </c:pt>
                <c:pt idx="18">
                  <c:v>8.1936170730201692</c:v>
                </c:pt>
                <c:pt idx="19">
                  <c:v>8.5660542127029036</c:v>
                </c:pt>
                <c:pt idx="20">
                  <c:v>8.9384913523856397</c:v>
                </c:pt>
                <c:pt idx="21">
                  <c:v>9.3109284920683741</c:v>
                </c:pt>
                <c:pt idx="22">
                  <c:v>9.6833656317511085</c:v>
                </c:pt>
                <c:pt idx="23">
                  <c:v>10.055802771433843</c:v>
                </c:pt>
                <c:pt idx="24">
                  <c:v>10.614458480957946</c:v>
                </c:pt>
              </c:numCache>
            </c:numRef>
          </c:xVal>
          <c:yVal>
            <c:numRef>
              <c:f>Performante!$V$9:$V$46</c:f>
              <c:numCache>
                <c:formatCode>General</c:formatCode>
                <c:ptCount val="38"/>
                <c:pt idx="0">
                  <c:v>4.156770288300832</c:v>
                </c:pt>
                <c:pt idx="1">
                  <c:v>4.1836565551431226</c:v>
                </c:pt>
                <c:pt idx="2">
                  <c:v>4.2317395533420168</c:v>
                </c:pt>
                <c:pt idx="3">
                  <c:v>4.2722365042266546</c:v>
                </c:pt>
                <c:pt idx="4">
                  <c:v>4.3051474077970404</c:v>
                </c:pt>
                <c:pt idx="5">
                  <c:v>4.3304722640531725</c:v>
                </c:pt>
                <c:pt idx="6">
                  <c:v>4.3482110729950527</c:v>
                </c:pt>
                <c:pt idx="7">
                  <c:v>4.3560988118334336</c:v>
                </c:pt>
                <c:pt idx="8">
                  <c:v>4.3583638346226774</c:v>
                </c:pt>
                <c:pt idx="9">
                  <c:v>4.3609305489360501</c:v>
                </c:pt>
                <c:pt idx="10">
                  <c:v>4.3559112159351683</c:v>
                </c:pt>
                <c:pt idx="11">
                  <c:v>4.3433058356200336</c:v>
                </c:pt>
                <c:pt idx="12">
                  <c:v>4.3231144079906461</c:v>
                </c:pt>
                <c:pt idx="13">
                  <c:v>4.2953369330470039</c:v>
                </c:pt>
                <c:pt idx="14">
                  <c:v>4.259973410789109</c:v>
                </c:pt>
                <c:pt idx="15">
                  <c:v>4.2170238412169629</c:v>
                </c:pt>
                <c:pt idx="16">
                  <c:v>4.1705863746419238</c:v>
                </c:pt>
                <c:pt idx="17">
                  <c:v>4.1664882243305605</c:v>
                </c:pt>
                <c:pt idx="18">
                  <c:v>4.1083665601299053</c:v>
                </c:pt>
                <c:pt idx="19">
                  <c:v>4.0426588486149972</c:v>
                </c:pt>
                <c:pt idx="20">
                  <c:v>3.9693650897858355</c:v>
                </c:pt>
                <c:pt idx="21">
                  <c:v>3.8884852836424209</c:v>
                </c:pt>
                <c:pt idx="22">
                  <c:v>3.800019430184753</c:v>
                </c:pt>
                <c:pt idx="23">
                  <c:v>3.70396752941283</c:v>
                </c:pt>
                <c:pt idx="24">
                  <c:v>3.5456658395407215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F-41C0-9847-AE2748E32E63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3.6270682655722712</c:v>
                </c:pt>
                <c:pt idx="1">
                  <c:v>3.9060735167701388</c:v>
                </c:pt>
                <c:pt idx="2">
                  <c:v>4.4640840191658722</c:v>
                </c:pt>
                <c:pt idx="3">
                  <c:v>5.0220945215616073</c:v>
                </c:pt>
                <c:pt idx="4">
                  <c:v>5.5801050239573406</c:v>
                </c:pt>
                <c:pt idx="5">
                  <c:v>6.1381155263530749</c:v>
                </c:pt>
                <c:pt idx="6">
                  <c:v>6.69612602874881</c:v>
                </c:pt>
                <c:pt idx="7">
                  <c:v>7.0857178013114632</c:v>
                </c:pt>
                <c:pt idx="8">
                  <c:v>7.2541365311445425</c:v>
                </c:pt>
                <c:pt idx="9">
                  <c:v>7.8121470335402776</c:v>
                </c:pt>
                <c:pt idx="10">
                  <c:v>8.370157535936011</c:v>
                </c:pt>
                <c:pt idx="11">
                  <c:v>8.9281680383317443</c:v>
                </c:pt>
                <c:pt idx="12">
                  <c:v>9.4861785407274795</c:v>
                </c:pt>
                <c:pt idx="13">
                  <c:v>10.044189043123215</c:v>
                </c:pt>
                <c:pt idx="14">
                  <c:v>10.602199545518948</c:v>
                </c:pt>
                <c:pt idx="15">
                  <c:v>11.160210047914681</c:v>
                </c:pt>
                <c:pt idx="16">
                  <c:v>11.67590432905374</c:v>
                </c:pt>
                <c:pt idx="17">
                  <c:v>11.718220550310416</c:v>
                </c:pt>
                <c:pt idx="18">
                  <c:v>12.27623105270615</c:v>
                </c:pt>
                <c:pt idx="19">
                  <c:v>12.834241555101883</c:v>
                </c:pt>
                <c:pt idx="20">
                  <c:v>13.39225205749762</c:v>
                </c:pt>
                <c:pt idx="21">
                  <c:v>13.950262559893352</c:v>
                </c:pt>
                <c:pt idx="22">
                  <c:v>14.508273062289085</c:v>
                </c:pt>
                <c:pt idx="23">
                  <c:v>15.06628356468482</c:v>
                </c:pt>
                <c:pt idx="24">
                  <c:v>15.903299318278421</c:v>
                </c:pt>
              </c:numCache>
            </c:numRef>
          </c:xVal>
          <c:yVal>
            <c:numRef>
              <c:f>Performante!$AD$9:$AD$46</c:f>
              <c:numCache>
                <c:formatCode>General</c:formatCode>
                <c:ptCount val="38"/>
                <c:pt idx="0">
                  <c:v>3.5216506770355775</c:v>
                </c:pt>
                <c:pt idx="1">
                  <c:v>3.5432776841565499</c:v>
                </c:pt>
                <c:pt idx="2">
                  <c:v>3.581302698517272</c:v>
                </c:pt>
                <c:pt idx="3">
                  <c:v>3.6123557130363606</c:v>
                </c:pt>
                <c:pt idx="4">
                  <c:v>3.6364367277138188</c:v>
                </c:pt>
                <c:pt idx="5">
                  <c:v>3.6535457425496443</c:v>
                </c:pt>
                <c:pt idx="6">
                  <c:v>3.6636827575438411</c:v>
                </c:pt>
                <c:pt idx="7">
                  <c:v>3.6666270940673438</c:v>
                </c:pt>
                <c:pt idx="8">
                  <c:v>3.6668477726964026</c:v>
                </c:pt>
                <c:pt idx="9">
                  <c:v>3.663040788007335</c:v>
                </c:pt>
                <c:pt idx="10">
                  <c:v>3.6522618034766343</c:v>
                </c:pt>
                <c:pt idx="11">
                  <c:v>3.6345108191043036</c:v>
                </c:pt>
                <c:pt idx="12">
                  <c:v>3.6097878348903398</c:v>
                </c:pt>
                <c:pt idx="13">
                  <c:v>3.5780928508347447</c:v>
                </c:pt>
                <c:pt idx="14">
                  <c:v>3.5394258669375187</c:v>
                </c:pt>
                <c:pt idx="15">
                  <c:v>3.4937868831986623</c:v>
                </c:pt>
                <c:pt idx="16">
                  <c:v>3.4454099162519225</c:v>
                </c:pt>
                <c:pt idx="17">
                  <c:v>3.4411758996181718</c:v>
                </c:pt>
                <c:pt idx="18">
                  <c:v>3.3815929161960492</c:v>
                </c:pt>
                <c:pt idx="19">
                  <c:v>3.3150379329322979</c:v>
                </c:pt>
                <c:pt idx="20">
                  <c:v>3.2415109498269139</c:v>
                </c:pt>
                <c:pt idx="21">
                  <c:v>3.1610119668798977</c:v>
                </c:pt>
                <c:pt idx="22">
                  <c:v>3.0735409840912506</c:v>
                </c:pt>
                <c:pt idx="23">
                  <c:v>2.9790980014609709</c:v>
                </c:pt>
                <c:pt idx="24">
                  <c:v>2.8243610278124938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F-41C0-9847-AE2748E32E63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5.4343188942427352</c:v>
                </c:pt>
                <c:pt idx="1">
                  <c:v>5.8523434245691002</c:v>
                </c:pt>
                <c:pt idx="2">
                  <c:v>6.6883924852218275</c:v>
                </c:pt>
                <c:pt idx="3">
                  <c:v>7.5244415458745566</c:v>
                </c:pt>
                <c:pt idx="4">
                  <c:v>8.3604906065272839</c:v>
                </c:pt>
                <c:pt idx="5">
                  <c:v>9.1965396671800139</c:v>
                </c:pt>
                <c:pt idx="6">
                  <c:v>10.032588727832744</c:v>
                </c:pt>
                <c:pt idx="7">
                  <c:v>10.616301460999265</c:v>
                </c:pt>
                <c:pt idx="8">
                  <c:v>10.86863778848547</c:v>
                </c:pt>
                <c:pt idx="9">
                  <c:v>11.7046868491382</c:v>
                </c:pt>
                <c:pt idx="10">
                  <c:v>12.540735909790927</c:v>
                </c:pt>
                <c:pt idx="11">
                  <c:v>13.376784970443655</c:v>
                </c:pt>
                <c:pt idx="12">
                  <c:v>14.212834031096383</c:v>
                </c:pt>
                <c:pt idx="13">
                  <c:v>15.048883091749113</c:v>
                </c:pt>
                <c:pt idx="14">
                  <c:v>15.884932152401841</c:v>
                </c:pt>
                <c:pt idx="15">
                  <c:v>16.720981213054568</c:v>
                </c:pt>
                <c:pt idx="16">
                  <c:v>17.493629250106263</c:v>
                </c:pt>
                <c:pt idx="17">
                  <c:v>17.557030273707298</c:v>
                </c:pt>
                <c:pt idx="18">
                  <c:v>18.393079334360028</c:v>
                </c:pt>
                <c:pt idx="19">
                  <c:v>19.229128395012754</c:v>
                </c:pt>
                <c:pt idx="20">
                  <c:v>20.065177455665488</c:v>
                </c:pt>
                <c:pt idx="21">
                  <c:v>20.901226516318211</c:v>
                </c:pt>
                <c:pt idx="22">
                  <c:v>21.737275576970941</c:v>
                </c:pt>
                <c:pt idx="23">
                  <c:v>22.573324637623671</c:v>
                </c:pt>
                <c:pt idx="24">
                  <c:v>23.827398228602764</c:v>
                </c:pt>
              </c:numCache>
            </c:numRef>
          </c:xVal>
          <c:yVal>
            <c:numRef>
              <c:f>Performante!$AL$9:$AL$46</c:f>
              <c:numCache>
                <c:formatCode>General</c:formatCode>
                <c:ptCount val="38"/>
                <c:pt idx="0">
                  <c:v>2.6217825056026989</c:v>
                </c:pt>
                <c:pt idx="1">
                  <c:v>2.6344755160365496</c:v>
                </c:pt>
                <c:pt idx="2">
                  <c:v>2.6549948161649786</c:v>
                </c:pt>
                <c:pt idx="3">
                  <c:v>2.6690251553077111</c:v>
                </c:pt>
                <c:pt idx="4">
                  <c:v>2.6765665334647499</c:v>
                </c:pt>
                <c:pt idx="5">
                  <c:v>2.6776189506360932</c:v>
                </c:pt>
                <c:pt idx="6">
                  <c:v>2.6721824068217415</c:v>
                </c:pt>
                <c:pt idx="7">
                  <c:v>2.6645399500187237</c:v>
                </c:pt>
                <c:pt idx="8">
                  <c:v>2.6602569020216942</c:v>
                </c:pt>
                <c:pt idx="9">
                  <c:v>2.6418424362359532</c:v>
                </c:pt>
                <c:pt idx="10">
                  <c:v>2.6169390094645157</c:v>
                </c:pt>
                <c:pt idx="11">
                  <c:v>2.5855466217073837</c:v>
                </c:pt>
                <c:pt idx="12">
                  <c:v>2.5476652729645561</c:v>
                </c:pt>
                <c:pt idx="13">
                  <c:v>2.5032949632360326</c:v>
                </c:pt>
                <c:pt idx="14">
                  <c:v>2.4524356925218149</c:v>
                </c:pt>
                <c:pt idx="15">
                  <c:v>2.3950874608219035</c:v>
                </c:pt>
                <c:pt idx="16">
                  <c:v>2.3363186876990896</c:v>
                </c:pt>
                <c:pt idx="17">
                  <c:v>2.3312502681362957</c:v>
                </c:pt>
                <c:pt idx="18">
                  <c:v>2.2609241144649919</c:v>
                </c:pt>
                <c:pt idx="19">
                  <c:v>2.1841089998079939</c:v>
                </c:pt>
                <c:pt idx="20">
                  <c:v>2.1008049241653008</c:v>
                </c:pt>
                <c:pt idx="21">
                  <c:v>2.0110118875369127</c:v>
                </c:pt>
                <c:pt idx="22">
                  <c:v>1.91472988992283</c:v>
                </c:pt>
                <c:pt idx="23">
                  <c:v>1.8119589313230502</c:v>
                </c:pt>
                <c:pt idx="24">
                  <c:v>1.6456356915752046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F-41C0-9847-AE2748E32E63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8.1420639706829778</c:v>
                </c:pt>
                <c:pt idx="1">
                  <c:v>8.7683765838124383</c:v>
                </c:pt>
                <c:pt idx="2">
                  <c:v>10.021001810071356</c:v>
                </c:pt>
                <c:pt idx="3">
                  <c:v>11.273627036330277</c:v>
                </c:pt>
                <c:pt idx="4">
                  <c:v>12.526252262589194</c:v>
                </c:pt>
                <c:pt idx="5">
                  <c:v>13.778877488848115</c:v>
                </c:pt>
                <c:pt idx="6">
                  <c:v>15.031502715107038</c:v>
                </c:pt>
                <c:pt idx="7">
                  <c:v>15.90606059557649</c:v>
                </c:pt>
                <c:pt idx="8">
                  <c:v>16.284127941365956</c:v>
                </c:pt>
                <c:pt idx="9">
                  <c:v>17.536753167624877</c:v>
                </c:pt>
                <c:pt idx="10">
                  <c:v>18.789378393883794</c:v>
                </c:pt>
                <c:pt idx="11">
                  <c:v>20.042003620142712</c:v>
                </c:pt>
                <c:pt idx="12">
                  <c:v>21.294628846401633</c:v>
                </c:pt>
                <c:pt idx="13">
                  <c:v>22.547254072660554</c:v>
                </c:pt>
                <c:pt idx="14">
                  <c:v>23.799879298919471</c:v>
                </c:pt>
                <c:pt idx="15">
                  <c:v>25.052504525178389</c:v>
                </c:pt>
                <c:pt idx="16">
                  <c:v>26.2101431805301</c:v>
                </c:pt>
                <c:pt idx="17">
                  <c:v>26.305129751437313</c:v>
                </c:pt>
                <c:pt idx="18">
                  <c:v>27.557754977696231</c:v>
                </c:pt>
                <c:pt idx="19">
                  <c:v>28.810380203955148</c:v>
                </c:pt>
                <c:pt idx="20">
                  <c:v>30.063005430214076</c:v>
                </c:pt>
                <c:pt idx="21">
                  <c:v>31.31563065647299</c:v>
                </c:pt>
                <c:pt idx="22">
                  <c:v>32.568255882731911</c:v>
                </c:pt>
                <c:pt idx="23">
                  <c:v>33.820881108990832</c:v>
                </c:pt>
                <c:pt idx="24">
                  <c:v>35.69981894837921</c:v>
                </c:pt>
                <c:pt idx="25">
                  <c:v>39.269800843217126</c:v>
                </c:pt>
              </c:numCache>
            </c:numRef>
          </c:xVal>
          <c:yVal>
            <c:numRef>
              <c:f>Performante!$AU$9:$AU$34</c:f>
              <c:numCache>
                <c:formatCode>General</c:formatCode>
                <c:ptCount val="26"/>
                <c:pt idx="0">
                  <c:v>1.7594974485803296</c:v>
                </c:pt>
                <c:pt idx="1">
                  <c:v>1.7592557783901139</c:v>
                </c:pt>
                <c:pt idx="2">
                  <c:v>1.7532263577975988</c:v>
                </c:pt>
                <c:pt idx="3">
                  <c:v>1.7398021635889691</c:v>
                </c:pt>
                <c:pt idx="4">
                  <c:v>1.7189831957642272</c:v>
                </c:pt>
                <c:pt idx="5">
                  <c:v>1.6907694543233709</c:v>
                </c:pt>
                <c:pt idx="6">
                  <c:v>1.6551609392664024</c:v>
                </c:pt>
                <c:pt idx="7">
                  <c:v>1.6259160338606931</c:v>
                </c:pt>
                <c:pt idx="8">
                  <c:v>1.6121576505933193</c:v>
                </c:pt>
                <c:pt idx="9">
                  <c:v>1.5617595883041233</c:v>
                </c:pt>
                <c:pt idx="10">
                  <c:v>1.5039667523988145</c:v>
                </c:pt>
                <c:pt idx="11">
                  <c:v>1.4387791428773913</c:v>
                </c:pt>
                <c:pt idx="12">
                  <c:v>1.3661967597398554</c:v>
                </c:pt>
                <c:pt idx="13">
                  <c:v>1.2862196029862056</c:v>
                </c:pt>
                <c:pt idx="14">
                  <c:v>1.1988476726164432</c:v>
                </c:pt>
                <c:pt idx="15">
                  <c:v>1.1040809686305673</c:v>
                </c:pt>
                <c:pt idx="16">
                  <c:v>1.009925508044208</c:v>
                </c:pt>
                <c:pt idx="17">
                  <c:v>1.0019194910285771</c:v>
                </c:pt>
                <c:pt idx="18">
                  <c:v>0.89236323981047339</c:v>
                </c:pt>
                <c:pt idx="19">
                  <c:v>0.77541221497625723</c:v>
                </c:pt>
                <c:pt idx="20">
                  <c:v>0.65106641652592689</c:v>
                </c:pt>
                <c:pt idx="21">
                  <c:v>0.51932584445948426</c:v>
                </c:pt>
                <c:pt idx="22">
                  <c:v>0.38019049877692773</c:v>
                </c:pt>
                <c:pt idx="23">
                  <c:v>0.23366037947825685</c:v>
                </c:pt>
                <c:pt idx="24">
                  <c:v>3.9590088283164059E-14</c:v>
                </c:pt>
                <c:pt idx="25">
                  <c:v>-0.48979307396145588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A-49F8-9E03-137E5455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93648"/>
        <c:axId val="1"/>
      </c:scatterChart>
      <c:valAx>
        <c:axId val="18134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 [m/s]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accelerația</a:t>
                </a:r>
                <a:r>
                  <a:rPr lang="ro-RO" baseline="0"/>
                  <a:t> [m/s^2]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93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097037476548034"/>
          <c:y val="0.93860985635071903"/>
          <c:w val="0.12094945391708968"/>
          <c:h val="6.139020843352267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Inversul accelerației</a:t>
            </a:r>
          </a:p>
        </c:rich>
      </c:tx>
      <c:layout>
        <c:manualLayout>
          <c:xMode val="edge"/>
          <c:yMode val="edge"/>
          <c:x val="0.38866461816858916"/>
          <c:y val="2.9014504458134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1168411557068E-2"/>
          <c:y val="0.10251791575207632"/>
          <c:w val="0.91492218510489054"/>
          <c:h val="0.74083701383104206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1.0784190689646318</c:v>
                </c:pt>
                <c:pt idx="1">
                  <c:v>1.1613743819619113</c:v>
                </c:pt>
                <c:pt idx="2">
                  <c:v>1.32728500795647</c:v>
                </c:pt>
                <c:pt idx="3">
                  <c:v>1.4931956339510288</c:v>
                </c:pt>
                <c:pt idx="4">
                  <c:v>1.6591062599455875</c:v>
                </c:pt>
                <c:pt idx="5">
                  <c:v>1.8250168859401463</c:v>
                </c:pt>
                <c:pt idx="6">
                  <c:v>1.9909275119347054</c:v>
                </c:pt>
                <c:pt idx="7">
                  <c:v>2.1067629927915865</c:v>
                </c:pt>
                <c:pt idx="8">
                  <c:v>2.1568381379292636</c:v>
                </c:pt>
                <c:pt idx="9">
                  <c:v>2.3227487639238227</c:v>
                </c:pt>
                <c:pt idx="10">
                  <c:v>2.4886593899183813</c:v>
                </c:pt>
                <c:pt idx="11">
                  <c:v>2.65457001591294</c:v>
                </c:pt>
                <c:pt idx="12">
                  <c:v>2.8204806419074986</c:v>
                </c:pt>
                <c:pt idx="13">
                  <c:v>2.9863912679020577</c:v>
                </c:pt>
                <c:pt idx="14">
                  <c:v>3.1523018938966163</c:v>
                </c:pt>
                <c:pt idx="15">
                  <c:v>3.3182125198911749</c:v>
                </c:pt>
                <c:pt idx="16">
                  <c:v>3.4715414637699369</c:v>
                </c:pt>
                <c:pt idx="17">
                  <c:v>3.484123145885734</c:v>
                </c:pt>
                <c:pt idx="18">
                  <c:v>3.6500337718802927</c:v>
                </c:pt>
                <c:pt idx="19">
                  <c:v>3.8159443978748513</c:v>
                </c:pt>
                <c:pt idx="20">
                  <c:v>3.9818550238694108</c:v>
                </c:pt>
                <c:pt idx="21">
                  <c:v>4.1477656498639695</c:v>
                </c:pt>
                <c:pt idx="22">
                  <c:v>4.3136762758585272</c:v>
                </c:pt>
                <c:pt idx="23">
                  <c:v>4.4795869018530867</c:v>
                </c:pt>
                <c:pt idx="24">
                  <c:v>4.7284528408449251</c:v>
                </c:pt>
              </c:numCache>
            </c:numRef>
          </c:xVal>
          <c:yVal>
            <c:numRef>
              <c:f>Performante!$G$9:$G$46</c:f>
              <c:numCache>
                <c:formatCode>General</c:formatCode>
                <c:ptCount val="38"/>
                <c:pt idx="0">
                  <c:v>0.27799612873983387</c:v>
                </c:pt>
                <c:pt idx="1">
                  <c:v>0.27619204873378966</c:v>
                </c:pt>
                <c:pt idx="2">
                  <c:v>0.27300478453650534</c:v>
                </c:pt>
                <c:pt idx="3">
                  <c:v>0.2703497135764531</c:v>
                </c:pt>
                <c:pt idx="4">
                  <c:v>0.2681979797984495</c:v>
                </c:pt>
                <c:pt idx="5">
                  <c:v>0.26652680564124159</c:v>
                </c:pt>
                <c:pt idx="6">
                  <c:v>0.2653188721813699</c:v>
                </c:pt>
                <c:pt idx="7">
                  <c:v>0.26474337607190024</c:v>
                </c:pt>
                <c:pt idx="8">
                  <c:v>0.26456186178885316</c:v>
                </c:pt>
                <c:pt idx="9">
                  <c:v>0.26424814028533217</c:v>
                </c:pt>
                <c:pt idx="10">
                  <c:v>0.26437456308267465</c:v>
                </c:pt>
                <c:pt idx="11">
                  <c:v>0.2649423960301443</c:v>
                </c:pt>
                <c:pt idx="12">
                  <c:v>0.26595734722798831</c:v>
                </c:pt>
                <c:pt idx="13">
                  <c:v>0.26742971130844972</c:v>
                </c:pt>
                <c:pt idx="14">
                  <c:v>0.26937463304302123</c:v>
                </c:pt>
                <c:pt idx="15">
                  <c:v>0.27181250302146692</c:v>
                </c:pt>
                <c:pt idx="16">
                  <c:v>0.27452637965107812</c:v>
                </c:pt>
                <c:pt idx="17">
                  <c:v>0.2747695050384375</c:v>
                </c:pt>
                <c:pt idx="18">
                  <c:v>0.27827834330976892</c:v>
                </c:pt>
                <c:pt idx="19">
                  <c:v>0.28237918850931865</c:v>
                </c:pt>
                <c:pt idx="20">
                  <c:v>0.28712089595898482</c:v>
                </c:pt>
                <c:pt idx="21">
                  <c:v>0.29256256867866415</c:v>
                </c:pt>
                <c:pt idx="22">
                  <c:v>0.29877556469226968</c:v>
                </c:pt>
                <c:pt idx="23">
                  <c:v>0.30584608540080999</c:v>
                </c:pt>
                <c:pt idx="24">
                  <c:v>0.31829414256118044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A20-BD4D-52AE4C5D09AC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1.6157603588587282</c:v>
                </c:pt>
                <c:pt idx="1">
                  <c:v>1.7400496172324769</c:v>
                </c:pt>
                <c:pt idx="2">
                  <c:v>1.9886281339799732</c:v>
                </c:pt>
                <c:pt idx="3">
                  <c:v>2.2372066507274702</c:v>
                </c:pt>
                <c:pt idx="4">
                  <c:v>2.4857851674749663</c:v>
                </c:pt>
                <c:pt idx="5">
                  <c:v>2.7343636842224632</c:v>
                </c:pt>
                <c:pt idx="6">
                  <c:v>2.9829422009699602</c:v>
                </c:pt>
                <c:pt idx="7">
                  <c:v>3.1564947497927274</c:v>
                </c:pt>
                <c:pt idx="8">
                  <c:v>3.2315207177174563</c:v>
                </c:pt>
                <c:pt idx="9">
                  <c:v>3.4800992344649537</c:v>
                </c:pt>
                <c:pt idx="10">
                  <c:v>3.7286777512124498</c:v>
                </c:pt>
                <c:pt idx="11">
                  <c:v>3.9772562679599464</c:v>
                </c:pt>
                <c:pt idx="12">
                  <c:v>4.2258347847074429</c:v>
                </c:pt>
                <c:pt idx="13">
                  <c:v>4.4744133014549403</c:v>
                </c:pt>
                <c:pt idx="14">
                  <c:v>4.7229918182024369</c:v>
                </c:pt>
                <c:pt idx="15">
                  <c:v>4.9715703349499325</c:v>
                </c:pt>
                <c:pt idx="16">
                  <c:v>5.2012981249294175</c:v>
                </c:pt>
                <c:pt idx="17">
                  <c:v>5.2201488516974299</c:v>
                </c:pt>
                <c:pt idx="18">
                  <c:v>5.4687273684449265</c:v>
                </c:pt>
                <c:pt idx="19">
                  <c:v>5.717305885192423</c:v>
                </c:pt>
                <c:pt idx="20">
                  <c:v>5.9658844019399204</c:v>
                </c:pt>
                <c:pt idx="21">
                  <c:v>6.2144629186874161</c:v>
                </c:pt>
                <c:pt idx="22">
                  <c:v>6.4630414354349126</c:v>
                </c:pt>
                <c:pt idx="23">
                  <c:v>6.71161995218241</c:v>
                </c:pt>
                <c:pt idx="24">
                  <c:v>7.0844877273036548</c:v>
                </c:pt>
              </c:numCache>
            </c:numRef>
          </c:xVal>
          <c:yVal>
            <c:numRef>
              <c:f>Performante!$O$9:$O$46</c:f>
              <c:numCache>
                <c:formatCode>General</c:formatCode>
                <c:ptCount val="38"/>
                <c:pt idx="0">
                  <c:v>0.2391767016080685</c:v>
                </c:pt>
                <c:pt idx="1">
                  <c:v>0.23762430147427935</c:v>
                </c:pt>
                <c:pt idx="2">
                  <c:v>0.23488528325898791</c:v>
                </c:pt>
                <c:pt idx="3">
                  <c:v>0.23260878340459309</c:v>
                </c:pt>
                <c:pt idx="4">
                  <c:v>0.23076978593593911</c:v>
                </c:pt>
                <c:pt idx="5">
                  <c:v>0.2293486055988625</c:v>
                </c:pt>
                <c:pt idx="6">
                  <c:v>0.22833034642783928</c:v>
                </c:pt>
                <c:pt idx="7">
                  <c:v>0.22785250856705377</c:v>
                </c:pt>
                <c:pt idx="8">
                  <c:v>0.22770450408517504</c:v>
                </c:pt>
                <c:pt idx="9">
                  <c:v>0.22746469175447728</c:v>
                </c:pt>
                <c:pt idx="10">
                  <c:v>0.2276084760559039</c:v>
                </c:pt>
                <c:pt idx="11">
                  <c:v>0.22813731504529208</c:v>
                </c:pt>
                <c:pt idx="12">
                  <c:v>0.22905659533020509</c:v>
                </c:pt>
                <c:pt idx="13">
                  <c:v>0.23037577007687862</c:v>
                </c:pt>
                <c:pt idx="14">
                  <c:v>0.23210860456029067</c:v>
                </c:pt>
                <c:pt idx="15">
                  <c:v>0.23427354130816558</c:v>
                </c:pt>
                <c:pt idx="16">
                  <c:v>0.23667887414519634</c:v>
                </c:pt>
                <c:pt idx="17">
                  <c:v>0.2368942032520267</c:v>
                </c:pt>
                <c:pt idx="18">
                  <c:v>0.24000006118270473</c:v>
                </c:pt>
                <c:pt idx="19">
                  <c:v>0.24362730196064677</c:v>
                </c:pt>
                <c:pt idx="20">
                  <c:v>0.24781994739467544</c:v>
                </c:pt>
                <c:pt idx="21">
                  <c:v>0.25263129197417372</c:v>
                </c:pt>
                <c:pt idx="22">
                  <c:v>0.25812575292310158</c:v>
                </c:pt>
                <c:pt idx="23">
                  <c:v>0.26438126164928727</c:v>
                </c:pt>
                <c:pt idx="24">
                  <c:v>0.2754038632731548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A20-BD4D-52AE4C5D09AC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2.4208414079377771</c:v>
                </c:pt>
                <c:pt idx="1">
                  <c:v>2.6070599777791448</c:v>
                </c:pt>
                <c:pt idx="2">
                  <c:v>2.9794971174618796</c:v>
                </c:pt>
                <c:pt idx="3">
                  <c:v>3.3519342571446145</c:v>
                </c:pt>
                <c:pt idx="4">
                  <c:v>3.7243713968273493</c:v>
                </c:pt>
                <c:pt idx="5">
                  <c:v>4.0968085365100846</c:v>
                </c:pt>
                <c:pt idx="6">
                  <c:v>4.4692456761928199</c:v>
                </c:pt>
                <c:pt idx="7">
                  <c:v>4.7292738383765114</c:v>
                </c:pt>
                <c:pt idx="8">
                  <c:v>4.8416828158755543</c:v>
                </c:pt>
                <c:pt idx="9">
                  <c:v>5.2141199555582896</c:v>
                </c:pt>
                <c:pt idx="10">
                  <c:v>5.586557095241024</c:v>
                </c:pt>
                <c:pt idx="11">
                  <c:v>5.9589942349237592</c:v>
                </c:pt>
                <c:pt idx="12">
                  <c:v>6.3314313746064936</c:v>
                </c:pt>
                <c:pt idx="13">
                  <c:v>6.7038685142892289</c:v>
                </c:pt>
                <c:pt idx="14">
                  <c:v>7.0763056539719633</c:v>
                </c:pt>
                <c:pt idx="15">
                  <c:v>7.4487427936546986</c:v>
                </c:pt>
                <c:pt idx="16">
                  <c:v>7.7929365000340205</c:v>
                </c:pt>
                <c:pt idx="17">
                  <c:v>7.8211799333374339</c:v>
                </c:pt>
                <c:pt idx="18">
                  <c:v>8.1936170730201692</c:v>
                </c:pt>
                <c:pt idx="19">
                  <c:v>8.5660542127029036</c:v>
                </c:pt>
                <c:pt idx="20">
                  <c:v>8.9384913523856397</c:v>
                </c:pt>
                <c:pt idx="21">
                  <c:v>9.3109284920683741</c:v>
                </c:pt>
                <c:pt idx="22">
                  <c:v>9.6833656317511085</c:v>
                </c:pt>
                <c:pt idx="23">
                  <c:v>10.055802771433843</c:v>
                </c:pt>
                <c:pt idx="24">
                  <c:v>10.614458480957946</c:v>
                </c:pt>
              </c:numCache>
            </c:numRef>
          </c:xVal>
          <c:yVal>
            <c:numRef>
              <c:f>Performante!$W$9:$W$46</c:f>
              <c:numCache>
                <c:formatCode>General</c:formatCode>
                <c:ptCount val="38"/>
                <c:pt idx="0">
                  <c:v>0.24057138851634047</c:v>
                </c:pt>
                <c:pt idx="1">
                  <c:v>0.2390253566035824</c:v>
                </c:pt>
                <c:pt idx="2">
                  <c:v>0.23630943903677859</c:v>
                </c:pt>
                <c:pt idx="3">
                  <c:v>0.23406943857407458</c:v>
                </c:pt>
                <c:pt idx="4">
                  <c:v>0.23228008364798447</c:v>
                </c:pt>
                <c:pt idx="5">
                  <c:v>0.23092169607017285</c:v>
                </c:pt>
                <c:pt idx="6">
                  <c:v>0.22997963604172483</c:v>
                </c:pt>
                <c:pt idx="7">
                  <c:v>0.22956320395751334</c:v>
                </c:pt>
                <c:pt idx="8">
                  <c:v>0.22944390095568384</c:v>
                </c:pt>
                <c:pt idx="9">
                  <c:v>0.22930885708417739</c:v>
                </c:pt>
                <c:pt idx="10">
                  <c:v>0.22957309054916319</c:v>
                </c:pt>
                <c:pt idx="11">
                  <c:v>0.23023937015875462</c:v>
                </c:pt>
                <c:pt idx="12">
                  <c:v>0.23131472027472738</c:v>
                </c:pt>
                <c:pt idx="13">
                  <c:v>0.23281060731378414</c:v>
                </c:pt>
                <c:pt idx="14">
                  <c:v>0.23474324921074144</c:v>
                </c:pt>
                <c:pt idx="15">
                  <c:v>0.23713406365552267</c:v>
                </c:pt>
                <c:pt idx="16">
                  <c:v>0.23977443701447318</c:v>
                </c:pt>
                <c:pt idx="17">
                  <c:v>0.24001027871875777</c:v>
                </c:pt>
                <c:pt idx="18">
                  <c:v>0.2434057393282795</c:v>
                </c:pt>
                <c:pt idx="19">
                  <c:v>0.24736195594208921</c:v>
                </c:pt>
                <c:pt idx="20">
                  <c:v>0.2519294590898804</c:v>
                </c:pt>
                <c:pt idx="21">
                  <c:v>0.25716954728018931</c:v>
                </c:pt>
                <c:pt idx="22">
                  <c:v>0.26315654916306075</c:v>
                </c:pt>
                <c:pt idx="23">
                  <c:v>0.26998076847572272</c:v>
                </c:pt>
                <c:pt idx="24">
                  <c:v>0.28203447399023152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A20-BD4D-52AE4C5D09AC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3.6270682655722712</c:v>
                </c:pt>
                <c:pt idx="1">
                  <c:v>3.9060735167701388</c:v>
                </c:pt>
                <c:pt idx="2">
                  <c:v>4.4640840191658722</c:v>
                </c:pt>
                <c:pt idx="3">
                  <c:v>5.0220945215616073</c:v>
                </c:pt>
                <c:pt idx="4">
                  <c:v>5.5801050239573406</c:v>
                </c:pt>
                <c:pt idx="5">
                  <c:v>6.1381155263530749</c:v>
                </c:pt>
                <c:pt idx="6">
                  <c:v>6.69612602874881</c:v>
                </c:pt>
                <c:pt idx="7">
                  <c:v>7.0857178013114632</c:v>
                </c:pt>
                <c:pt idx="8">
                  <c:v>7.2541365311445425</c:v>
                </c:pt>
                <c:pt idx="9">
                  <c:v>7.8121470335402776</c:v>
                </c:pt>
                <c:pt idx="10">
                  <c:v>8.370157535936011</c:v>
                </c:pt>
                <c:pt idx="11">
                  <c:v>8.9281680383317443</c:v>
                </c:pt>
                <c:pt idx="12">
                  <c:v>9.4861785407274795</c:v>
                </c:pt>
                <c:pt idx="13">
                  <c:v>10.044189043123215</c:v>
                </c:pt>
                <c:pt idx="14">
                  <c:v>10.602199545518948</c:v>
                </c:pt>
                <c:pt idx="15">
                  <c:v>11.160210047914681</c:v>
                </c:pt>
                <c:pt idx="16">
                  <c:v>11.67590432905374</c:v>
                </c:pt>
                <c:pt idx="17">
                  <c:v>11.718220550310416</c:v>
                </c:pt>
                <c:pt idx="18">
                  <c:v>12.27623105270615</c:v>
                </c:pt>
                <c:pt idx="19">
                  <c:v>12.834241555101883</c:v>
                </c:pt>
                <c:pt idx="20">
                  <c:v>13.39225205749762</c:v>
                </c:pt>
                <c:pt idx="21">
                  <c:v>13.950262559893352</c:v>
                </c:pt>
                <c:pt idx="22">
                  <c:v>14.508273062289085</c:v>
                </c:pt>
                <c:pt idx="23">
                  <c:v>15.06628356468482</c:v>
                </c:pt>
                <c:pt idx="24">
                  <c:v>15.903299318278421</c:v>
                </c:pt>
              </c:numCache>
            </c:numRef>
          </c:xVal>
          <c:yVal>
            <c:numRef>
              <c:f>Performante!$AE$9:$AE$46</c:f>
              <c:numCache>
                <c:formatCode>General</c:formatCode>
                <c:ptCount val="38"/>
                <c:pt idx="0">
                  <c:v>0.28395774927959938</c:v>
                </c:pt>
                <c:pt idx="1">
                  <c:v>0.28222456412925545</c:v>
                </c:pt>
                <c:pt idx="2">
                  <c:v>0.2792280028197614</c:v>
                </c:pt>
                <c:pt idx="3">
                  <c:v>0.27682766577808898</c:v>
                </c:pt>
                <c:pt idx="4">
                  <c:v>0.27499447257774429</c:v>
                </c:pt>
                <c:pt idx="5">
                  <c:v>0.27370671409799985</c:v>
                </c:pt>
                <c:pt idx="6">
                  <c:v>0.27294939714442062</c:v>
                </c:pt>
                <c:pt idx="7">
                  <c:v>0.27273021617551851</c:v>
                </c:pt>
                <c:pt idx="8">
                  <c:v>0.2727138026961653</c:v>
                </c:pt>
                <c:pt idx="9">
                  <c:v>0.27299723313864382</c:v>
                </c:pt>
                <c:pt idx="10">
                  <c:v>0.27380293467683159</c:v>
                </c:pt>
                <c:pt idx="11">
                  <c:v>0.27514019073588619</c:v>
                </c:pt>
                <c:pt idx="12">
                  <c:v>0.27702459139967117</c:v>
                </c:pt>
                <c:pt idx="13">
                  <c:v>0.27947849362453153</c:v>
                </c:pt>
                <c:pt idx="14">
                  <c:v>0.28253169796299421</c:v>
                </c:pt>
                <c:pt idx="15">
                  <c:v>0.2862223808810202</c:v>
                </c:pt>
                <c:pt idx="16">
                  <c:v>0.29024122653244311</c:v>
                </c:pt>
                <c:pt idx="17">
                  <c:v>0.29059833881521679</c:v>
                </c:pt>
                <c:pt idx="18">
                  <c:v>0.2957186227858849</c:v>
                </c:pt>
                <c:pt idx="19">
                  <c:v>0.30165567339842042</c:v>
                </c:pt>
                <c:pt idx="20">
                  <c:v>0.30849810951692042</c:v>
                </c:pt>
                <c:pt idx="21">
                  <c:v>0.3163543860250102</c:v>
                </c:pt>
                <c:pt idx="22">
                  <c:v>0.32535762665148538</c:v>
                </c:pt>
                <c:pt idx="23">
                  <c:v>0.33567207238888846</c:v>
                </c:pt>
                <c:pt idx="24">
                  <c:v>0.35406238443054627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A20-BD4D-52AE4C5D09AC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5.4343188942427352</c:v>
                </c:pt>
                <c:pt idx="1">
                  <c:v>5.8523434245691002</c:v>
                </c:pt>
                <c:pt idx="2">
                  <c:v>6.6883924852218275</c:v>
                </c:pt>
                <c:pt idx="3">
                  <c:v>7.5244415458745566</c:v>
                </c:pt>
                <c:pt idx="4">
                  <c:v>8.3604906065272839</c:v>
                </c:pt>
                <c:pt idx="5">
                  <c:v>9.1965396671800139</c:v>
                </c:pt>
                <c:pt idx="6">
                  <c:v>10.032588727832744</c:v>
                </c:pt>
                <c:pt idx="7">
                  <c:v>10.616301460999265</c:v>
                </c:pt>
                <c:pt idx="8">
                  <c:v>10.86863778848547</c:v>
                </c:pt>
                <c:pt idx="9">
                  <c:v>11.7046868491382</c:v>
                </c:pt>
                <c:pt idx="10">
                  <c:v>12.540735909790927</c:v>
                </c:pt>
                <c:pt idx="11">
                  <c:v>13.376784970443655</c:v>
                </c:pt>
                <c:pt idx="12">
                  <c:v>14.212834031096383</c:v>
                </c:pt>
                <c:pt idx="13">
                  <c:v>15.048883091749113</c:v>
                </c:pt>
                <c:pt idx="14">
                  <c:v>15.884932152401841</c:v>
                </c:pt>
                <c:pt idx="15">
                  <c:v>16.720981213054568</c:v>
                </c:pt>
                <c:pt idx="16">
                  <c:v>17.493629250106263</c:v>
                </c:pt>
                <c:pt idx="17">
                  <c:v>17.557030273707298</c:v>
                </c:pt>
                <c:pt idx="18">
                  <c:v>18.393079334360028</c:v>
                </c:pt>
                <c:pt idx="19">
                  <c:v>19.229128395012754</c:v>
                </c:pt>
                <c:pt idx="20">
                  <c:v>20.065177455665488</c:v>
                </c:pt>
                <c:pt idx="21">
                  <c:v>20.901226516318211</c:v>
                </c:pt>
                <c:pt idx="22">
                  <c:v>21.737275576970941</c:v>
                </c:pt>
                <c:pt idx="23">
                  <c:v>22.573324637623671</c:v>
                </c:pt>
                <c:pt idx="24">
                  <c:v>23.827398228602764</c:v>
                </c:pt>
              </c:numCache>
            </c:numRef>
          </c:xVal>
          <c:yVal>
            <c:numRef>
              <c:f>Performante!$AM$9:$AM$46</c:f>
              <c:numCache>
                <c:formatCode>General</c:formatCode>
                <c:ptCount val="38"/>
                <c:pt idx="0">
                  <c:v>0.38141989194871018</c:v>
                </c:pt>
                <c:pt idx="1">
                  <c:v>0.37958219536025722</c:v>
                </c:pt>
                <c:pt idx="2">
                  <c:v>0.37664856967384042</c:v>
                </c:pt>
                <c:pt idx="3">
                  <c:v>0.37466863060895739</c:v>
                </c:pt>
                <c:pt idx="4">
                  <c:v>0.37361298047223374</c:v>
                </c:pt>
                <c:pt idx="5">
                  <c:v>0.37346613481445545</c:v>
                </c:pt>
                <c:pt idx="6">
                  <c:v>0.37422595008751175</c:v>
                </c:pt>
                <c:pt idx="7">
                  <c:v>0.37529930823254237</c:v>
                </c:pt>
                <c:pt idx="8">
                  <c:v>0.37590354496967493</c:v>
                </c:pt>
                <c:pt idx="9">
                  <c:v>0.37852370992449536</c:v>
                </c:pt>
                <c:pt idx="10">
                  <c:v>0.38212583341964179</c:v>
                </c:pt>
                <c:pt idx="11">
                  <c:v>0.38676541030215228</c:v>
                </c:pt>
                <c:pt idx="12">
                  <c:v>0.39251624246397315</c:v>
                </c:pt>
                <c:pt idx="13">
                  <c:v>0.39947349980175356</c:v>
                </c:pt>
                <c:pt idx="14">
                  <c:v>0.40775788863670881</c:v>
                </c:pt>
                <c:pt idx="15">
                  <c:v>0.41752128736745081</c:v>
                </c:pt>
                <c:pt idx="16">
                  <c:v>0.42802379883578484</c:v>
                </c:pt>
                <c:pt idx="17">
                  <c:v>0.42895437425491179</c:v>
                </c:pt>
                <c:pt idx="18">
                  <c:v>0.44229702076340255</c:v>
                </c:pt>
                <c:pt idx="19">
                  <c:v>0.45785260721324372</c:v>
                </c:pt>
                <c:pt idx="20">
                  <c:v>0.47600802363757</c:v>
                </c:pt>
                <c:pt idx="21">
                  <c:v>0.49726210282366851</c:v>
                </c:pt>
                <c:pt idx="22">
                  <c:v>0.5222668770477612</c:v>
                </c:pt>
                <c:pt idx="23">
                  <c:v>0.55188888816029802</c:v>
                </c:pt>
                <c:pt idx="24">
                  <c:v>0.60766790919732583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A20-BD4D-52AE4C5D09AC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8.1420639706829778</c:v>
                </c:pt>
                <c:pt idx="1">
                  <c:v>8.7683765838124383</c:v>
                </c:pt>
                <c:pt idx="2">
                  <c:v>10.021001810071356</c:v>
                </c:pt>
                <c:pt idx="3">
                  <c:v>11.273627036330277</c:v>
                </c:pt>
                <c:pt idx="4">
                  <c:v>12.526252262589194</c:v>
                </c:pt>
                <c:pt idx="5">
                  <c:v>13.778877488848115</c:v>
                </c:pt>
                <c:pt idx="6">
                  <c:v>15.031502715107038</c:v>
                </c:pt>
                <c:pt idx="7">
                  <c:v>15.90606059557649</c:v>
                </c:pt>
                <c:pt idx="8">
                  <c:v>16.284127941365956</c:v>
                </c:pt>
                <c:pt idx="9">
                  <c:v>17.536753167624877</c:v>
                </c:pt>
                <c:pt idx="10">
                  <c:v>18.789378393883794</c:v>
                </c:pt>
                <c:pt idx="11">
                  <c:v>20.042003620142712</c:v>
                </c:pt>
                <c:pt idx="12">
                  <c:v>21.294628846401633</c:v>
                </c:pt>
                <c:pt idx="13">
                  <c:v>22.547254072660554</c:v>
                </c:pt>
                <c:pt idx="14">
                  <c:v>23.799879298919471</c:v>
                </c:pt>
                <c:pt idx="15">
                  <c:v>25.052504525178389</c:v>
                </c:pt>
                <c:pt idx="16">
                  <c:v>26.2101431805301</c:v>
                </c:pt>
                <c:pt idx="17">
                  <c:v>26.305129751437313</c:v>
                </c:pt>
                <c:pt idx="18">
                  <c:v>27.557754977696231</c:v>
                </c:pt>
                <c:pt idx="19">
                  <c:v>28.810380203955148</c:v>
                </c:pt>
                <c:pt idx="20">
                  <c:v>30.063005430214076</c:v>
                </c:pt>
                <c:pt idx="21">
                  <c:v>31.31563065647299</c:v>
                </c:pt>
                <c:pt idx="22">
                  <c:v>32.568255882731911</c:v>
                </c:pt>
                <c:pt idx="23">
                  <c:v>33.820881108990832</c:v>
                </c:pt>
                <c:pt idx="24">
                  <c:v>35.69981894837921</c:v>
                </c:pt>
                <c:pt idx="25">
                  <c:v>39.269800843217126</c:v>
                </c:pt>
              </c:numCache>
            </c:numRef>
          </c:xVal>
          <c:yVal>
            <c:numRef>
              <c:f>Performante!$AV$9:$AV$34</c:f>
              <c:numCache>
                <c:formatCode>General</c:formatCode>
                <c:ptCount val="26"/>
                <c:pt idx="0">
                  <c:v>0.56834410348640252</c:v>
                </c:pt>
                <c:pt idx="1">
                  <c:v>0.56842217731130318</c:v>
                </c:pt>
                <c:pt idx="2">
                  <c:v>0.57037700554319692</c:v>
                </c:pt>
                <c:pt idx="3">
                  <c:v>0.57477799541135155</c:v>
                </c:pt>
                <c:pt idx="4">
                  <c:v>0.58173925287001949</c:v>
                </c:pt>
                <c:pt idx="5">
                  <c:v>0.5914466915894161</c:v>
                </c:pt>
                <c:pt idx="6">
                  <c:v>0.60417085509715951</c:v>
                </c:pt>
                <c:pt idx="7">
                  <c:v>0.61503791042980704</c:v>
                </c:pt>
                <c:pt idx="8">
                  <c:v>0.62028673165553749</c:v>
                </c:pt>
                <c:pt idx="9">
                  <c:v>0.64030341640858801</c:v>
                </c:pt>
                <c:pt idx="10">
                  <c:v>0.66490831556283292</c:v>
                </c:pt>
                <c:pt idx="11">
                  <c:v>0.69503370614625126</c:v>
                </c:pt>
                <c:pt idx="12">
                  <c:v>0.73195898970688167</c:v>
                </c:pt>
                <c:pt idx="13">
                  <c:v>0.77747221211549578</c:v>
                </c:pt>
                <c:pt idx="14">
                  <c:v>0.83413432985821701</c:v>
                </c:pt>
                <c:pt idx="15">
                  <c:v>0.90573067411925168</c:v>
                </c:pt>
                <c:pt idx="16">
                  <c:v>0.99017203945721755</c:v>
                </c:pt>
                <c:pt idx="17">
                  <c:v>0.99808418635852014</c:v>
                </c:pt>
                <c:pt idx="18">
                  <c:v>1.1206198948898738</c:v>
                </c:pt>
                <c:pt idx="19">
                  <c:v>1.289636635438635</c:v>
                </c:pt>
                <c:pt idx="20">
                  <c:v>1.5359416099757892</c:v>
                </c:pt>
                <c:pt idx="21">
                  <c:v>1.9255733383359781</c:v>
                </c:pt>
                <c:pt idx="22">
                  <c:v>2.6302603647829139</c:v>
                </c:pt>
                <c:pt idx="23">
                  <c:v>4.2797157234483327</c:v>
                </c:pt>
                <c:pt idx="24">
                  <c:v>25258847437964.832</c:v>
                </c:pt>
                <c:pt idx="25">
                  <c:v>-2.0416785233649399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3-4A75-BCEB-26F4C35B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00592"/>
        <c:axId val="1"/>
      </c:scatterChart>
      <c:valAx>
        <c:axId val="18135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inversul accelerației [s^2/m]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00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197052153956986"/>
          <c:y val="0.36931265558411108"/>
          <c:w val="0.12112224084648708"/>
          <c:h val="0.2659308720031219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Spatiul</a:t>
            </a:r>
            <a:r>
              <a:rPr lang="ro-RO" baseline="0"/>
              <a:t> de franare</a:t>
            </a:r>
            <a:endParaRPr lang="ro-RO"/>
          </a:p>
        </c:rich>
      </c:tx>
      <c:layout>
        <c:manualLayout>
          <c:xMode val="edge"/>
          <c:yMode val="edge"/>
          <c:x val="0.35929289065582881"/>
          <c:y val="3.1579917874137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7215365576707"/>
          <c:y val="0.17368954830775898"/>
          <c:w val="0.85631472272972542"/>
          <c:h val="0.57370184138017366"/>
        </c:manualLayout>
      </c:layout>
      <c:scatterChart>
        <c:scatterStyle val="smoothMarker"/>
        <c:varyColors val="0"/>
        <c:ser>
          <c:idx val="0"/>
          <c:order val="0"/>
          <c:tx>
            <c:v>fi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franare'!$B$18:$B$29</c:f>
              <c:numCache>
                <c:formatCode>General</c:formatCode>
                <c:ptCount val="12"/>
                <c:pt idx="0">
                  <c:v>0</c:v>
                </c:pt>
                <c:pt idx="1">
                  <c:v>1.8202999854376001</c:v>
                </c:pt>
                <c:pt idx="2">
                  <c:v>7.2811999417504003</c:v>
                </c:pt>
                <c:pt idx="3">
                  <c:v>16.382699868938403</c:v>
                </c:pt>
                <c:pt idx="4">
                  <c:v>29.124799767001601</c:v>
                </c:pt>
                <c:pt idx="5">
                  <c:v>35.956535730915974</c:v>
                </c:pt>
                <c:pt idx="6">
                  <c:v>45.50749963594</c:v>
                </c:pt>
                <c:pt idx="7">
                  <c:v>65.530799475753611</c:v>
                </c:pt>
                <c:pt idx="8">
                  <c:v>89.1946992864424</c:v>
                </c:pt>
                <c:pt idx="9">
                  <c:v>116.4991990680064</c:v>
                </c:pt>
                <c:pt idx="10">
                  <c:v>147.4442988204456</c:v>
                </c:pt>
                <c:pt idx="11">
                  <c:v>161.80133974078927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1-46CF-BED0-D440A9BAA161}"/>
            </c:ext>
          </c:extLst>
        </c:ser>
        <c:ser>
          <c:idx val="1"/>
          <c:order val="1"/>
          <c:tx>
            <c:v>fi 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franare'!$H$18:$H$29</c:f>
              <c:numCache>
                <c:formatCode>General</c:formatCode>
                <c:ptCount val="12"/>
                <c:pt idx="0">
                  <c:v>0</c:v>
                </c:pt>
                <c:pt idx="1">
                  <c:v>2.5484199796126399</c:v>
                </c:pt>
                <c:pt idx="2">
                  <c:v>10.19367991845056</c:v>
                </c:pt>
                <c:pt idx="3">
                  <c:v>22.935779816513762</c:v>
                </c:pt>
                <c:pt idx="4">
                  <c:v>40.774719673802238</c:v>
                </c:pt>
                <c:pt idx="5">
                  <c:v>50.339150023282365</c:v>
                </c:pt>
                <c:pt idx="6">
                  <c:v>63.710499490316003</c:v>
                </c:pt>
                <c:pt idx="7">
                  <c:v>91.743119266055047</c:v>
                </c:pt>
                <c:pt idx="8">
                  <c:v>124.87257900101936</c:v>
                </c:pt>
                <c:pt idx="9">
                  <c:v>163.09887869520895</c:v>
                </c:pt>
                <c:pt idx="10">
                  <c:v>206.42201834862385</c:v>
                </c:pt>
                <c:pt idx="11">
                  <c:v>226.52187563710498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1-46CF-BED0-D440A9BAA161}"/>
            </c:ext>
          </c:extLst>
        </c:ser>
        <c:ser>
          <c:idx val="2"/>
          <c:order val="2"/>
          <c:tx>
            <c:v>fi 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franare'!$N$18:$N$29</c:f>
              <c:numCache>
                <c:formatCode>General</c:formatCode>
                <c:ptCount val="12"/>
                <c:pt idx="0">
                  <c:v>0</c:v>
                </c:pt>
                <c:pt idx="1">
                  <c:v>4.2473666326877337</c:v>
                </c:pt>
                <c:pt idx="2">
                  <c:v>16.989466530750935</c:v>
                </c:pt>
                <c:pt idx="3">
                  <c:v>38.226299694189599</c:v>
                </c:pt>
                <c:pt idx="4">
                  <c:v>67.95786612300374</c:v>
                </c:pt>
                <c:pt idx="5">
                  <c:v>83.898583372137267</c:v>
                </c:pt>
                <c:pt idx="6">
                  <c:v>106.18416581719333</c:v>
                </c:pt>
                <c:pt idx="7">
                  <c:v>152.9051987767584</c:v>
                </c:pt>
                <c:pt idx="8">
                  <c:v>208.12096500169895</c:v>
                </c:pt>
                <c:pt idx="9">
                  <c:v>271.83146449201496</c:v>
                </c:pt>
                <c:pt idx="10">
                  <c:v>344.0366972477064</c:v>
                </c:pt>
                <c:pt idx="11">
                  <c:v>377.53645939517497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1-46CF-BED0-D440A9BAA161}"/>
            </c:ext>
          </c:extLst>
        </c:ser>
        <c:ser>
          <c:idx val="3"/>
          <c:order val="3"/>
          <c:tx>
            <c:v>fi 0.7 + Fa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franare'!$D$18:$D$29</c:f>
              <c:numCache>
                <c:formatCode>General</c:formatCode>
                <c:ptCount val="12"/>
                <c:pt idx="0">
                  <c:v>0</c:v>
                </c:pt>
                <c:pt idx="1">
                  <c:v>1.8159200846526797</c:v>
                </c:pt>
                <c:pt idx="2">
                  <c:v>7.2117882572590588</c:v>
                </c:pt>
                <c:pt idx="3">
                  <c:v>16.036771432757714</c:v>
                </c:pt>
                <c:pt idx="4">
                  <c:v>28.054702945497933</c:v>
                </c:pt>
                <c:pt idx="5">
                  <c:v>34.343822558589906</c:v>
                </c:pt>
                <c:pt idx="6">
                  <c:v>42.96397808316356</c:v>
                </c:pt>
                <c:pt idx="7">
                  <c:v>60.420444147227627</c:v>
                </c:pt>
                <c:pt idx="8">
                  <c:v>80.060040001760868</c:v>
                </c:pt>
                <c:pt idx="9">
                  <c:v>101.51866535087936</c:v>
                </c:pt>
                <c:pt idx="10">
                  <c:v>124.44780282467673</c:v>
                </c:pt>
                <c:pt idx="11">
                  <c:v>134.63008574768301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1-46CF-BED0-D440A9BAA161}"/>
            </c:ext>
          </c:extLst>
        </c:ser>
        <c:ser>
          <c:idx val="4"/>
          <c:order val="4"/>
          <c:tx>
            <c:v>fi 0.5 + Fa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franare'!$J$18:$J$29</c:f>
              <c:numCache>
                <c:formatCode>General</c:formatCode>
                <c:ptCount val="12"/>
                <c:pt idx="0">
                  <c:v>0</c:v>
                </c:pt>
                <c:pt idx="1">
                  <c:v>2.5398463658123052</c:v>
                </c:pt>
                <c:pt idx="2">
                  <c:v>10.058318620553713</c:v>
                </c:pt>
                <c:pt idx="3">
                  <c:v>22.265248350414669</c:v>
                </c:pt>
                <c:pt idx="4">
                  <c:v>38.717071005934301</c:v>
                </c:pt>
                <c:pt idx="5">
                  <c:v>47.250817343713543</c:v>
                </c:pt>
                <c:pt idx="6">
                  <c:v>58.86647048111724</c:v>
                </c:pt>
                <c:pt idx="7">
                  <c:v>82.115321928838824</c:v>
                </c:pt>
                <c:pt idx="8">
                  <c:v>107.86189567149694</c:v>
                </c:pt>
                <c:pt idx="9">
                  <c:v>135.53691880204369</c:v>
                </c:pt>
                <c:pt idx="10">
                  <c:v>164.62691491403456</c:v>
                </c:pt>
                <c:pt idx="11">
                  <c:v>177.39705977293571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1-46CF-BED0-D440A9BAA161}"/>
            </c:ext>
          </c:extLst>
        </c:ser>
        <c:ser>
          <c:idx val="5"/>
          <c:order val="5"/>
          <c:tx>
            <c:v>fi 0.3 + Fa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franare'!$P$18:$P$29</c:f>
              <c:numCache>
                <c:formatCode>General</c:formatCode>
                <c:ptCount val="12"/>
                <c:pt idx="0">
                  <c:v>0</c:v>
                </c:pt>
                <c:pt idx="1">
                  <c:v>4.2236219408672548</c:v>
                </c:pt>
                <c:pt idx="2">
                  <c:v>16.617824006838358</c:v>
                </c:pt>
                <c:pt idx="3">
                  <c:v>36.410305670544773</c:v>
                </c:pt>
                <c:pt idx="4">
                  <c:v>62.482496265264587</c:v>
                </c:pt>
                <c:pt idx="5">
                  <c:v>75.752587994368085</c:v>
                </c:pt>
                <c:pt idx="6">
                  <c:v>93.554927642206621</c:v>
                </c:pt>
                <c:pt idx="7">
                  <c:v>128.35324863245415</c:v>
                </c:pt>
                <c:pt idx="8">
                  <c:v>165.72320713211249</c:v>
                </c:pt>
                <c:pt idx="9">
                  <c:v>204.68973940178171</c:v>
                </c:pt>
                <c:pt idx="10">
                  <c:v>244.47193532944752</c:v>
                </c:pt>
                <c:pt idx="11">
                  <c:v>261.59391604236652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91-46CF-BED0-D440A9BA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04752"/>
        <c:axId val="1"/>
      </c:scatterChart>
      <c:valAx>
        <c:axId val="18139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Distanta [m]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4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5929289065582883E-2"/>
          <c:y val="0.86318442189310529"/>
          <c:w val="0.92418115763138198"/>
          <c:h val="0.1289513313193968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Spațiul</a:t>
            </a:r>
            <a:r>
              <a:rPr lang="ro-RO" baseline="0"/>
              <a:t> de oprire</a:t>
            </a:r>
            <a:endParaRPr lang="ro-RO"/>
          </a:p>
        </c:rich>
      </c:tx>
      <c:layout>
        <c:manualLayout>
          <c:xMode val="edge"/>
          <c:yMode val="edge"/>
          <c:x val="0.36979342745109078"/>
          <c:y val="3.1497110826389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1192899012509"/>
          <c:y val="0.14173699871875309"/>
          <c:w val="0.86682760413266446"/>
          <c:h val="0.66668884582524601"/>
        </c:manualLayout>
      </c:layout>
      <c:scatterChart>
        <c:scatterStyle val="smoothMarker"/>
        <c:varyColors val="0"/>
        <c:ser>
          <c:idx val="0"/>
          <c:order val="0"/>
          <c:tx>
            <c:v>fi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franare'!$C$18:$C$29</c:f>
              <c:numCache>
                <c:formatCode>General</c:formatCode>
                <c:ptCount val="12"/>
                <c:pt idx="0">
                  <c:v>0</c:v>
                </c:pt>
                <c:pt idx="1">
                  <c:v>10.0702999854376</c:v>
                </c:pt>
                <c:pt idx="2">
                  <c:v>23.781199941750401</c:v>
                </c:pt>
                <c:pt idx="3">
                  <c:v>41.132699868938403</c:v>
                </c:pt>
                <c:pt idx="4">
                  <c:v>62.124799767001605</c:v>
                </c:pt>
                <c:pt idx="5">
                  <c:v>72.623198730915973</c:v>
                </c:pt>
                <c:pt idx="6">
                  <c:v>86.757499635940007</c:v>
                </c:pt>
                <c:pt idx="7">
                  <c:v>115.03079947575361</c:v>
                </c:pt>
                <c:pt idx="8">
                  <c:v>146.94469928644241</c:v>
                </c:pt>
                <c:pt idx="9">
                  <c:v>182.49919906800642</c:v>
                </c:pt>
                <c:pt idx="10">
                  <c:v>221.6942988204456</c:v>
                </c:pt>
                <c:pt idx="11">
                  <c:v>239.58233974078928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3-4D8F-8752-AB125E9895B8}"/>
            </c:ext>
          </c:extLst>
        </c:ser>
        <c:ser>
          <c:idx val="1"/>
          <c:order val="1"/>
          <c:tx>
            <c:v>fi 0.7 + Fa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franare'!$E$18:$E$29</c:f>
              <c:numCache>
                <c:formatCode>General</c:formatCode>
                <c:ptCount val="12"/>
                <c:pt idx="0">
                  <c:v>0</c:v>
                </c:pt>
                <c:pt idx="1">
                  <c:v>10.06592008465268</c:v>
                </c:pt>
                <c:pt idx="2">
                  <c:v>23.711788257259059</c:v>
                </c:pt>
                <c:pt idx="3">
                  <c:v>40.786771432757718</c:v>
                </c:pt>
                <c:pt idx="4">
                  <c:v>61.054702945497937</c:v>
                </c:pt>
                <c:pt idx="5">
                  <c:v>71.010485558589906</c:v>
                </c:pt>
                <c:pt idx="6">
                  <c:v>84.213978083163568</c:v>
                </c:pt>
                <c:pt idx="7">
                  <c:v>109.92044414722763</c:v>
                </c:pt>
                <c:pt idx="8">
                  <c:v>137.81004000176085</c:v>
                </c:pt>
                <c:pt idx="9">
                  <c:v>167.51866535087936</c:v>
                </c:pt>
                <c:pt idx="10">
                  <c:v>198.69780282467673</c:v>
                </c:pt>
                <c:pt idx="11">
                  <c:v>212.41108574768299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3-4D8F-8752-AB125E9895B8}"/>
            </c:ext>
          </c:extLst>
        </c:ser>
        <c:ser>
          <c:idx val="2"/>
          <c:order val="2"/>
          <c:tx>
            <c:v>fi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franare'!$I$18:$I$29</c:f>
              <c:numCache>
                <c:formatCode>General</c:formatCode>
                <c:ptCount val="12"/>
                <c:pt idx="0">
                  <c:v>0</c:v>
                </c:pt>
                <c:pt idx="1">
                  <c:v>10.798419979612639</c:v>
                </c:pt>
                <c:pt idx="2">
                  <c:v>26.69367991845056</c:v>
                </c:pt>
                <c:pt idx="3">
                  <c:v>47.685779816513758</c:v>
                </c:pt>
                <c:pt idx="4">
                  <c:v>73.774719673802238</c:v>
                </c:pt>
                <c:pt idx="5">
                  <c:v>87.005813023282371</c:v>
                </c:pt>
                <c:pt idx="6">
                  <c:v>104.96049949031601</c:v>
                </c:pt>
                <c:pt idx="7">
                  <c:v>141.24311926605503</c:v>
                </c:pt>
                <c:pt idx="8">
                  <c:v>182.62257900101935</c:v>
                </c:pt>
                <c:pt idx="9">
                  <c:v>229.09887869520895</c:v>
                </c:pt>
                <c:pt idx="10">
                  <c:v>280.67201834862385</c:v>
                </c:pt>
                <c:pt idx="11">
                  <c:v>304.30287563710499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3-4D8F-8752-AB125E9895B8}"/>
            </c:ext>
          </c:extLst>
        </c:ser>
        <c:ser>
          <c:idx val="3"/>
          <c:order val="3"/>
          <c:tx>
            <c:v>fi 0.5 + Fa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franare'!$K$18:$K$29</c:f>
              <c:numCache>
                <c:formatCode>General</c:formatCode>
                <c:ptCount val="12"/>
                <c:pt idx="0">
                  <c:v>0</c:v>
                </c:pt>
                <c:pt idx="1">
                  <c:v>10.789846365812306</c:v>
                </c:pt>
                <c:pt idx="2">
                  <c:v>26.558318620553713</c:v>
                </c:pt>
                <c:pt idx="3">
                  <c:v>47.015248350414666</c:v>
                </c:pt>
                <c:pt idx="4">
                  <c:v>71.717071005934301</c:v>
                </c:pt>
                <c:pt idx="5">
                  <c:v>83.917480343713549</c:v>
                </c:pt>
                <c:pt idx="6">
                  <c:v>100.11647048111723</c:v>
                </c:pt>
                <c:pt idx="7">
                  <c:v>131.61532192883882</c:v>
                </c:pt>
                <c:pt idx="8">
                  <c:v>165.61189567149694</c:v>
                </c:pt>
                <c:pt idx="9">
                  <c:v>201.53691880204369</c:v>
                </c:pt>
                <c:pt idx="10">
                  <c:v>238.87691491403456</c:v>
                </c:pt>
                <c:pt idx="11">
                  <c:v>255.17805977293568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3-4D8F-8752-AB125E9895B8}"/>
            </c:ext>
          </c:extLst>
        </c:ser>
        <c:ser>
          <c:idx val="4"/>
          <c:order val="4"/>
          <c:tx>
            <c:v>fi 0.3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franare'!$O$18:$O$29</c:f>
              <c:numCache>
                <c:formatCode>General</c:formatCode>
                <c:ptCount val="12"/>
                <c:pt idx="0">
                  <c:v>0</c:v>
                </c:pt>
                <c:pt idx="1">
                  <c:v>12.497366632687733</c:v>
                </c:pt>
                <c:pt idx="2">
                  <c:v>33.489466530750931</c:v>
                </c:pt>
                <c:pt idx="3">
                  <c:v>62.976299694189599</c:v>
                </c:pt>
                <c:pt idx="4">
                  <c:v>100.95786612300374</c:v>
                </c:pt>
                <c:pt idx="5">
                  <c:v>120.56524637213727</c:v>
                </c:pt>
                <c:pt idx="6">
                  <c:v>147.43416581719333</c:v>
                </c:pt>
                <c:pt idx="7">
                  <c:v>202.4051987767584</c:v>
                </c:pt>
                <c:pt idx="8">
                  <c:v>265.87096500169895</c:v>
                </c:pt>
                <c:pt idx="9">
                  <c:v>337.83146449201496</c:v>
                </c:pt>
                <c:pt idx="10">
                  <c:v>418.2866972477064</c:v>
                </c:pt>
                <c:pt idx="11">
                  <c:v>455.31745939517498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03-4D8F-8752-AB125E9895B8}"/>
            </c:ext>
          </c:extLst>
        </c:ser>
        <c:ser>
          <c:idx val="5"/>
          <c:order val="5"/>
          <c:tx>
            <c:v>fi 0.3 + Fa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franare'!$Q$18:$Q$29</c:f>
              <c:numCache>
                <c:formatCode>General</c:formatCode>
                <c:ptCount val="12"/>
                <c:pt idx="0">
                  <c:v>0</c:v>
                </c:pt>
                <c:pt idx="1">
                  <c:v>12.473621940867254</c:v>
                </c:pt>
                <c:pt idx="2">
                  <c:v>33.117824006838362</c:v>
                </c:pt>
                <c:pt idx="3">
                  <c:v>61.160305670544773</c:v>
                </c:pt>
                <c:pt idx="4">
                  <c:v>95.482496265264587</c:v>
                </c:pt>
                <c:pt idx="5">
                  <c:v>112.41925099436808</c:v>
                </c:pt>
                <c:pt idx="6">
                  <c:v>134.80492764220662</c:v>
                </c:pt>
                <c:pt idx="7">
                  <c:v>177.85324863245415</c:v>
                </c:pt>
                <c:pt idx="8">
                  <c:v>223.47320713211249</c:v>
                </c:pt>
                <c:pt idx="9">
                  <c:v>270.68973940178171</c:v>
                </c:pt>
                <c:pt idx="10">
                  <c:v>318.72193532944755</c:v>
                </c:pt>
                <c:pt idx="11">
                  <c:v>339.37491604236652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03-4D8F-8752-AB125E98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7808"/>
        <c:axId val="1"/>
      </c:scatterChart>
      <c:valAx>
        <c:axId val="18138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 [m/s]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Distanta [m]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7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9881367067262946E-2"/>
          <c:y val="0.89504289931657044"/>
          <c:w val="0.95231748252189508"/>
          <c:h val="9.711609171470118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171450</xdr:rowOff>
    </xdr:from>
    <xdr:to>
      <xdr:col>17</xdr:col>
      <xdr:colOff>19050</xdr:colOff>
      <xdr:row>28</xdr:row>
      <xdr:rowOff>133350</xdr:rowOff>
    </xdr:to>
    <xdr:graphicFrame macro="">
      <xdr:nvGraphicFramePr>
        <xdr:cNvPr id="2049" name="Diagramă 2">
          <a:extLst>
            <a:ext uri="{FF2B5EF4-FFF2-40B4-BE49-F238E27FC236}">
              <a16:creationId xmlns:a16="http://schemas.microsoft.com/office/drawing/2014/main" id="{2FD14ADE-AC06-6687-611E-CFE25F5DE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57</xdr:row>
      <xdr:rowOff>28575</xdr:rowOff>
    </xdr:from>
    <xdr:to>
      <xdr:col>17</xdr:col>
      <xdr:colOff>600074</xdr:colOff>
      <xdr:row>93</xdr:row>
      <xdr:rowOff>142875</xdr:rowOff>
    </xdr:to>
    <xdr:graphicFrame macro="">
      <xdr:nvGraphicFramePr>
        <xdr:cNvPr id="4097" name="Diagramă 1">
          <a:extLst>
            <a:ext uri="{FF2B5EF4-FFF2-40B4-BE49-F238E27FC236}">
              <a16:creationId xmlns:a16="http://schemas.microsoft.com/office/drawing/2014/main" id="{876B2A15-DD1C-4FAD-273A-1D0DC395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11</xdr:col>
      <xdr:colOff>19050</xdr:colOff>
      <xdr:row>75</xdr:row>
      <xdr:rowOff>19050</xdr:rowOff>
    </xdr:to>
    <xdr:graphicFrame macro="">
      <xdr:nvGraphicFramePr>
        <xdr:cNvPr id="6145" name="Diagramă 1">
          <a:extLst>
            <a:ext uri="{FF2B5EF4-FFF2-40B4-BE49-F238E27FC236}">
              <a16:creationId xmlns:a16="http://schemas.microsoft.com/office/drawing/2014/main" id="{61F767AD-7D20-482B-5A04-D0063CC0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49</xdr:row>
      <xdr:rowOff>0</xdr:rowOff>
    </xdr:from>
    <xdr:to>
      <xdr:col>23</xdr:col>
      <xdr:colOff>9525</xdr:colOff>
      <xdr:row>74</xdr:row>
      <xdr:rowOff>171450</xdr:rowOff>
    </xdr:to>
    <xdr:graphicFrame macro="">
      <xdr:nvGraphicFramePr>
        <xdr:cNvPr id="6146" name="Diagramă 2">
          <a:extLst>
            <a:ext uri="{FF2B5EF4-FFF2-40B4-BE49-F238E27FC236}">
              <a16:creationId xmlns:a16="http://schemas.microsoft.com/office/drawing/2014/main" id="{BABCDB26-F899-1C94-B7C5-A0741CBD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49</xdr:row>
      <xdr:rowOff>0</xdr:rowOff>
    </xdr:from>
    <xdr:to>
      <xdr:col>35</xdr:col>
      <xdr:colOff>19050</xdr:colOff>
      <xdr:row>75</xdr:row>
      <xdr:rowOff>9525</xdr:rowOff>
    </xdr:to>
    <xdr:graphicFrame macro="">
      <xdr:nvGraphicFramePr>
        <xdr:cNvPr id="6147" name="Diagramă 3">
          <a:extLst>
            <a:ext uri="{FF2B5EF4-FFF2-40B4-BE49-F238E27FC236}">
              <a16:creationId xmlns:a16="http://schemas.microsoft.com/office/drawing/2014/main" id="{78B93948-236F-3D92-F9AF-EE703B82B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49</xdr:row>
      <xdr:rowOff>9525</xdr:rowOff>
    </xdr:from>
    <xdr:to>
      <xdr:col>47</xdr:col>
      <xdr:colOff>19050</xdr:colOff>
      <xdr:row>74</xdr:row>
      <xdr:rowOff>171450</xdr:rowOff>
    </xdr:to>
    <xdr:graphicFrame macro="">
      <xdr:nvGraphicFramePr>
        <xdr:cNvPr id="6148" name="Diagramă 4">
          <a:extLst>
            <a:ext uri="{FF2B5EF4-FFF2-40B4-BE49-F238E27FC236}">
              <a16:creationId xmlns:a16="http://schemas.microsoft.com/office/drawing/2014/main" id="{F4CA909E-D666-7B23-4DB7-7559B4A7F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247650</xdr:colOff>
      <xdr:row>50</xdr:row>
      <xdr:rowOff>0</xdr:rowOff>
    </xdr:to>
    <xdr:graphicFrame macro="">
      <xdr:nvGraphicFramePr>
        <xdr:cNvPr id="1025" name="Diagramă 1">
          <a:extLst>
            <a:ext uri="{FF2B5EF4-FFF2-40B4-BE49-F238E27FC236}">
              <a16:creationId xmlns:a16="http://schemas.microsoft.com/office/drawing/2014/main" id="{FAC179D3-2921-0B82-1628-B00F4E51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30</xdr:row>
      <xdr:rowOff>0</xdr:rowOff>
    </xdr:from>
    <xdr:to>
      <xdr:col>15</xdr:col>
      <xdr:colOff>314325</xdr:colOff>
      <xdr:row>49</xdr:row>
      <xdr:rowOff>9525</xdr:rowOff>
    </xdr:to>
    <xdr:graphicFrame macro="">
      <xdr:nvGraphicFramePr>
        <xdr:cNvPr id="1026" name="Diagramă 2">
          <a:extLst>
            <a:ext uri="{FF2B5EF4-FFF2-40B4-BE49-F238E27FC236}">
              <a16:creationId xmlns:a16="http://schemas.microsoft.com/office/drawing/2014/main" id="{AB75228D-E5D2-09A5-F7D1-4342ABF6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selection activeCell="F3" sqref="F3"/>
    </sheetView>
  </sheetViews>
  <sheetFormatPr defaultRowHeight="15" x14ac:dyDescent="0.25"/>
  <cols>
    <col min="1" max="1" width="18.5703125" customWidth="1"/>
    <col min="6" max="6" width="18.140625" customWidth="1"/>
    <col min="7" max="7" width="9.140625" customWidth="1"/>
  </cols>
  <sheetData>
    <row r="1" spans="1:16" x14ac:dyDescent="0.25">
      <c r="A1" s="5" t="s">
        <v>112</v>
      </c>
      <c r="B1" s="6">
        <v>0.5</v>
      </c>
      <c r="C1" s="5" t="s">
        <v>0</v>
      </c>
      <c r="D1" s="6">
        <v>1.2</v>
      </c>
      <c r="E1" s="5" t="s">
        <v>1</v>
      </c>
      <c r="F1" s="6">
        <v>225</v>
      </c>
      <c r="I1" t="s">
        <v>108</v>
      </c>
      <c r="J1">
        <v>1.55</v>
      </c>
    </row>
    <row r="2" spans="1:16" x14ac:dyDescent="0.25">
      <c r="A2" s="5" t="s">
        <v>2</v>
      </c>
      <c r="B2" s="6">
        <f>($B$1^2-$D$1*(2*$B$1-1))/(($B$1-1)^2)</f>
        <v>1</v>
      </c>
      <c r="C2" s="5" t="s">
        <v>3</v>
      </c>
      <c r="D2" s="6">
        <f>(2*$B$1*($D$1-1))/(($B$1-1)^2)</f>
        <v>0.79999999999999982</v>
      </c>
      <c r="E2" s="5" t="s">
        <v>4</v>
      </c>
      <c r="F2" s="6">
        <f>(1-$D$1)/(($B$1-1)^2)</f>
        <v>-0.79999999999999982</v>
      </c>
      <c r="G2" s="1" t="s">
        <v>5</v>
      </c>
      <c r="H2" s="2">
        <f>B2+D2+F2</f>
        <v>1</v>
      </c>
      <c r="I2" t="s">
        <v>109</v>
      </c>
      <c r="J2">
        <v>-1.55</v>
      </c>
      <c r="P2" t="s">
        <v>138</v>
      </c>
    </row>
    <row r="3" spans="1:16" x14ac:dyDescent="0.25">
      <c r="A3" s="5" t="s">
        <v>111</v>
      </c>
      <c r="B3" s="6">
        <v>242</v>
      </c>
      <c r="C3" s="5" t="s">
        <v>6</v>
      </c>
      <c r="D3" s="6">
        <v>2850</v>
      </c>
      <c r="E3" s="5" t="s">
        <v>7</v>
      </c>
      <c r="F3" s="7">
        <f>$B$3*30/($D$3*PI())*1000</f>
        <v>810.85255217344582</v>
      </c>
      <c r="I3" t="s">
        <v>110</v>
      </c>
      <c r="J3">
        <v>1</v>
      </c>
      <c r="P3" t="s">
        <v>137</v>
      </c>
    </row>
    <row r="5" spans="1:16" x14ac:dyDescent="0.2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</row>
    <row r="6" spans="1:16" x14ac:dyDescent="0.25">
      <c r="A6" s="3">
        <v>650</v>
      </c>
      <c r="B6" s="4">
        <f>$B$3*($B$2*A6/$D$3+$D$2*((A6/$D$3)^2)+$F$2*((A6/$D$3)^3))</f>
        <v>62.96654625174817</v>
      </c>
      <c r="C6" s="4">
        <f>$F$3*($B$2+$D$2*A6/$D$3+$F$2*((A6/$D$3)^2))</f>
        <v>925.05573095909324</v>
      </c>
      <c r="D6" s="3">
        <f>$F$1*($J$1+$J$2*A6/$D$3+$J$3*(A6/$D$3)^2)</f>
        <v>280.91412742382272</v>
      </c>
      <c r="E6" s="3">
        <f>B6*D6/1000</f>
        <v>17.688192397201611</v>
      </c>
    </row>
    <row r="7" spans="1:16" x14ac:dyDescent="0.25">
      <c r="A7" s="3">
        <v>700</v>
      </c>
      <c r="B7" s="4">
        <f t="shared" ref="B7:B29" si="0">$B$3*($B$2*A7/$D$3+$D$2*((A7/$D$3)^2)+$F$2*((A7/$D$3)^3))</f>
        <v>68.249193004055215</v>
      </c>
      <c r="C7" s="4">
        <f t="shared" ref="C7:C28" si="1">$F$3*($B$2+$D$2*A7/$D$3+$F$2*((A7/$D$3)^2))</f>
        <v>931.04540816813073</v>
      </c>
      <c r="D7" s="3">
        <f t="shared" ref="D7:D29" si="2">$F$1*($J$1+$J$2*A7/$D$3+$J$3*(A7/$D$3)^2)</f>
        <v>276.66551246537398</v>
      </c>
      <c r="E7" s="3">
        <f t="shared" ref="E7:E29" si="3">B7*D7/1000</f>
        <v>18.882197957815151</v>
      </c>
    </row>
    <row r="8" spans="1:16" x14ac:dyDescent="0.25">
      <c r="A8" s="3">
        <v>800</v>
      </c>
      <c r="B8" s="4">
        <f t="shared" si="0"/>
        <v>78.902299762949994</v>
      </c>
      <c r="C8" s="4">
        <f t="shared" si="1"/>
        <v>941.82682714439829</v>
      </c>
      <c r="D8" s="3">
        <f t="shared" si="2"/>
        <v>268.58379501385042</v>
      </c>
      <c r="E8" s="3">
        <f t="shared" si="3"/>
        <v>21.191879105653541</v>
      </c>
    </row>
    <row r="9" spans="1:16" x14ac:dyDescent="0.25">
      <c r="A9" s="3">
        <v>900</v>
      </c>
      <c r="B9" s="4">
        <f t="shared" si="0"/>
        <v>89.630675025513909</v>
      </c>
      <c r="C9" s="4">
        <f t="shared" si="1"/>
        <v>951.01099886492216</v>
      </c>
      <c r="D9" s="3">
        <f t="shared" si="2"/>
        <v>261.05609418282546</v>
      </c>
      <c r="E9" s="3">
        <f t="shared" si="3"/>
        <v>23.398633941130782</v>
      </c>
    </row>
    <row r="10" spans="1:16" x14ac:dyDescent="0.25">
      <c r="A10" s="3">
        <v>1000</v>
      </c>
      <c r="B10" s="4">
        <f t="shared" si="0"/>
        <v>100.38413978930089</v>
      </c>
      <c r="C10" s="4">
        <f t="shared" si="1"/>
        <v>958.59792332970312</v>
      </c>
      <c r="D10" s="3">
        <f t="shared" si="2"/>
        <v>254.08240997229913</v>
      </c>
      <c r="E10" s="3">
        <f t="shared" si="3"/>
        <v>25.505844160661734</v>
      </c>
    </row>
    <row r="11" spans="1:16" x14ac:dyDescent="0.25">
      <c r="A11" s="3">
        <v>1100</v>
      </c>
      <c r="B11" s="4">
        <f t="shared" si="0"/>
        <v>111.11251505186482</v>
      </c>
      <c r="C11" s="4">
        <f t="shared" si="1"/>
        <v>964.5876005387405</v>
      </c>
      <c r="D11" s="3">
        <f t="shared" si="2"/>
        <v>247.66274238227149</v>
      </c>
      <c r="E11" s="3">
        <f t="shared" si="3"/>
        <v>27.518430190736261</v>
      </c>
    </row>
    <row r="12" spans="1:16" x14ac:dyDescent="0.25">
      <c r="A12" s="3">
        <v>1200</v>
      </c>
      <c r="B12" s="4">
        <f t="shared" si="0"/>
        <v>121.76562181075957</v>
      </c>
      <c r="C12" s="4">
        <f t="shared" si="1"/>
        <v>968.98003049203476</v>
      </c>
      <c r="D12" s="3">
        <f t="shared" si="2"/>
        <v>241.79709141274242</v>
      </c>
      <c r="E12" s="3">
        <f t="shared" si="3"/>
        <v>29.442573187905655</v>
      </c>
    </row>
    <row r="13" spans="1:16" x14ac:dyDescent="0.25">
      <c r="A13" s="3">
        <v>1300</v>
      </c>
      <c r="B13" s="4">
        <f t="shared" si="0"/>
        <v>132.29328106353913</v>
      </c>
      <c r="C13" s="4">
        <f t="shared" si="1"/>
        <v>971.77521318958543</v>
      </c>
      <c r="D13" s="3">
        <f t="shared" si="2"/>
        <v>236.48545706371192</v>
      </c>
      <c r="E13" s="3">
        <f t="shared" si="3"/>
        <v>31.285437038769157</v>
      </c>
    </row>
    <row r="14" spans="1:16" x14ac:dyDescent="0.25">
      <c r="A14" s="3">
        <v>1400</v>
      </c>
      <c r="B14" s="4">
        <f t="shared" si="0"/>
        <v>142.6453138077573</v>
      </c>
      <c r="C14" s="4">
        <f t="shared" si="1"/>
        <v>972.97314863139309</v>
      </c>
      <c r="D14" s="3">
        <f t="shared" si="2"/>
        <v>231.72783933518005</v>
      </c>
      <c r="E14" s="3">
        <f t="shared" si="3"/>
        <v>33.054890359960325</v>
      </c>
    </row>
    <row r="15" spans="1:16" x14ac:dyDescent="0.25">
      <c r="A15" s="3">
        <v>1500</v>
      </c>
      <c r="B15" s="4">
        <f t="shared" si="0"/>
        <v>152.77154104096803</v>
      </c>
      <c r="C15" s="4">
        <f t="shared" si="1"/>
        <v>972.57383681745728</v>
      </c>
      <c r="D15" s="3">
        <f t="shared" si="2"/>
        <v>227.52423822714681</v>
      </c>
      <c r="E15" s="3">
        <f t="shared" si="3"/>
        <v>34.759228498133545</v>
      </c>
    </row>
    <row r="16" spans="1:16" x14ac:dyDescent="0.25">
      <c r="A16" s="3">
        <v>1600</v>
      </c>
      <c r="B16" s="4">
        <f t="shared" si="0"/>
        <v>162.62178376072529</v>
      </c>
      <c r="C16" s="4">
        <f t="shared" si="1"/>
        <v>970.57727774777788</v>
      </c>
      <c r="D16" s="3">
        <f t="shared" si="2"/>
        <v>223.8746537396122</v>
      </c>
      <c r="E16" s="3">
        <f t="shared" si="3"/>
        <v>36.406895529950468</v>
      </c>
    </row>
    <row r="17" spans="1:5" x14ac:dyDescent="0.25">
      <c r="A17" s="3">
        <v>1700</v>
      </c>
      <c r="B17" s="4">
        <f t="shared" si="0"/>
        <v>172.14586296458288</v>
      </c>
      <c r="C17" s="4">
        <f t="shared" si="1"/>
        <v>966.98347142235559</v>
      </c>
      <c r="D17" s="3">
        <f t="shared" si="2"/>
        <v>220.77908587257616</v>
      </c>
      <c r="E17" s="3">
        <f t="shared" si="3"/>
        <v>38.006206262066371</v>
      </c>
    </row>
    <row r="18" spans="1:5" x14ac:dyDescent="0.25">
      <c r="A18" s="3">
        <v>1800</v>
      </c>
      <c r="B18" s="4">
        <f t="shared" si="0"/>
        <v>181.29359965009476</v>
      </c>
      <c r="C18" s="4">
        <f t="shared" si="1"/>
        <v>961.7924178411896</v>
      </c>
      <c r="D18" s="3">
        <f t="shared" si="2"/>
        <v>218.23753462603878</v>
      </c>
      <c r="E18" s="3">
        <f t="shared" si="3"/>
        <v>39.565068231116769</v>
      </c>
    </row>
    <row r="19" spans="1:5" x14ac:dyDescent="0.25">
      <c r="A19" s="3">
        <v>1900</v>
      </c>
      <c r="B19" s="4">
        <f t="shared" si="0"/>
        <v>190.01481481481483</v>
      </c>
      <c r="C19" s="4">
        <f t="shared" si="1"/>
        <v>955.0041170042806</v>
      </c>
      <c r="D19" s="3">
        <f t="shared" si="2"/>
        <v>216.24999999999997</v>
      </c>
      <c r="E19" s="3">
        <f t="shared" si="3"/>
        <v>41.090703703703703</v>
      </c>
    </row>
    <row r="20" spans="1:5" x14ac:dyDescent="0.25">
      <c r="A20" s="3">
        <v>2000</v>
      </c>
      <c r="B20" s="4">
        <f t="shared" si="0"/>
        <v>198.25932945629691</v>
      </c>
      <c r="C20" s="4">
        <f t="shared" si="1"/>
        <v>946.61856891162836</v>
      </c>
      <c r="D20" s="3">
        <f t="shared" si="2"/>
        <v>214.81648199445982</v>
      </c>
      <c r="E20" s="3">
        <f t="shared" si="3"/>
        <v>42.589371676382278</v>
      </c>
    </row>
    <row r="21" spans="1:5" x14ac:dyDescent="0.25">
      <c r="A21" s="3">
        <v>2100</v>
      </c>
      <c r="B21" s="4">
        <f t="shared" si="0"/>
        <v>205.97696457209506</v>
      </c>
      <c r="C21" s="4">
        <f t="shared" si="1"/>
        <v>936.63577356323253</v>
      </c>
      <c r="D21" s="3">
        <f t="shared" si="2"/>
        <v>213.93698060941827</v>
      </c>
      <c r="E21" s="3">
        <f t="shared" si="3"/>
        <v>44.066089875647137</v>
      </c>
    </row>
    <row r="22" spans="1:5" x14ac:dyDescent="0.25">
      <c r="A22" s="3">
        <v>2200</v>
      </c>
      <c r="B22" s="4">
        <f>$B$3*($B$2*A22/$D$3+$D$2*((A22/$D$3)^2)+$F$2*((A22/$D$3)^3))</f>
        <v>213.11754115976302</v>
      </c>
      <c r="C22" s="4">
        <f t="shared" si="1"/>
        <v>925.05573095909313</v>
      </c>
      <c r="D22" s="3">
        <f t="shared" si="2"/>
        <v>213.61149584487535</v>
      </c>
      <c r="E22" s="3">
        <f t="shared" si="3"/>
        <v>45.524356757918774</v>
      </c>
    </row>
    <row r="23" spans="1:5" x14ac:dyDescent="0.25">
      <c r="A23" s="3">
        <v>2300</v>
      </c>
      <c r="B23" s="4">
        <f t="shared" si="0"/>
        <v>219.63088021685485</v>
      </c>
      <c r="C23" s="4">
        <f t="shared" si="1"/>
        <v>911.87844109921093</v>
      </c>
      <c r="D23" s="3">
        <f t="shared" si="2"/>
        <v>213.84002770083103</v>
      </c>
      <c r="E23" s="3">
        <f t="shared" si="3"/>
        <v>46.965873509530148</v>
      </c>
    </row>
    <row r="24" spans="1:5" x14ac:dyDescent="0.25">
      <c r="A24" s="3">
        <v>2400</v>
      </c>
      <c r="B24" s="4">
        <f t="shared" si="0"/>
        <v>225.46680274092432</v>
      </c>
      <c r="C24" s="4">
        <f t="shared" si="1"/>
        <v>897.10390398358527</v>
      </c>
      <c r="D24" s="3">
        <f t="shared" si="2"/>
        <v>214.62257617728528</v>
      </c>
      <c r="E24" s="3">
        <f t="shared" si="3"/>
        <v>48.390266046712981</v>
      </c>
    </row>
    <row r="25" spans="1:5" x14ac:dyDescent="0.25">
      <c r="A25" s="3">
        <v>2500</v>
      </c>
      <c r="B25" s="4">
        <f t="shared" si="0"/>
        <v>230.5751297295254</v>
      </c>
      <c r="C25" s="4">
        <f t="shared" si="1"/>
        <v>880.73211961221625</v>
      </c>
      <c r="D25" s="3">
        <f t="shared" si="2"/>
        <v>215.95914127423819</v>
      </c>
      <c r="E25" s="3">
        <f t="shared" si="3"/>
        <v>49.794807015584375</v>
      </c>
    </row>
    <row r="26" spans="1:5" x14ac:dyDescent="0.25">
      <c r="A26" s="3">
        <v>2600</v>
      </c>
      <c r="B26" s="4">
        <f t="shared" si="0"/>
        <v>234.90568218021198</v>
      </c>
      <c r="C26" s="4">
        <f t="shared" si="1"/>
        <v>862.76308798510388</v>
      </c>
      <c r="D26" s="3">
        <f t="shared" si="2"/>
        <v>217.84972299168976</v>
      </c>
      <c r="E26" s="3">
        <f t="shared" si="3"/>
        <v>51.174137792133095</v>
      </c>
    </row>
    <row r="27" spans="1:5" x14ac:dyDescent="0.25">
      <c r="A27" s="3">
        <v>2700</v>
      </c>
      <c r="B27" s="4">
        <f t="shared" si="0"/>
        <v>238.40828109053797</v>
      </c>
      <c r="C27" s="4">
        <f t="shared" si="1"/>
        <v>843.19680910224793</v>
      </c>
      <c r="D27" s="3">
        <f t="shared" si="2"/>
        <v>220.2943213296399</v>
      </c>
      <c r="E27" s="3">
        <f t="shared" si="3"/>
        <v>52.519990482206083</v>
      </c>
    </row>
    <row r="28" spans="1:5" x14ac:dyDescent="0.25">
      <c r="A28" s="3">
        <v>2800</v>
      </c>
      <c r="B28" s="4">
        <f t="shared" si="0"/>
        <v>241.03274745805729</v>
      </c>
      <c r="C28" s="4">
        <f t="shared" si="1"/>
        <v>822.03328296364907</v>
      </c>
      <c r="D28" s="3">
        <f t="shared" si="2"/>
        <v>223.29293628808861</v>
      </c>
      <c r="E28" s="3">
        <f t="shared" si="3"/>
        <v>53.820909921494938</v>
      </c>
    </row>
    <row r="29" spans="1:5" x14ac:dyDescent="0.25">
      <c r="A29" s="23">
        <v>2850</v>
      </c>
      <c r="B29" s="24">
        <f t="shared" si="0"/>
        <v>242</v>
      </c>
      <c r="C29" s="24">
        <f>$F$3*($B$2+$D$2*A29/$D$3+$F$2*((A29/$D$3)^2))</f>
        <v>810.85255217344582</v>
      </c>
      <c r="D29" s="23">
        <f t="shared" si="2"/>
        <v>225</v>
      </c>
      <c r="E29" s="23">
        <f t="shared" si="3"/>
        <v>54.45</v>
      </c>
    </row>
    <row r="30" spans="1:5" x14ac:dyDescent="0.25">
      <c r="A30" s="20">
        <f>A29*1.1</f>
        <v>3135.0000000000005</v>
      </c>
      <c r="B30" s="21">
        <f>((-242)*A30+689700+68970)/285</f>
        <v>-4.0847481342784146E-13</v>
      </c>
      <c r="C30" s="21">
        <f>((-810.85)*A30+(810.85*2850)+(285*810.85))/285</f>
        <v>-1.6338992537113658E-12</v>
      </c>
      <c r="D30" s="20">
        <v>1000</v>
      </c>
      <c r="E30" s="20">
        <f>$E29/3</f>
        <v>18.150000000000002</v>
      </c>
    </row>
    <row r="31" spans="1:5" x14ac:dyDescent="0.25">
      <c r="A31" s="18"/>
      <c r="B31" s="22"/>
      <c r="C31" s="22"/>
      <c r="D31" s="18"/>
      <c r="E31" s="18"/>
    </row>
    <row r="32" spans="1:5" x14ac:dyDescent="0.25">
      <c r="A32" s="18"/>
      <c r="B32" s="22"/>
      <c r="C32" s="22"/>
      <c r="D32" s="18"/>
      <c r="E32" s="18"/>
    </row>
    <row r="33" spans="1:5" x14ac:dyDescent="0.25">
      <c r="A33" s="18"/>
      <c r="B33" s="22"/>
      <c r="C33" s="22"/>
      <c r="D33" s="18"/>
      <c r="E33" s="18"/>
    </row>
    <row r="34" spans="1:5" x14ac:dyDescent="0.25">
      <c r="A34" s="18"/>
      <c r="B34" s="22"/>
      <c r="C34" s="22"/>
      <c r="D34" s="18"/>
      <c r="E34" s="18"/>
    </row>
    <row r="35" spans="1:5" x14ac:dyDescent="0.25">
      <c r="A35" s="18"/>
      <c r="B35" s="22"/>
      <c r="C35" s="22"/>
      <c r="D35" s="18"/>
      <c r="E35" s="18"/>
    </row>
    <row r="36" spans="1:5" x14ac:dyDescent="0.25">
      <c r="A36" s="18"/>
      <c r="B36" s="22"/>
      <c r="C36" s="22"/>
      <c r="D36" s="18"/>
      <c r="E36" s="18"/>
    </row>
    <row r="37" spans="1:5" x14ac:dyDescent="0.25">
      <c r="A37" s="18"/>
      <c r="B37" s="22"/>
      <c r="C37" s="22"/>
      <c r="D37" s="18"/>
      <c r="E37" s="18"/>
    </row>
    <row r="38" spans="1:5" x14ac:dyDescent="0.25">
      <c r="A38" s="18"/>
      <c r="B38" s="22"/>
      <c r="C38" s="22"/>
      <c r="D38" s="18"/>
      <c r="E38" s="18"/>
    </row>
    <row r="39" spans="1:5" x14ac:dyDescent="0.25">
      <c r="A39" s="18"/>
      <c r="B39" s="22"/>
      <c r="C39" s="22"/>
      <c r="D39" s="18"/>
      <c r="E39" s="18"/>
    </row>
    <row r="40" spans="1:5" x14ac:dyDescent="0.25">
      <c r="A40" s="18"/>
      <c r="B40" s="22"/>
      <c r="C40" s="22"/>
      <c r="D40" s="18"/>
      <c r="E40" s="18"/>
    </row>
    <row r="41" spans="1:5" x14ac:dyDescent="0.25">
      <c r="A41" s="18"/>
      <c r="B41" s="22"/>
      <c r="C41" s="22"/>
      <c r="D41" s="18"/>
      <c r="E41" s="18"/>
    </row>
    <row r="42" spans="1:5" x14ac:dyDescent="0.25">
      <c r="A42" s="18"/>
      <c r="B42" s="22"/>
      <c r="C42" s="22"/>
      <c r="D42" s="18"/>
      <c r="E42" s="18"/>
    </row>
    <row r="43" spans="1:5" x14ac:dyDescent="0.25">
      <c r="A43" s="18"/>
      <c r="B43" s="22"/>
      <c r="C43" s="22"/>
      <c r="D43" s="18"/>
      <c r="E43" s="18"/>
    </row>
    <row r="44" spans="1:5" x14ac:dyDescent="0.25">
      <c r="A44" s="18"/>
      <c r="B44" s="18"/>
      <c r="C44" s="18"/>
      <c r="D44" s="18"/>
      <c r="E44" s="18"/>
    </row>
    <row r="45" spans="1:5" x14ac:dyDescent="0.25">
      <c r="A45" s="18"/>
      <c r="B45" s="18"/>
      <c r="C45" s="18"/>
      <c r="D45" s="18"/>
      <c r="E4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zoomScale="190" zoomScaleNormal="190" workbookViewId="0">
      <selection activeCell="B24" sqref="B24"/>
    </sheetView>
  </sheetViews>
  <sheetFormatPr defaultRowHeight="15" x14ac:dyDescent="0.25"/>
  <cols>
    <col min="1" max="1" width="46.7109375" customWidth="1"/>
    <col min="2" max="2" width="10.28515625" customWidth="1"/>
  </cols>
  <sheetData>
    <row r="1" spans="1:3" x14ac:dyDescent="0.25">
      <c r="A1" s="1" t="s">
        <v>116</v>
      </c>
      <c r="B1">
        <v>285000</v>
      </c>
      <c r="C1" s="2">
        <v>28500</v>
      </c>
    </row>
    <row r="2" spans="1:3" x14ac:dyDescent="0.25">
      <c r="A2" s="1" t="s">
        <v>115</v>
      </c>
      <c r="B2" s="2">
        <v>1.7999999999999999E-2</v>
      </c>
    </row>
    <row r="3" spans="1:3" x14ac:dyDescent="0.25">
      <c r="A3" s="1" t="s">
        <v>139</v>
      </c>
      <c r="B3" s="2">
        <v>1.226</v>
      </c>
    </row>
    <row r="4" spans="1:3" x14ac:dyDescent="0.25">
      <c r="A4" s="1" t="s">
        <v>117</v>
      </c>
      <c r="B4" s="2">
        <v>1</v>
      </c>
    </row>
    <row r="5" spans="1:3" x14ac:dyDescent="0.25">
      <c r="A5" s="1" t="s">
        <v>140</v>
      </c>
      <c r="B5" s="8">
        <f>B4*B3/2</f>
        <v>0.61299999999999999</v>
      </c>
    </row>
    <row r="6" spans="1:3" x14ac:dyDescent="0.25">
      <c r="A6" s="1" t="s">
        <v>113</v>
      </c>
      <c r="B6" s="2">
        <v>3.1549999999999998</v>
      </c>
    </row>
    <row r="7" spans="1:3" x14ac:dyDescent="0.25">
      <c r="A7" s="1" t="s">
        <v>114</v>
      </c>
      <c r="B7" s="2">
        <v>1.992</v>
      </c>
    </row>
    <row r="8" spans="1:3" x14ac:dyDescent="0.25">
      <c r="A8" s="1" t="s">
        <v>16</v>
      </c>
      <c r="B8" s="9">
        <f>B6*B7</f>
        <v>6.2847599999999995</v>
      </c>
    </row>
    <row r="9" spans="1:3" x14ac:dyDescent="0.25">
      <c r="A9" s="1" t="s">
        <v>17</v>
      </c>
      <c r="B9" s="2">
        <v>0.8</v>
      </c>
    </row>
    <row r="10" spans="1:3" x14ac:dyDescent="0.25">
      <c r="A10" s="1" t="s">
        <v>18</v>
      </c>
      <c r="B10" s="2">
        <v>242000</v>
      </c>
    </row>
    <row r="11" spans="1:3" x14ac:dyDescent="0.25">
      <c r="A11" s="1" t="s">
        <v>19</v>
      </c>
      <c r="B11" s="8">
        <f>C1*B2/B5/B8</f>
        <v>133.15828495742161</v>
      </c>
    </row>
    <row r="12" spans="1:3" x14ac:dyDescent="0.25">
      <c r="A12" s="1" t="s">
        <v>15</v>
      </c>
      <c r="B12" s="8">
        <f>B9*B10/B5/B8</f>
        <v>50252.327422527916</v>
      </c>
    </row>
    <row r="13" spans="1:3" x14ac:dyDescent="0.25">
      <c r="A13" s="1" t="s">
        <v>20</v>
      </c>
      <c r="B13" s="8">
        <f>(B12/2+SQRT((B12/2)^2+(B11/3)^3))^(1/3)-(-B12/2+SQRT((B12/2)^2+(B11/3)^3))^(1/3)</f>
        <v>35.699818948379182</v>
      </c>
      <c r="C13" s="10">
        <f>B13/1000*3600</f>
        <v>128.51934821416506</v>
      </c>
    </row>
    <row r="14" spans="1:3" x14ac:dyDescent="0.25">
      <c r="A14" s="1" t="s">
        <v>93</v>
      </c>
      <c r="B14">
        <v>9.81</v>
      </c>
    </row>
    <row r="15" spans="1:3" x14ac:dyDescent="0.25">
      <c r="A15" s="1" t="s">
        <v>90</v>
      </c>
      <c r="B15">
        <f>0.65*B11</f>
        <v>86.552885222324051</v>
      </c>
    </row>
    <row r="16" spans="1:3" x14ac:dyDescent="0.25">
      <c r="A16" s="1" t="s">
        <v>143</v>
      </c>
      <c r="B16">
        <f>0.65*B12</f>
        <v>32664.012824643149</v>
      </c>
    </row>
    <row r="17" spans="1:2" x14ac:dyDescent="0.25">
      <c r="B17">
        <f>B15+B16</f>
        <v>32750.565709865474</v>
      </c>
    </row>
    <row r="18" spans="1:2" x14ac:dyDescent="0.25">
      <c r="B18">
        <f>1/3*C1</f>
        <v>9500</v>
      </c>
    </row>
    <row r="19" spans="1:2" x14ac:dyDescent="0.25">
      <c r="B19">
        <f>2/3*C1</f>
        <v>19000</v>
      </c>
    </row>
    <row r="20" spans="1:2" x14ac:dyDescent="0.25">
      <c r="A20" t="s">
        <v>90</v>
      </c>
      <c r="B20">
        <f>B19/C1*B22</f>
        <v>2733.333333333333</v>
      </c>
    </row>
    <row r="21" spans="1:2" x14ac:dyDescent="0.25">
      <c r="A21" t="s">
        <v>143</v>
      </c>
      <c r="B21">
        <f>B18/C1*B22</f>
        <v>1366.6666666666665</v>
      </c>
    </row>
    <row r="22" spans="1:2" x14ac:dyDescent="0.25">
      <c r="A22" t="s">
        <v>144</v>
      </c>
      <c r="B22">
        <v>4100</v>
      </c>
    </row>
    <row r="23" spans="1:2" x14ac:dyDescent="0.25">
      <c r="B23">
        <f>B20+B21</f>
        <v>4100</v>
      </c>
    </row>
    <row r="24" spans="1:2" x14ac:dyDescent="0.25">
      <c r="A24" t="s">
        <v>145</v>
      </c>
      <c r="B24">
        <f>B1/B14*B25</f>
        <v>204630</v>
      </c>
    </row>
    <row r="25" spans="1:2" x14ac:dyDescent="0.25">
      <c r="A25" t="s">
        <v>146</v>
      </c>
      <c r="B25">
        <v>7.0435800000000004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="145" zoomScaleNormal="145" workbookViewId="0">
      <selection activeCell="A18" sqref="A18"/>
    </sheetView>
  </sheetViews>
  <sheetFormatPr defaultRowHeight="15" x14ac:dyDescent="0.25"/>
  <cols>
    <col min="1" max="1" width="27.5703125" customWidth="1"/>
  </cols>
  <sheetData>
    <row r="1" spans="1:3" x14ac:dyDescent="0.25">
      <c r="A1">
        <v>315</v>
      </c>
      <c r="B1">
        <v>80</v>
      </c>
      <c r="C1">
        <v>22.5</v>
      </c>
    </row>
    <row r="2" spans="1:3" x14ac:dyDescent="0.25">
      <c r="A2" t="s">
        <v>21</v>
      </c>
      <c r="B2">
        <v>0.94499999999999995</v>
      </c>
    </row>
    <row r="3" spans="1:3" x14ac:dyDescent="0.25">
      <c r="A3" t="s">
        <v>22</v>
      </c>
      <c r="B3">
        <f>A1</f>
        <v>315</v>
      </c>
    </row>
    <row r="4" spans="1:3" x14ac:dyDescent="0.25">
      <c r="A4" t="s">
        <v>23</v>
      </c>
      <c r="B4">
        <f>B3*B1/100</f>
        <v>252</v>
      </c>
    </row>
    <row r="5" spans="1:3" x14ac:dyDescent="0.25">
      <c r="A5" t="s">
        <v>24</v>
      </c>
      <c r="B5">
        <f>C1*25.4</f>
        <v>571.5</v>
      </c>
    </row>
    <row r="6" spans="1:3" x14ac:dyDescent="0.25">
      <c r="A6" t="s">
        <v>25</v>
      </c>
      <c r="B6">
        <f>B5+2*B4</f>
        <v>1075.5</v>
      </c>
    </row>
    <row r="7" spans="1:3" x14ac:dyDescent="0.25">
      <c r="A7" t="s">
        <v>26</v>
      </c>
      <c r="B7">
        <f>B5/2+B4</f>
        <v>537.75</v>
      </c>
    </row>
    <row r="8" spans="1:3" x14ac:dyDescent="0.25">
      <c r="A8" t="s">
        <v>27</v>
      </c>
      <c r="B8">
        <v>0.12</v>
      </c>
    </row>
    <row r="9" spans="1:3" x14ac:dyDescent="0.25">
      <c r="A9" t="s">
        <v>28</v>
      </c>
      <c r="B9">
        <f>B5/2+B4*(1-B8)</f>
        <v>507.51</v>
      </c>
    </row>
    <row r="10" spans="1:3" x14ac:dyDescent="0.25">
      <c r="A10" t="s">
        <v>29</v>
      </c>
      <c r="B10">
        <f>B2*B7</f>
        <v>508.17374999999998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zoomScale="139" workbookViewId="0">
      <selection activeCell="A20" sqref="A20"/>
    </sheetView>
  </sheetViews>
  <sheetFormatPr defaultRowHeight="15" x14ac:dyDescent="0.25"/>
  <sheetData>
    <row r="1" spans="1:4" x14ac:dyDescent="0.25">
      <c r="A1" s="48" t="s">
        <v>30</v>
      </c>
      <c r="B1" s="48"/>
      <c r="C1" s="48"/>
    </row>
    <row r="2" spans="1:4" x14ac:dyDescent="0.25">
      <c r="A2" t="s">
        <v>31</v>
      </c>
      <c r="B2">
        <f>'razele rotilor'!B10/1000</f>
        <v>0.50817374999999998</v>
      </c>
    </row>
    <row r="3" spans="1:4" x14ac:dyDescent="0.25">
      <c r="A3" t="s">
        <v>32</v>
      </c>
      <c r="B3">
        <v>2850</v>
      </c>
    </row>
    <row r="4" spans="1:4" x14ac:dyDescent="0.25">
      <c r="A4" t="s">
        <v>33</v>
      </c>
      <c r="B4" s="10">
        <f>'Viteza maxima'!B13</f>
        <v>35.699818948379182</v>
      </c>
    </row>
    <row r="5" spans="1:4" x14ac:dyDescent="0.25">
      <c r="A5" t="s">
        <v>34</v>
      </c>
      <c r="B5">
        <v>1</v>
      </c>
    </row>
    <row r="6" spans="1:4" x14ac:dyDescent="0.25">
      <c r="A6" t="s">
        <v>35</v>
      </c>
      <c r="B6">
        <v>1</v>
      </c>
    </row>
    <row r="7" spans="1:4" x14ac:dyDescent="0.25">
      <c r="A7" t="s">
        <v>36</v>
      </c>
      <c r="B7" s="11">
        <f>PI()*B2*B3/30/B5/B6/B4</f>
        <v>4.2483441609405563</v>
      </c>
    </row>
    <row r="9" spans="1:4" x14ac:dyDescent="0.25">
      <c r="A9" s="48" t="s">
        <v>37</v>
      </c>
      <c r="B9" s="48"/>
      <c r="C9" s="48"/>
    </row>
    <row r="10" spans="1:4" x14ac:dyDescent="0.25">
      <c r="A10" t="s">
        <v>38</v>
      </c>
      <c r="B10">
        <v>285000</v>
      </c>
    </row>
    <row r="11" spans="1:4" x14ac:dyDescent="0.25">
      <c r="A11" t="s">
        <v>39</v>
      </c>
      <c r="B11">
        <f>B13*COS(RADIANS(B12))+SIN(RADIANS(B12))</f>
        <v>0.22551834763096784</v>
      </c>
    </row>
    <row r="12" spans="1:4" x14ac:dyDescent="0.25">
      <c r="A12" t="s">
        <v>40</v>
      </c>
      <c r="B12">
        <v>12</v>
      </c>
    </row>
    <row r="13" spans="1:4" x14ac:dyDescent="0.25">
      <c r="A13" t="s">
        <v>41</v>
      </c>
      <c r="B13">
        <f>'Viteza maxima'!B2</f>
        <v>1.7999999999999999E-2</v>
      </c>
      <c r="D13" t="s">
        <v>141</v>
      </c>
    </row>
    <row r="14" spans="1:4" x14ac:dyDescent="0.25">
      <c r="A14" t="s">
        <v>31</v>
      </c>
      <c r="B14">
        <f>B2</f>
        <v>0.50817374999999998</v>
      </c>
    </row>
    <row r="15" spans="1:4" x14ac:dyDescent="0.25">
      <c r="A15" t="s">
        <v>42</v>
      </c>
      <c r="B15" s="10">
        <f>'Caracteristica externa'!C14</f>
        <v>972.97314863139309</v>
      </c>
    </row>
    <row r="16" spans="1:4" x14ac:dyDescent="0.25">
      <c r="A16" t="s">
        <v>43</v>
      </c>
      <c r="B16">
        <f>'Viteza maxima'!B9</f>
        <v>0.8</v>
      </c>
    </row>
    <row r="17" spans="1:4" x14ac:dyDescent="0.25">
      <c r="A17" t="s">
        <v>44</v>
      </c>
      <c r="B17" s="11">
        <f>B7</f>
        <v>4.2483441609405563</v>
      </c>
      <c r="D17" t="s">
        <v>142</v>
      </c>
    </row>
    <row r="18" spans="1:4" x14ac:dyDescent="0.25">
      <c r="A18" t="s">
        <v>45</v>
      </c>
      <c r="B18">
        <v>1.5</v>
      </c>
    </row>
    <row r="19" spans="1:4" x14ac:dyDescent="0.25">
      <c r="A19" t="s">
        <v>46</v>
      </c>
      <c r="B19">
        <f>B10/2</f>
        <v>142500</v>
      </c>
    </row>
    <row r="20" spans="1:4" x14ac:dyDescent="0.25">
      <c r="A20" t="s">
        <v>47</v>
      </c>
      <c r="B20">
        <v>0.7</v>
      </c>
    </row>
    <row r="21" spans="1:4" x14ac:dyDescent="0.25">
      <c r="A21" s="48" t="s">
        <v>48</v>
      </c>
      <c r="B21" s="48"/>
      <c r="C21">
        <f>B10*B11*B14/B15/B16/B17</f>
        <v>9.8770768831028946</v>
      </c>
    </row>
    <row r="22" spans="1:4" x14ac:dyDescent="0.25">
      <c r="A22" s="48" t="s">
        <v>49</v>
      </c>
      <c r="B22" s="48"/>
      <c r="C22">
        <f>B18*B19*B20*B14/B15/B16/B17</f>
        <v>22.99354096064226</v>
      </c>
    </row>
    <row r="23" spans="1:4" x14ac:dyDescent="0.25">
      <c r="A23" s="48" t="s">
        <v>50</v>
      </c>
      <c r="B23" s="48"/>
      <c r="C23">
        <v>7.55</v>
      </c>
    </row>
    <row r="24" spans="1:4" x14ac:dyDescent="0.25">
      <c r="A24" s="48" t="s">
        <v>51</v>
      </c>
      <c r="B24" s="48"/>
      <c r="C24">
        <v>6</v>
      </c>
    </row>
    <row r="25" spans="1:4" x14ac:dyDescent="0.25">
      <c r="A25" s="48" t="s">
        <v>52</v>
      </c>
      <c r="B25" s="48"/>
      <c r="C25" s="19">
        <f>C23^(1/(C24-1))</f>
        <v>1.4982676079809927</v>
      </c>
    </row>
    <row r="26" spans="1:4" x14ac:dyDescent="0.25">
      <c r="A26" t="s">
        <v>53</v>
      </c>
      <c r="B26" t="s">
        <v>54</v>
      </c>
    </row>
    <row r="27" spans="1:4" x14ac:dyDescent="0.25">
      <c r="A27">
        <v>2</v>
      </c>
      <c r="B27" s="10">
        <f>$C$23*$C$25^(-(A27-1))</f>
        <v>5.0391531925155126</v>
      </c>
    </row>
    <row r="28" spans="1:4" x14ac:dyDescent="0.25">
      <c r="A28">
        <v>3</v>
      </c>
      <c r="B28" s="10">
        <f>$C$23*$C$25^(-(A28-1))</f>
        <v>3.3633198539919582</v>
      </c>
    </row>
    <row r="29" spans="1:4" x14ac:dyDescent="0.25">
      <c r="A29">
        <v>4</v>
      </c>
      <c r="B29" s="10">
        <f>$C$23*$C$25^(-(A29-1))</f>
        <v>2.2448058251250842</v>
      </c>
    </row>
    <row r="30" spans="1:4" x14ac:dyDescent="0.25">
      <c r="A30">
        <v>5</v>
      </c>
      <c r="B30" s="10">
        <f>$C$23*$C$25^(-(A30-1))</f>
        <v>1.4982676079809918</v>
      </c>
    </row>
    <row r="31" spans="1:4" x14ac:dyDescent="0.25">
      <c r="A31">
        <v>6</v>
      </c>
      <c r="B31" s="10">
        <f>$C$23*$C$25^(-(A31-1))</f>
        <v>0.99999999999999922</v>
      </c>
    </row>
    <row r="32" spans="1:4" x14ac:dyDescent="0.25">
      <c r="B32" s="10"/>
    </row>
  </sheetData>
  <mergeCells count="7">
    <mergeCell ref="A25:B25"/>
    <mergeCell ref="A1:C1"/>
    <mergeCell ref="A9:C9"/>
    <mergeCell ref="A21:B21"/>
    <mergeCell ref="A22:B22"/>
    <mergeCell ref="A23:B23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zoomScale="107" workbookViewId="0">
      <selection activeCell="I43" sqref="I43"/>
    </sheetView>
  </sheetViews>
  <sheetFormatPr defaultRowHeight="15" x14ac:dyDescent="0.25"/>
  <sheetData>
    <row r="1" spans="1:9" x14ac:dyDescent="0.25">
      <c r="A1" t="s">
        <v>55</v>
      </c>
      <c r="B1" s="19">
        <f>A43/'Rapoarte de transmitere'!C25</f>
        <v>2092.4165905345872</v>
      </c>
      <c r="D1" s="19">
        <f>A43/'Rapoarte de transmitere'!C25</f>
        <v>2092.4165905345872</v>
      </c>
    </row>
    <row r="2" spans="1:9" x14ac:dyDescent="0.25">
      <c r="A2" t="s">
        <v>56</v>
      </c>
      <c r="B2">
        <f>(PI()*'Rapoarte de transmitere'!$B14*'Diagrama de viteze'!$B$1)/(30*'Rapoarte de transmitere'!B7*'Rapoarte de transmitere'!$C$23)</f>
        <v>3.4715414637699369</v>
      </c>
    </row>
    <row r="3" spans="1:9" x14ac:dyDescent="0.25">
      <c r="A3" t="s">
        <v>57</v>
      </c>
      <c r="B3">
        <f>(PI()*'Rapoarte de transmitere'!$B$14*'Caracteristica externa'!$A$30)/(30*'Rapoarte de transmitere'!$B$7*'Rapoarte de transmitere'!$C$23)</f>
        <v>5.2012981249294175</v>
      </c>
    </row>
    <row r="4" spans="1:9" x14ac:dyDescent="0.25">
      <c r="A4" t="s">
        <v>58</v>
      </c>
      <c r="B4">
        <f>(PI()*'Rapoarte de transmitere'!$B$14*'Diagrama de viteze'!$B$1)/(30*'Rapoarte de transmitere'!$B$7*'Rapoarte de transmitere'!$B$27)</f>
        <v>5.2012981249294175</v>
      </c>
    </row>
    <row r="5" spans="1:9" x14ac:dyDescent="0.25">
      <c r="A5" t="s">
        <v>59</v>
      </c>
      <c r="B5">
        <f>(PI()*'Rapoarte de transmitere'!$B$14*'Caracteristica externa'!A30)/(30*'Rapoarte de transmitere'!$B$7*'Rapoarte de transmitere'!$B$27)</f>
        <v>7.7929365000340205</v>
      </c>
    </row>
    <row r="6" spans="1:9" x14ac:dyDescent="0.25">
      <c r="A6" t="s">
        <v>60</v>
      </c>
      <c r="B6">
        <f>(PI()*'Rapoarte de transmitere'!$B$14*'Diagrama de viteze'!$B$1)/(30*'Rapoarte de transmitere'!$B$7*'Rapoarte de transmitere'!$B$28)</f>
        <v>7.7929365000340205</v>
      </c>
    </row>
    <row r="7" spans="1:9" x14ac:dyDescent="0.25">
      <c r="A7" t="s">
        <v>61</v>
      </c>
      <c r="B7">
        <f>(PI()*'Rapoarte de transmitere'!$B$14*'Caracteristica externa'!$A$30)/(30*'Rapoarte de transmitere'!$B$7*'Rapoarte de transmitere'!$B$28)</f>
        <v>11.675904329053742</v>
      </c>
    </row>
    <row r="8" spans="1:9" x14ac:dyDescent="0.25">
      <c r="A8" t="s">
        <v>62</v>
      </c>
      <c r="B8">
        <f>(PI()*'Rapoarte de transmitere'!$B$14*'Diagrama de viteze'!$B$1)/(30*'Rapoarte de transmitere'!$B$7*'Rapoarte de transmitere'!$B$29)</f>
        <v>11.67590432905374</v>
      </c>
    </row>
    <row r="9" spans="1:9" x14ac:dyDescent="0.25">
      <c r="A9" t="s">
        <v>63</v>
      </c>
      <c r="B9">
        <f>(PI()*'Rapoarte de transmitere'!$B$14*'Caracteristica externa'!$A$30)/(30*'Rapoarte de transmitere'!$B$7*'Rapoarte de transmitere'!$B$29)</f>
        <v>17.493629250106263</v>
      </c>
    </row>
    <row r="10" spans="1:9" x14ac:dyDescent="0.25">
      <c r="A10" t="s">
        <v>64</v>
      </c>
      <c r="B10">
        <f>(PI()*'Rapoarte de transmitere'!$B$14*'Diagrama de viteze'!$B$1)/(30*'Rapoarte de transmitere'!$B$7*'Rapoarte de transmitere'!$B$30)</f>
        <v>17.493629250106263</v>
      </c>
    </row>
    <row r="11" spans="1:9" x14ac:dyDescent="0.25">
      <c r="A11" t="s">
        <v>65</v>
      </c>
      <c r="B11">
        <f>(PI()*'Rapoarte de transmitere'!$B$14*'Caracteristica externa'!$A$30)/(30*'Rapoarte de transmitere'!$B$7*'Rapoarte de transmitere'!$B$30)</f>
        <v>26.210138051463037</v>
      </c>
    </row>
    <row r="12" spans="1:9" x14ac:dyDescent="0.25">
      <c r="A12" t="s">
        <v>119</v>
      </c>
      <c r="B12">
        <f>(PI()*'Rapoarte de transmitere'!$B$14*'Diagrama de viteze'!$B$1)/(30*'Rapoarte de transmitere'!$B$7*'Rapoarte de transmitere'!$B$31)</f>
        <v>26.210138051463044</v>
      </c>
    </row>
    <row r="13" spans="1:9" x14ac:dyDescent="0.25">
      <c r="A13" t="s">
        <v>120</v>
      </c>
      <c r="B13">
        <f>(PI()*'Rapoarte de transmitere'!$B$14*'Caracteristica externa'!$A$30)/(30*'Rapoarte de transmitere'!$B$7*'Rapoarte de transmitere'!$B$31)</f>
        <v>39.269800843217133</v>
      </c>
    </row>
    <row r="15" spans="1:9" x14ac:dyDescent="0.25">
      <c r="A15" s="3" t="s">
        <v>8</v>
      </c>
      <c r="B15" s="3" t="s">
        <v>9</v>
      </c>
      <c r="C15" s="3" t="s">
        <v>10</v>
      </c>
      <c r="D15" s="3" t="s">
        <v>66</v>
      </c>
      <c r="E15" s="3" t="s">
        <v>67</v>
      </c>
      <c r="F15" s="3" t="s">
        <v>68</v>
      </c>
      <c r="G15" s="3" t="s">
        <v>69</v>
      </c>
      <c r="H15" s="3" t="s">
        <v>70</v>
      </c>
      <c r="I15" s="3" t="s">
        <v>118</v>
      </c>
    </row>
    <row r="16" spans="1:9" x14ac:dyDescent="0.25">
      <c r="A16" s="3">
        <v>650</v>
      </c>
      <c r="B16" s="4">
        <f>'Caracteristica externa'!$B$3*('Caracteristica externa'!$B$2*A16/'Caracteristica externa'!$D$3+'Caracteristica externa'!$D$2*((A16/'Caracteristica externa'!$D$3)^2)+'Caracteristica externa'!$F$2*((A16/'Caracteristica externa'!$D$3)^3))</f>
        <v>62.96654625174817</v>
      </c>
      <c r="C16" s="4">
        <f>'Caracteristica externa'!$F$3*('Caracteristica externa'!$B$2+'Caracteristica externa'!$D$2*A16/'Caracteristica externa'!$D$3+'Caracteristica externa'!$F$2*((A16/'Caracteristica externa'!$D$3)^2))</f>
        <v>925.05573095909324</v>
      </c>
      <c r="D16" s="13">
        <f>PI()*'Rapoarte de transmitere'!$B$14*'Diagrama de viteze'!A16/30/'Rapoarte de transmitere'!$B$7/'Rapoarte de transmitere'!$C$23</f>
        <v>1.0784190689646318</v>
      </c>
      <c r="E16" s="13"/>
      <c r="F16" s="13"/>
      <c r="G16" s="13"/>
      <c r="H16" s="13"/>
      <c r="I16" s="13"/>
    </row>
    <row r="17" spans="1:9" x14ac:dyDescent="0.25">
      <c r="A17" s="3">
        <v>700</v>
      </c>
      <c r="B17" s="4">
        <f>'Caracteristica externa'!$B$3*('Caracteristica externa'!$B$2*A17/'Caracteristica externa'!$D$3+'Caracteristica externa'!$D$2*((A17/'Caracteristica externa'!$D$3)^2)+'Caracteristica externa'!$F$2*((A17/'Caracteristica externa'!$D$3)^3))</f>
        <v>68.249193004055215</v>
      </c>
      <c r="C17" s="4">
        <f>'Caracteristica externa'!$F$3*('Caracteristica externa'!$B$2+'Caracteristica externa'!$D$2*A17/'Caracteristica externa'!$D$3+'Caracteristica externa'!$F$2*((A17/'Caracteristica externa'!$D$3)^2))</f>
        <v>931.04540816813073</v>
      </c>
      <c r="D17" s="13">
        <f>PI()*'Rapoarte de transmitere'!$B$14*'Diagrama de viteze'!A17/30/'Rapoarte de transmitere'!$B$7/'Rapoarte de transmitere'!$C$23</f>
        <v>1.1613743819619113</v>
      </c>
      <c r="E17" s="13"/>
      <c r="F17" s="13"/>
      <c r="G17" s="13"/>
      <c r="H17" s="13"/>
      <c r="I17" s="13"/>
    </row>
    <row r="18" spans="1:9" x14ac:dyDescent="0.25">
      <c r="A18" s="3">
        <v>800</v>
      </c>
      <c r="B18" s="4">
        <f>'Caracteristica externa'!$B$3*('Caracteristica externa'!$B$2*A18/'Caracteristica externa'!$D$3+'Caracteristica externa'!$D$2*((A18/'Caracteristica externa'!$D$3)^2)+'Caracteristica externa'!$F$2*((A18/'Caracteristica externa'!$D$3)^3))</f>
        <v>78.902299762949994</v>
      </c>
      <c r="C18" s="4">
        <f>'Caracteristica externa'!$F$3*('Caracteristica externa'!$B$2+'Caracteristica externa'!$D$2*A18/'Caracteristica externa'!$D$3+'Caracteristica externa'!$F$2*((A18/'Caracteristica externa'!$D$3)^2))</f>
        <v>941.82682714439829</v>
      </c>
      <c r="D18" s="13">
        <f>PI()*'Rapoarte de transmitere'!$B$14*'Diagrama de viteze'!A18/30/'Rapoarte de transmitere'!$B$7/'Rapoarte de transmitere'!$C$23</f>
        <v>1.32728500795647</v>
      </c>
      <c r="E18" s="13"/>
      <c r="F18" s="13"/>
      <c r="G18" s="13"/>
      <c r="H18" s="13"/>
      <c r="I18" s="13"/>
    </row>
    <row r="19" spans="1:9" x14ac:dyDescent="0.25">
      <c r="A19" s="3">
        <v>900</v>
      </c>
      <c r="B19" s="4">
        <f>'Caracteristica externa'!$B$3*('Caracteristica externa'!$B$2*A19/'Caracteristica externa'!$D$3+'Caracteristica externa'!$D$2*((A19/'Caracteristica externa'!$D$3)^2)+'Caracteristica externa'!$F$2*((A19/'Caracteristica externa'!$D$3)^3))</f>
        <v>89.630675025513909</v>
      </c>
      <c r="C19" s="4">
        <f>'Caracteristica externa'!$F$3*('Caracteristica externa'!$B$2+'Caracteristica externa'!$D$2*A19/'Caracteristica externa'!$D$3+'Caracteristica externa'!$F$2*((A19/'Caracteristica externa'!$D$3)^2))</f>
        <v>951.01099886492216</v>
      </c>
      <c r="D19" s="13">
        <f>PI()*'Rapoarte de transmitere'!$B$14*'Diagrama de viteze'!A19/30/'Rapoarte de transmitere'!$B$7/'Rapoarte de transmitere'!$C$23</f>
        <v>1.4931956339510288</v>
      </c>
      <c r="E19" s="13"/>
      <c r="F19" s="13"/>
      <c r="G19" s="13"/>
      <c r="H19" s="13"/>
      <c r="I19" s="13"/>
    </row>
    <row r="20" spans="1:9" x14ac:dyDescent="0.25">
      <c r="A20" s="3">
        <v>1000</v>
      </c>
      <c r="B20" s="4">
        <f>'Caracteristica externa'!$B$3*('Caracteristica externa'!$B$2*A20/'Caracteristica externa'!$D$3+'Caracteristica externa'!$D$2*((A20/'Caracteristica externa'!$D$3)^2)+'Caracteristica externa'!$F$2*((A20/'Caracteristica externa'!$D$3)^3))</f>
        <v>100.38413978930089</v>
      </c>
      <c r="C20" s="4">
        <f>'Caracteristica externa'!$F$3*('Caracteristica externa'!$B$2+'Caracteristica externa'!$D$2*A20/'Caracteristica externa'!$D$3+'Caracteristica externa'!$F$2*((A20/'Caracteristica externa'!$D$3)^2))</f>
        <v>958.59792332970312</v>
      </c>
      <c r="D20" s="13">
        <f>PI()*'Rapoarte de transmitere'!$B$14*'Diagrama de viteze'!A20/30/'Rapoarte de transmitere'!$B$7/'Rapoarte de transmitere'!$C$23</f>
        <v>1.6591062599455875</v>
      </c>
      <c r="E20" s="13"/>
      <c r="F20" s="13"/>
      <c r="G20" s="13"/>
      <c r="H20" s="13"/>
      <c r="I20" s="13"/>
    </row>
    <row r="21" spans="1:9" x14ac:dyDescent="0.25">
      <c r="A21" s="3">
        <v>1100</v>
      </c>
      <c r="B21" s="4">
        <f>'Caracteristica externa'!$B$3*('Caracteristica externa'!$B$2*A21/'Caracteristica externa'!$D$3+'Caracteristica externa'!$D$2*((A21/'Caracteristica externa'!$D$3)^2)+'Caracteristica externa'!$F$2*((A21/'Caracteristica externa'!$D$3)^3))</f>
        <v>111.11251505186482</v>
      </c>
      <c r="C21" s="4">
        <f>'Caracteristica externa'!$F$3*('Caracteristica externa'!$B$2+'Caracteristica externa'!$D$2*A21/'Caracteristica externa'!$D$3+'Caracteristica externa'!$F$2*((A21/'Caracteristica externa'!$D$3)^2))</f>
        <v>964.5876005387405</v>
      </c>
      <c r="D21" s="13">
        <f>PI()*'Rapoarte de transmitere'!$B$14*'Diagrama de viteze'!A21/30/'Rapoarte de transmitere'!$B$7/'Rapoarte de transmitere'!$C$23</f>
        <v>1.8250168859401463</v>
      </c>
      <c r="E21" s="13"/>
      <c r="F21" s="13"/>
      <c r="G21" s="13"/>
      <c r="H21" s="13"/>
      <c r="I21" s="13"/>
    </row>
    <row r="22" spans="1:9" x14ac:dyDescent="0.25">
      <c r="A22" s="3">
        <v>1200</v>
      </c>
      <c r="B22" s="4">
        <f>'Caracteristica externa'!$B$3*('Caracteristica externa'!$B$2*A22/'Caracteristica externa'!$D$3+'Caracteristica externa'!$D$2*((A22/'Caracteristica externa'!$D$3)^2)+'Caracteristica externa'!$F$2*((A22/'Caracteristica externa'!$D$3)^3))</f>
        <v>121.76562181075957</v>
      </c>
      <c r="C22" s="4">
        <f>'Caracteristica externa'!$F$3*('Caracteristica externa'!$B$2+'Caracteristica externa'!$D$2*A22/'Caracteristica externa'!$D$3+'Caracteristica externa'!$F$2*((A22/'Caracteristica externa'!$D$3)^2))</f>
        <v>968.98003049203476</v>
      </c>
      <c r="D22" s="13">
        <f>PI()*'Rapoarte de transmitere'!$B$14*'Diagrama de viteze'!A22/30/'Rapoarte de transmitere'!$B$7/'Rapoarte de transmitere'!$C$23</f>
        <v>1.9909275119347054</v>
      </c>
      <c r="E22" s="13"/>
      <c r="F22" s="13"/>
      <c r="G22" s="13"/>
      <c r="H22" s="13"/>
      <c r="I22" s="13"/>
    </row>
    <row r="23" spans="1:9" x14ac:dyDescent="0.25">
      <c r="A23" s="3">
        <v>1269.818</v>
      </c>
      <c r="B23" s="4">
        <f>'Caracteristica externa'!$B$3*('Caracteristica externa'!$B$2*A23/'Caracteristica externa'!$D$3+'Caracteristica externa'!$D$2*((A23/'Caracteristica externa'!$D$3)^2)+'Caracteristica externa'!$F$2*((A23/'Caracteristica externa'!$D$3)^3))</f>
        <v>129.13203313750793</v>
      </c>
      <c r="C23" s="4">
        <f>'Caracteristica externa'!$F$3*('Caracteristica externa'!$B$2+'Caracteristica externa'!$D$2*A23/'Caracteristica externa'!$D$3+'Caracteristica externa'!$F$2*((A23/'Caracteristica externa'!$D$3)^2))</f>
        <v>971.0998608623039</v>
      </c>
      <c r="D23" s="13">
        <f>PI()*'Rapoarte de transmitere'!$B$14*'Diagrama de viteze'!A23/30/'Rapoarte de transmitere'!$B$7/'Rapoarte de transmitere'!$C$23</f>
        <v>2.1067629927915865</v>
      </c>
      <c r="E23" s="13"/>
      <c r="F23" s="13"/>
      <c r="G23" s="13"/>
      <c r="H23" s="13"/>
      <c r="I23" s="13"/>
    </row>
    <row r="24" spans="1:9" x14ac:dyDescent="0.25">
      <c r="A24" s="3">
        <v>1300</v>
      </c>
      <c r="B24" s="4">
        <f>'Caracteristica externa'!$B$3*('Caracteristica externa'!$B$2*A24/'Caracteristica externa'!$D$3+'Caracteristica externa'!$D$2*((A24/'Caracteristica externa'!$D$3)^2)+'Caracteristica externa'!$F$2*((A24/'Caracteristica externa'!$D$3)^3))</f>
        <v>132.29328106353913</v>
      </c>
      <c r="C24" s="4">
        <f>'Caracteristica externa'!$F$3*('Caracteristica externa'!$B$2+'Caracteristica externa'!$D$2*A24/'Caracteristica externa'!$D$3+'Caracteristica externa'!$F$2*((A24/'Caracteristica externa'!$D$3)^2))</f>
        <v>971.77521318958543</v>
      </c>
      <c r="D24" s="13">
        <f>PI()*'Rapoarte de transmitere'!$B$14*'Diagrama de viteze'!A24/30/'Rapoarte de transmitere'!$B$7/'Rapoarte de transmitere'!$C$23</f>
        <v>2.1568381379292636</v>
      </c>
      <c r="E24" s="13"/>
      <c r="F24" s="13"/>
      <c r="G24" s="13"/>
      <c r="H24" s="13"/>
      <c r="I24" s="13"/>
    </row>
    <row r="25" spans="1:9" x14ac:dyDescent="0.25">
      <c r="A25" s="23">
        <v>1400</v>
      </c>
      <c r="B25" s="24">
        <f>'Caracteristica externa'!$B$3*('Caracteristica externa'!$B$2*A25/'Caracteristica externa'!$D$3+'Caracteristica externa'!$D$2*((A25/'Caracteristica externa'!$D$3)^2)+'Caracteristica externa'!$F$2*((A25/'Caracteristica externa'!$D$3)^3))</f>
        <v>142.6453138077573</v>
      </c>
      <c r="C25" s="24">
        <f>'Caracteristica externa'!$F$3*('Caracteristica externa'!$B$2+'Caracteristica externa'!$D$2*A25/'Caracteristica externa'!$D$3+'Caracteristica externa'!$F$2*((A25/'Caracteristica externa'!$D$3)^2))</f>
        <v>972.97314863139309</v>
      </c>
      <c r="D25" s="32">
        <f>PI()*'Rapoarte de transmitere'!$B$14*'Diagrama de viteze'!A25/30/'Rapoarte de transmitere'!$B$7/'Rapoarte de transmitere'!$C$23</f>
        <v>2.3227487639238227</v>
      </c>
      <c r="E25" s="32"/>
      <c r="F25" s="32"/>
      <c r="G25" s="32"/>
      <c r="H25" s="32"/>
      <c r="I25" s="32"/>
    </row>
    <row r="26" spans="1:9" x14ac:dyDescent="0.25">
      <c r="A26" s="3">
        <v>1500</v>
      </c>
      <c r="B26" s="4">
        <f>'Caracteristica externa'!$B$3*('Caracteristica externa'!$B$2*A26/'Caracteristica externa'!$D$3+'Caracteristica externa'!$D$2*((A26/'Caracteristica externa'!$D$3)^2)+'Caracteristica externa'!$F$2*((A26/'Caracteristica externa'!$D$3)^3))</f>
        <v>152.77154104096803</v>
      </c>
      <c r="C26" s="4">
        <f>'Caracteristica externa'!$F$3*('Caracteristica externa'!$B$2+'Caracteristica externa'!$D$2*A26/'Caracteristica externa'!$D$3+'Caracteristica externa'!$F$2*((A26/'Caracteristica externa'!$D$3)^2))</f>
        <v>972.57383681745728</v>
      </c>
      <c r="D26" s="13">
        <f>PI()*'Rapoarte de transmitere'!$B$14*'Diagrama de viteze'!A26/30/'Rapoarte de transmitere'!$B$7/'Rapoarte de transmitere'!$C$23</f>
        <v>2.4886593899183813</v>
      </c>
      <c r="E26" s="13"/>
      <c r="F26" s="13"/>
      <c r="G26" s="13"/>
      <c r="H26" s="13"/>
      <c r="I26" s="13"/>
    </row>
    <row r="27" spans="1:9" x14ac:dyDescent="0.25">
      <c r="A27" s="3">
        <v>1600</v>
      </c>
      <c r="B27" s="4">
        <f>'Caracteristica externa'!$B$3*('Caracteristica externa'!$B$2*A27/'Caracteristica externa'!$D$3+'Caracteristica externa'!$D$2*((A27/'Caracteristica externa'!$D$3)^2)+'Caracteristica externa'!$F$2*((A27/'Caracteristica externa'!$D$3)^3))</f>
        <v>162.62178376072529</v>
      </c>
      <c r="C27" s="4">
        <f>'Caracteristica externa'!$F$3*('Caracteristica externa'!$B$2+'Caracteristica externa'!$D$2*A27/'Caracteristica externa'!$D$3+'Caracteristica externa'!$F$2*((A27/'Caracteristica externa'!$D$3)^2))</f>
        <v>970.57727774777788</v>
      </c>
      <c r="D27" s="13">
        <f>PI()*'Rapoarte de transmitere'!$B$14*'Diagrama de viteze'!A27/30/'Rapoarte de transmitere'!$B$7/'Rapoarte de transmitere'!$C$23</f>
        <v>2.65457001591294</v>
      </c>
      <c r="E27" s="13"/>
      <c r="F27" s="13"/>
      <c r="G27" s="13"/>
      <c r="H27" s="13"/>
      <c r="I27" s="13"/>
    </row>
    <row r="28" spans="1:9" x14ac:dyDescent="0.25">
      <c r="A28" s="3">
        <v>1700</v>
      </c>
      <c r="B28" s="4">
        <f>'Caracteristica externa'!$B$3*('Caracteristica externa'!$B$2*A28/'Caracteristica externa'!$D$3+'Caracteristica externa'!$D$2*((A28/'Caracteristica externa'!$D$3)^2)+'Caracteristica externa'!$F$2*((A28/'Caracteristica externa'!$D$3)^3))</f>
        <v>172.14586296458288</v>
      </c>
      <c r="C28" s="4">
        <f>'Caracteristica externa'!$F$3*('Caracteristica externa'!$B$2+'Caracteristica externa'!$D$2*A28/'Caracteristica externa'!$D$3+'Caracteristica externa'!$F$2*((A28/'Caracteristica externa'!$D$3)^2))</f>
        <v>966.98347142235559</v>
      </c>
      <c r="D28" s="13">
        <f>PI()*'Rapoarte de transmitere'!$B$14*'Diagrama de viteze'!A28/30/'Rapoarte de transmitere'!$B$7/'Rapoarte de transmitere'!$C$23</f>
        <v>2.8204806419074986</v>
      </c>
      <c r="E28" s="13"/>
      <c r="F28" s="13"/>
      <c r="G28" s="13"/>
      <c r="H28" s="13"/>
      <c r="I28" s="13"/>
    </row>
    <row r="29" spans="1:9" x14ac:dyDescent="0.25">
      <c r="A29" s="3">
        <v>1800</v>
      </c>
      <c r="B29" s="4">
        <f>'Caracteristica externa'!$B$3*('Caracteristica externa'!$B$2*A29/'Caracteristica externa'!$D$3+'Caracteristica externa'!$D$2*((A29/'Caracteristica externa'!$D$3)^2)+'Caracteristica externa'!$F$2*((A29/'Caracteristica externa'!$D$3)^3))</f>
        <v>181.29359965009476</v>
      </c>
      <c r="C29" s="4">
        <f>'Caracteristica externa'!$F$3*('Caracteristica externa'!$B$2+'Caracteristica externa'!$D$2*A29/'Caracteristica externa'!$D$3+'Caracteristica externa'!$F$2*((A29/'Caracteristica externa'!$D$3)^2))</f>
        <v>961.7924178411896</v>
      </c>
      <c r="D29" s="13">
        <f>PI()*'Rapoarte de transmitere'!$B$14*'Diagrama de viteze'!A29/30/'Rapoarte de transmitere'!$B$7/'Rapoarte de transmitere'!$C$23</f>
        <v>2.9863912679020577</v>
      </c>
      <c r="E29" s="13"/>
      <c r="F29" s="13"/>
      <c r="G29" s="13"/>
      <c r="H29" s="13"/>
      <c r="I29" s="13"/>
    </row>
    <row r="30" spans="1:9" x14ac:dyDescent="0.25">
      <c r="A30" s="3">
        <v>1900</v>
      </c>
      <c r="B30" s="4">
        <f>'Caracteristica externa'!$B$3*('Caracteristica externa'!$B$2*A30/'Caracteristica externa'!$D$3+'Caracteristica externa'!$D$2*((A30/'Caracteristica externa'!$D$3)^2)+'Caracteristica externa'!$F$2*((A30/'Caracteristica externa'!$D$3)^3))</f>
        <v>190.01481481481483</v>
      </c>
      <c r="C30" s="4">
        <f>'Caracteristica externa'!$F$3*('Caracteristica externa'!$B$2+'Caracteristica externa'!$D$2*A30/'Caracteristica externa'!$D$3+'Caracteristica externa'!$F$2*((A30/'Caracteristica externa'!$D$3)^2))</f>
        <v>955.0041170042806</v>
      </c>
      <c r="D30" s="13">
        <f>PI()*'Rapoarte de transmitere'!$B$14*'Diagrama de viteze'!A30/30/'Rapoarte de transmitere'!$B$7/'Rapoarte de transmitere'!$C$23</f>
        <v>3.1523018938966163</v>
      </c>
      <c r="E30" s="13"/>
      <c r="F30" s="13"/>
      <c r="G30" s="13"/>
      <c r="H30" s="13"/>
      <c r="I30" s="13"/>
    </row>
    <row r="31" spans="1:9" x14ac:dyDescent="0.25">
      <c r="A31" s="3">
        <v>2000</v>
      </c>
      <c r="B31" s="4">
        <f>'Caracteristica externa'!$B$3*('Caracteristica externa'!$B$2*A31/'Caracteristica externa'!$D$3+'Caracteristica externa'!$D$2*((A31/'Caracteristica externa'!$D$3)^2)+'Caracteristica externa'!$F$2*((A31/'Caracteristica externa'!$D$3)^3))</f>
        <v>198.25932945629691</v>
      </c>
      <c r="C31" s="4">
        <f>'Caracteristica externa'!$F$3*('Caracteristica externa'!$B$2+'Caracteristica externa'!$D$2*A31/'Caracteristica externa'!$D$3+'Caracteristica externa'!$F$2*((A31/'Caracteristica externa'!$D$3)^2))</f>
        <v>946.61856891162836</v>
      </c>
      <c r="D31" s="13">
        <f>PI()*'Rapoarte de transmitere'!$B$14*'Diagrama de viteze'!A31/30/'Rapoarte de transmitere'!$B$7/'Rapoarte de transmitere'!$C$23</f>
        <v>3.3182125198911749</v>
      </c>
      <c r="E31" s="13"/>
      <c r="F31" s="13"/>
      <c r="G31" s="13"/>
      <c r="H31" s="13"/>
      <c r="I31" s="13"/>
    </row>
    <row r="32" spans="1:9" x14ac:dyDescent="0.25">
      <c r="A32" s="26">
        <f>A43/'Rapoarte de transmitere'!C25</f>
        <v>2092.4165905345872</v>
      </c>
      <c r="B32" s="27">
        <f>'Caracteristica externa'!$B$3*('Caracteristica externa'!$B$2*A32/'Caracteristica externa'!$D$3+'Caracteristica externa'!$D$2*((A32/'Caracteristica externa'!$D$3)^2)+'Caracteristica externa'!$F$2*((A32/'Caracteristica externa'!$D$3)^3))</f>
        <v>205.41129521282355</v>
      </c>
      <c r="C32" s="27">
        <f>'Caracteristica externa'!$F$3*('Caracteristica externa'!$B$2+'Caracteristica externa'!$D$2*A32/'Caracteristica externa'!$D$3+'Caracteristica externa'!$F$2*((A32/'Caracteristica externa'!$D$3)^2))</f>
        <v>937.44877997770936</v>
      </c>
      <c r="D32" s="28">
        <f>PI()*'Rapoarte de transmitere'!$B$14*'Diagrama de viteze'!A32/30/'Rapoarte de transmitere'!$B$7/'Rapoarte de transmitere'!$C$23</f>
        <v>3.4715414637699369</v>
      </c>
      <c r="E32" s="28">
        <f>PI()*'Rapoarte de transmitere'!$B$14*'Diagrama de viteze'!$A32/30/'Rapoarte de transmitere'!$B$7/'Rapoarte de transmitere'!$B$27</f>
        <v>5.2012981249294175</v>
      </c>
      <c r="F32" s="28">
        <f>PI()*'Rapoarte de transmitere'!$B$14*'Diagrama de viteze'!$A32/30/'Rapoarte de transmitere'!$B$7/'Rapoarte de transmitere'!$B$28</f>
        <v>7.7929365000340205</v>
      </c>
      <c r="G32" s="28">
        <f>PI()*'Rapoarte de transmitere'!$B$14*'Diagrama de viteze'!$A32/30/'Rapoarte de transmitere'!$B$7/'Rapoarte de transmitere'!$B$29</f>
        <v>11.67590432905374</v>
      </c>
      <c r="H32" s="28">
        <f>PI()*'Rapoarte de transmitere'!$B$14*'Diagrama de viteze'!$A32/30/'Rapoarte de transmitere'!$B$7/'Rapoarte de transmitere'!$B$30</f>
        <v>17.493629250106263</v>
      </c>
      <c r="I32" s="28">
        <f>PI()*'Rapoarte de transmitere'!$B$14*'Diagrama de viteze'!$A32/30/'Rapoarte de transmitere'!$B$7/'Rapoarte de transmitere'!$B$31</f>
        <v>26.210138051463044</v>
      </c>
    </row>
    <row r="33" spans="1:9" x14ac:dyDescent="0.25">
      <c r="A33" s="3">
        <v>2100</v>
      </c>
      <c r="B33" s="4">
        <f>'Caracteristica externa'!$B$3*('Caracteristica externa'!$B$2*A33/'Caracteristica externa'!$D$3+'Caracteristica externa'!$D$2*((A33/'Caracteristica externa'!$D$3)^2)+'Caracteristica externa'!$F$2*((A33/'Caracteristica externa'!$D$3)^3))</f>
        <v>205.97696457209506</v>
      </c>
      <c r="C33" s="4">
        <f>'Caracteristica externa'!$F$3*('Caracteristica externa'!$B$2+'Caracteristica externa'!$D$2*A33/'Caracteristica externa'!$D$3+'Caracteristica externa'!$F$2*((A33/'Caracteristica externa'!$D$3)^2))</f>
        <v>936.63577356323253</v>
      </c>
      <c r="D33" s="13">
        <f>PI()*'Rapoarte de transmitere'!$B$14*'Diagrama de viteze'!A33/30/'Rapoarte de transmitere'!$B$7/'Rapoarte de transmitere'!$C$23</f>
        <v>3.484123145885734</v>
      </c>
      <c r="E33" s="13">
        <f>PI()*'Rapoarte de transmitere'!$B$14*'Diagrama de viteze'!$A33/30/'Rapoarte de transmitere'!$B$7/'Rapoarte de transmitere'!$B$27</f>
        <v>5.2201488516974299</v>
      </c>
      <c r="F33" s="13">
        <f>PI()*'Rapoarte de transmitere'!$B$14*'Diagrama de viteze'!$A33/30/'Rapoarte de transmitere'!$B$7/'Rapoarte de transmitere'!$B$28</f>
        <v>7.8211799333374339</v>
      </c>
      <c r="G33" s="13">
        <f>PI()*'Rapoarte de transmitere'!$B$14*'Diagrama de viteze'!$A33/30/'Rapoarte de transmitere'!$B$7/'Rapoarte de transmitere'!$B$29</f>
        <v>11.718220550310416</v>
      </c>
      <c r="H33" s="13">
        <f>PI()*'Rapoarte de transmitere'!$B$14*'Diagrama de viteze'!$A33/30/'Rapoarte de transmitere'!$B$7/'Rapoarte de transmitere'!$B$30</f>
        <v>17.557030273707298</v>
      </c>
      <c r="I33" s="13">
        <f>PI()*'Rapoarte de transmitere'!$B$14*'Diagrama de viteze'!$A33/30/'Rapoarte de transmitere'!$B$7/'Rapoarte de transmitere'!$B$31</f>
        <v>26.305129751437313</v>
      </c>
    </row>
    <row r="34" spans="1:9" x14ac:dyDescent="0.25">
      <c r="A34" s="3">
        <v>2200</v>
      </c>
      <c r="B34" s="4">
        <f>'Caracteristica externa'!$B$3*('Caracteristica externa'!$B$2*A34/'Caracteristica externa'!$D$3+'Caracteristica externa'!$D$2*((A34/'Caracteristica externa'!$D$3)^2)+'Caracteristica externa'!$F$2*((A34/'Caracteristica externa'!$D$3)^3))</f>
        <v>213.11754115976302</v>
      </c>
      <c r="C34" s="4">
        <f>'Caracteristica externa'!$F$3*('Caracteristica externa'!$B$2+'Caracteristica externa'!$D$2*A34/'Caracteristica externa'!$D$3+'Caracteristica externa'!$F$2*((A34/'Caracteristica externa'!$D$3)^2))</f>
        <v>925.05573095909313</v>
      </c>
      <c r="D34" s="13">
        <f>PI()*'Rapoarte de transmitere'!$B$14*'Diagrama de viteze'!A34/30/'Rapoarte de transmitere'!$B$7/'Rapoarte de transmitere'!$C$23</f>
        <v>3.6500337718802927</v>
      </c>
      <c r="E34" s="13">
        <f>PI()*'Rapoarte de transmitere'!$B$14*'Diagrama de viteze'!$A34/30/'Rapoarte de transmitere'!$B$7/'Rapoarte de transmitere'!$B$27</f>
        <v>5.4687273684449265</v>
      </c>
      <c r="F34" s="13">
        <f>PI()*'Rapoarte de transmitere'!$B$14*'Diagrama de viteze'!$A34/30/'Rapoarte de transmitere'!$B$7/'Rapoarte de transmitere'!$B$28</f>
        <v>8.1936170730201692</v>
      </c>
      <c r="G34" s="13">
        <f>PI()*'Rapoarte de transmitere'!$B$14*'Diagrama de viteze'!$A34/30/'Rapoarte de transmitere'!$B$7/'Rapoarte de transmitere'!$B$29</f>
        <v>12.27623105270615</v>
      </c>
      <c r="H34" s="13">
        <f>PI()*'Rapoarte de transmitere'!$B$14*'Diagrama de viteze'!$A34/30/'Rapoarte de transmitere'!$B$7/'Rapoarte de transmitere'!$B$30</f>
        <v>18.393079334360028</v>
      </c>
      <c r="I34" s="13">
        <f>PI()*'Rapoarte de transmitere'!$B$14*'Diagrama de viteze'!$A34/30/'Rapoarte de transmitere'!$B$7/'Rapoarte de transmitere'!$B$31</f>
        <v>27.557754977696231</v>
      </c>
    </row>
    <row r="35" spans="1:9" x14ac:dyDescent="0.25">
      <c r="A35" s="3">
        <v>2300</v>
      </c>
      <c r="B35" s="4">
        <f>'Caracteristica externa'!$B$3*('Caracteristica externa'!$B$2*A35/'Caracteristica externa'!$D$3+'Caracteristica externa'!$D$2*((A35/'Caracteristica externa'!$D$3)^2)+'Caracteristica externa'!$F$2*((A35/'Caracteristica externa'!$D$3)^3))</f>
        <v>219.63088021685485</v>
      </c>
      <c r="C35" s="4">
        <f>'Caracteristica externa'!$F$3*('Caracteristica externa'!$B$2+'Caracteristica externa'!$D$2*A35/'Caracteristica externa'!$D$3+'Caracteristica externa'!$F$2*((A35/'Caracteristica externa'!$D$3)^2))</f>
        <v>911.87844109921093</v>
      </c>
      <c r="D35" s="13">
        <f>PI()*'Rapoarte de transmitere'!$B$14*'Diagrama de viteze'!A35/30/'Rapoarte de transmitere'!$B$7/'Rapoarte de transmitere'!$C$23</f>
        <v>3.8159443978748513</v>
      </c>
      <c r="E35" s="13">
        <f>PI()*'Rapoarte de transmitere'!$B$14*'Diagrama de viteze'!$A35/30/'Rapoarte de transmitere'!$B$7/'Rapoarte de transmitere'!$B$27</f>
        <v>5.717305885192423</v>
      </c>
      <c r="F35" s="13">
        <f>PI()*'Rapoarte de transmitere'!$B$14*'Diagrama de viteze'!$A35/30/'Rapoarte de transmitere'!$B$7/'Rapoarte de transmitere'!$B$28</f>
        <v>8.5660542127029036</v>
      </c>
      <c r="G35" s="13">
        <f>PI()*'Rapoarte de transmitere'!$B$14*'Diagrama de viteze'!$A35/30/'Rapoarte de transmitere'!$B$7/'Rapoarte de transmitere'!$B$29</f>
        <v>12.834241555101883</v>
      </c>
      <c r="H35" s="13">
        <f>PI()*'Rapoarte de transmitere'!$B$14*'Diagrama de viteze'!$A35/30/'Rapoarte de transmitere'!$B$7/'Rapoarte de transmitere'!$B$30</f>
        <v>19.229128395012754</v>
      </c>
      <c r="I35" s="13">
        <f>PI()*'Rapoarte de transmitere'!$B$14*'Diagrama de viteze'!$A35/30/'Rapoarte de transmitere'!$B$7/'Rapoarte de transmitere'!$B$31</f>
        <v>28.810380203955148</v>
      </c>
    </row>
    <row r="36" spans="1:9" x14ac:dyDescent="0.25">
      <c r="A36" s="3">
        <v>2400</v>
      </c>
      <c r="B36" s="4">
        <f>'Caracteristica externa'!$B$3*('Caracteristica externa'!$B$2*A36/'Caracteristica externa'!$D$3+'Caracteristica externa'!$D$2*((A36/'Caracteristica externa'!$D$3)^2)+'Caracteristica externa'!$F$2*((A36/'Caracteristica externa'!$D$3)^3))</f>
        <v>225.46680274092432</v>
      </c>
      <c r="C36" s="4">
        <f>'Caracteristica externa'!$F$3*('Caracteristica externa'!$B$2+'Caracteristica externa'!$D$2*A36/'Caracteristica externa'!$D$3+'Caracteristica externa'!$F$2*((A36/'Caracteristica externa'!$D$3)^2))</f>
        <v>897.10390398358527</v>
      </c>
      <c r="D36" s="13">
        <f>PI()*'Rapoarte de transmitere'!$B$14*'Diagrama de viteze'!A36/30/'Rapoarte de transmitere'!$B$7/'Rapoarte de transmitere'!$C$23</f>
        <v>3.9818550238694108</v>
      </c>
      <c r="E36" s="13">
        <f>PI()*'Rapoarte de transmitere'!$B$14*'Diagrama de viteze'!$A36/30/'Rapoarte de transmitere'!$B$7/'Rapoarte de transmitere'!$B$27</f>
        <v>5.9658844019399204</v>
      </c>
      <c r="F36" s="13">
        <f>PI()*'Rapoarte de transmitere'!$B$14*'Diagrama de viteze'!$A36/30/'Rapoarte de transmitere'!$B$7/'Rapoarte de transmitere'!$B$28</f>
        <v>8.9384913523856397</v>
      </c>
      <c r="G36" s="13">
        <f>PI()*'Rapoarte de transmitere'!$B$14*'Diagrama de viteze'!$A36/30/'Rapoarte de transmitere'!$B$7/'Rapoarte de transmitere'!$B$29</f>
        <v>13.39225205749762</v>
      </c>
      <c r="H36" s="13">
        <f>PI()*'Rapoarte de transmitere'!$B$14*'Diagrama de viteze'!$A36/30/'Rapoarte de transmitere'!$B$7/'Rapoarte de transmitere'!$B$30</f>
        <v>20.065177455665488</v>
      </c>
      <c r="I36" s="13">
        <f>PI()*'Rapoarte de transmitere'!$B$14*'Diagrama de viteze'!$A36/30/'Rapoarte de transmitere'!$B$7/'Rapoarte de transmitere'!$B$31</f>
        <v>30.063005430214076</v>
      </c>
    </row>
    <row r="37" spans="1:9" x14ac:dyDescent="0.25">
      <c r="A37" s="3">
        <v>2500</v>
      </c>
      <c r="B37" s="4">
        <f>'Caracteristica externa'!$B$3*('Caracteristica externa'!$B$2*A37/'Caracteristica externa'!$D$3+'Caracteristica externa'!$D$2*((A37/'Caracteristica externa'!$D$3)^2)+'Caracteristica externa'!$F$2*((A37/'Caracteristica externa'!$D$3)^3))</f>
        <v>230.5751297295254</v>
      </c>
      <c r="C37" s="4">
        <f>'Caracteristica externa'!$F$3*('Caracteristica externa'!$B$2+'Caracteristica externa'!$D$2*A37/'Caracteristica externa'!$D$3+'Caracteristica externa'!$F$2*((A37/'Caracteristica externa'!$D$3)^2))</f>
        <v>880.73211961221625</v>
      </c>
      <c r="D37" s="13">
        <f>PI()*'Rapoarte de transmitere'!$B$14*'Diagrama de viteze'!A37/30/'Rapoarte de transmitere'!$B$7/'Rapoarte de transmitere'!$C$23</f>
        <v>4.1477656498639695</v>
      </c>
      <c r="E37" s="13">
        <f>PI()*'Rapoarte de transmitere'!$B$14*'Diagrama de viteze'!$A37/30/'Rapoarte de transmitere'!$B$7/'Rapoarte de transmitere'!$B$27</f>
        <v>6.2144629186874161</v>
      </c>
      <c r="F37" s="13">
        <f>PI()*'Rapoarte de transmitere'!$B$14*'Diagrama de viteze'!$A37/30/'Rapoarte de transmitere'!$B$7/'Rapoarte de transmitere'!$B$28</f>
        <v>9.3109284920683741</v>
      </c>
      <c r="G37" s="13">
        <f>PI()*'Rapoarte de transmitere'!$B$14*'Diagrama de viteze'!$A37/30/'Rapoarte de transmitere'!$B$7/'Rapoarte de transmitere'!$B$29</f>
        <v>13.950262559893352</v>
      </c>
      <c r="H37" s="13">
        <f>PI()*'Rapoarte de transmitere'!$B$14*'Diagrama de viteze'!$A37/30/'Rapoarte de transmitere'!$B$7/'Rapoarte de transmitere'!$B$30</f>
        <v>20.901226516318211</v>
      </c>
      <c r="I37" s="13">
        <f>PI()*'Rapoarte de transmitere'!$B$14*'Diagrama de viteze'!$A37/30/'Rapoarte de transmitere'!$B$7/'Rapoarte de transmitere'!$B$31</f>
        <v>31.31563065647299</v>
      </c>
    </row>
    <row r="38" spans="1:9" x14ac:dyDescent="0.25">
      <c r="A38" s="3">
        <v>2600</v>
      </c>
      <c r="B38" s="4">
        <f>'Caracteristica externa'!$B$3*('Caracteristica externa'!$B$2*A38/'Caracteristica externa'!$D$3+'Caracteristica externa'!$D$2*((A38/'Caracteristica externa'!$D$3)^2)+'Caracteristica externa'!$F$2*((A38/'Caracteristica externa'!$D$3)^3))</f>
        <v>234.90568218021198</v>
      </c>
      <c r="C38" s="4">
        <f>'Caracteristica externa'!$F$3*('Caracteristica externa'!$B$2+'Caracteristica externa'!$D$2*A38/'Caracteristica externa'!$D$3+'Caracteristica externa'!$F$2*((A38/'Caracteristica externa'!$D$3)^2))</f>
        <v>862.76308798510388</v>
      </c>
      <c r="D38" s="13">
        <f>PI()*'Rapoarte de transmitere'!$B$14*'Diagrama de viteze'!A38/30/'Rapoarte de transmitere'!$B$7/'Rapoarte de transmitere'!$C$23</f>
        <v>4.3136762758585272</v>
      </c>
      <c r="E38" s="13">
        <f>PI()*'Rapoarte de transmitere'!$B$14*'Diagrama de viteze'!$A38/30/'Rapoarte de transmitere'!$B$7/'Rapoarte de transmitere'!$B$27</f>
        <v>6.4630414354349126</v>
      </c>
      <c r="F38" s="13">
        <f>PI()*'Rapoarte de transmitere'!$B$14*'Diagrama de viteze'!$A38/30/'Rapoarte de transmitere'!$B$7/'Rapoarte de transmitere'!$B$28</f>
        <v>9.6833656317511085</v>
      </c>
      <c r="G38" s="13">
        <f>PI()*'Rapoarte de transmitere'!$B$14*'Diagrama de viteze'!$A38/30/'Rapoarte de transmitere'!$B$7/'Rapoarte de transmitere'!$B$29</f>
        <v>14.508273062289085</v>
      </c>
      <c r="H38" s="13">
        <f>PI()*'Rapoarte de transmitere'!$B$14*'Diagrama de viteze'!$A38/30/'Rapoarte de transmitere'!$B$7/'Rapoarte de transmitere'!$B$30</f>
        <v>21.737275576970941</v>
      </c>
      <c r="I38" s="13">
        <f>PI()*'Rapoarte de transmitere'!$B$14*'Diagrama de viteze'!$A38/30/'Rapoarte de transmitere'!$B$7/'Rapoarte de transmitere'!$B$31</f>
        <v>32.568255882731911</v>
      </c>
    </row>
    <row r="39" spans="1:9" x14ac:dyDescent="0.25">
      <c r="A39" s="3">
        <v>2700</v>
      </c>
      <c r="B39" s="4">
        <f>'Caracteristica externa'!$B$3*('Caracteristica externa'!$B$2*A39/'Caracteristica externa'!$D$3+'Caracteristica externa'!$D$2*((A39/'Caracteristica externa'!$D$3)^2)+'Caracteristica externa'!$F$2*((A39/'Caracteristica externa'!$D$3)^3))</f>
        <v>238.40828109053797</v>
      </c>
      <c r="C39" s="4">
        <f>'Caracteristica externa'!$F$3*('Caracteristica externa'!$B$2+'Caracteristica externa'!$D$2*A39/'Caracteristica externa'!$D$3+'Caracteristica externa'!$F$2*((A39/'Caracteristica externa'!$D$3)^2))</f>
        <v>843.19680910224793</v>
      </c>
      <c r="D39" s="13">
        <f>PI()*'Rapoarte de transmitere'!$B$14*'Diagrama de viteze'!A39/30/'Rapoarte de transmitere'!$B$7/'Rapoarte de transmitere'!$C$23</f>
        <v>4.4795869018530867</v>
      </c>
      <c r="E39" s="13">
        <f>PI()*'Rapoarte de transmitere'!$B$14*'Diagrama de viteze'!$A39/30/'Rapoarte de transmitere'!$B$7/'Rapoarte de transmitere'!$B$27</f>
        <v>6.71161995218241</v>
      </c>
      <c r="F39" s="13">
        <f>PI()*'Rapoarte de transmitere'!$B$14*'Diagrama de viteze'!$A39/30/'Rapoarte de transmitere'!$B$7/'Rapoarte de transmitere'!$B$28</f>
        <v>10.055802771433843</v>
      </c>
      <c r="G39" s="13">
        <f>PI()*'Rapoarte de transmitere'!$B$14*'Diagrama de viteze'!$A39/30/'Rapoarte de transmitere'!$B$7/'Rapoarte de transmitere'!$B$29</f>
        <v>15.06628356468482</v>
      </c>
      <c r="H39" s="13">
        <f>PI()*'Rapoarte de transmitere'!$B$14*'Diagrama de viteze'!$A39/30/'Rapoarte de transmitere'!$B$7/'Rapoarte de transmitere'!$B$30</f>
        <v>22.573324637623671</v>
      </c>
      <c r="I39" s="13">
        <f>PI()*'Rapoarte de transmitere'!$B$14*'Diagrama de viteze'!$A39/30/'Rapoarte de transmitere'!$B$7/'Rapoarte de transmitere'!$B$31</f>
        <v>33.820881108990832</v>
      </c>
    </row>
    <row r="40" spans="1:9" x14ac:dyDescent="0.25">
      <c r="A40" s="20">
        <v>2850</v>
      </c>
      <c r="B40" s="21">
        <f>'Caracteristica externa'!$B$3*('Caracteristica externa'!$B$2*A40/'Caracteristica externa'!$D$3+'Caracteristica externa'!$D$2*((A40/'Caracteristica externa'!$D$3)^2)+'Caracteristica externa'!$F$2*((A40/'Caracteristica externa'!$D$3)^3))</f>
        <v>242</v>
      </c>
      <c r="C40" s="21">
        <f>'Caracteristica externa'!$F$3*('Caracteristica externa'!$B$2+'Caracteristica externa'!$D$2*A40/'Caracteristica externa'!$D$3+'Caracteristica externa'!$F$2*((A40/'Caracteristica externa'!$D$3)^2))</f>
        <v>810.85255217344582</v>
      </c>
      <c r="D40" s="25">
        <f>PI()*'Rapoarte de transmitere'!$B$14*'Diagrama de viteze'!A40/30/'Rapoarte de transmitere'!$B$7/'Rapoarte de transmitere'!$C$23</f>
        <v>4.7284528408449251</v>
      </c>
      <c r="E40" s="25">
        <f>PI()*'Rapoarte de transmitere'!$B$14*'Diagrama de viteze'!$A40/30/'Rapoarte de transmitere'!$B$7/'Rapoarte de transmitere'!$B$27</f>
        <v>7.0844877273036548</v>
      </c>
      <c r="F40" s="25">
        <f>PI()*'Rapoarte de transmitere'!$B$14*'Diagrama de viteze'!$A40/30/'Rapoarte de transmitere'!$B$7/'Rapoarte de transmitere'!$B$28</f>
        <v>10.614458480957946</v>
      </c>
      <c r="G40" s="25">
        <f>PI()*'Rapoarte de transmitere'!$B$14*'Diagrama de viteze'!$A40/30/'Rapoarte de transmitere'!$B$7/'Rapoarte de transmitere'!$B$29</f>
        <v>15.903299318278421</v>
      </c>
      <c r="H40" s="25">
        <f>PI()*'Rapoarte de transmitere'!$B$14*'Diagrama de viteze'!$A40/30/'Rapoarte de transmitere'!$B$7/'Rapoarte de transmitere'!$B$30</f>
        <v>23.827398228602764</v>
      </c>
      <c r="I40" s="25">
        <f>PI()*'Rapoarte de transmitere'!$B$14*'Diagrama de viteze'!$A40/30/'Rapoarte de transmitere'!$B$7/'Rapoarte de transmitere'!$B$31</f>
        <v>35.69981894837921</v>
      </c>
    </row>
    <row r="41" spans="1:9" x14ac:dyDescent="0.25">
      <c r="A41" s="3">
        <v>2900</v>
      </c>
      <c r="B41" s="4">
        <f>'Caracteristica externa'!$B$3*('Caracteristica externa'!$B$2*A41/'Caracteristica externa'!$D$3+'Caracteristica externa'!$D$2*((A41/'Caracteristica externa'!$D$3)^2)+'Caracteristica externa'!$F$2*((A41/'Caracteristica externa'!$D$3)^3))</f>
        <v>242.72890228032378</v>
      </c>
      <c r="C41" s="4">
        <f>'Caracteristica externa'!$F$3*('Caracteristica externa'!$B$2+'Caracteristica externa'!$D$2*A41/'Caracteristica externa'!$D$3+'Caracteristica externa'!$F$2*((A41/'Caracteristica externa'!$D$3)^2))</f>
        <v>799.27250956930675</v>
      </c>
      <c r="D41" s="13">
        <f>PI()*'Rapoarte de transmitere'!$B$14*'Diagrama de viteze'!A41/30/'Rapoarte de transmitere'!$B$7/'Rapoarte de transmitere'!$C$23</f>
        <v>4.811408153842204</v>
      </c>
      <c r="E41" s="13">
        <f>PI()*'Rapoarte de transmitere'!$B$14*'Diagrama de viteze'!A41/30/'Rapoarte de transmitere'!$B$7/'Rapoarte de transmitere'!$C$23</f>
        <v>4.811408153842204</v>
      </c>
      <c r="F41" s="13">
        <f>PI()*'Rapoarte de transmitere'!$B$14*'Diagrama de viteze'!A41/30/'Rapoarte de transmitere'!$B$7/'Rapoarte de transmitere'!$C$23</f>
        <v>4.811408153842204</v>
      </c>
      <c r="G41" s="13">
        <f>PI()*'Rapoarte de transmitere'!$B$14*'Diagrama de viteze'!D41/30/'Rapoarte de transmitere'!$B$7/'Rapoarte de transmitere'!$C$23</f>
        <v>7.9826373871928428E-3</v>
      </c>
      <c r="H41" s="13">
        <f>PI()*'Rapoarte de transmitere'!$B$14*'Diagrama de viteze'!E41/30/'Rapoarte de transmitere'!$B$7/'Rapoarte de transmitere'!$C$23</f>
        <v>7.9826373871928428E-3</v>
      </c>
      <c r="I41" s="13">
        <f>PI()*'Rapoarte de transmitere'!$B$14*'Diagrama de viteze'!F41/30/'Rapoarte de transmitere'!$B$7/'Rapoarte de transmitere'!$C$23</f>
        <v>7.9826373871928428E-3</v>
      </c>
    </row>
    <row r="42" spans="1:9" x14ac:dyDescent="0.25">
      <c r="A42" s="3">
        <v>3000</v>
      </c>
      <c r="B42" s="4">
        <f>'Caracteristica externa'!$B$3*('Caracteristica externa'!$B$2*A42/'Caracteristica externa'!$D$3+'Caracteristica externa'!$D$2*((A42/'Caracteristica externa'!$D$3)^2)+'Caracteristica externa'!$F$2*((A42/'Caracteristica externa'!$D$3)^3))</f>
        <v>243.44656655489143</v>
      </c>
      <c r="C42" s="4">
        <f>'Caracteristica externa'!$F$3*('Caracteristica externa'!$B$2+'Caracteristica externa'!$D$2*A42/'Caracteristica externa'!$D$3+'Caracteristica externa'!$F$2*((A42/'Caracteristica externa'!$D$3)^2))</f>
        <v>774.9144889192213</v>
      </c>
      <c r="D42" s="13">
        <f>PI()*'Rapoarte de transmitere'!$B$14*'Diagrama de viteze'!A42/30/'Rapoarte de transmitere'!$B$7/'Rapoarte de transmitere'!$C$23</f>
        <v>4.9773187798367626</v>
      </c>
      <c r="E42" s="13">
        <f>PI()*'Rapoarte de transmitere'!$B$14*'Diagrama de viteze'!A42/30/'Rapoarte de transmitere'!$B$7/'Rapoarte de transmitere'!$C$23</f>
        <v>4.9773187798367626</v>
      </c>
      <c r="F42" s="13">
        <f>PI()*'Rapoarte de transmitere'!$B$14*'Diagrama de viteze'!A42/30/'Rapoarte de transmitere'!$B$7/'Rapoarte de transmitere'!$C$23</f>
        <v>4.9773187798367626</v>
      </c>
      <c r="G42" s="13">
        <f>PI()*'Rapoarte de transmitere'!$B$14*'Diagrama de viteze'!D42/30/'Rapoarte de transmitere'!$B$7/'Rapoarte de transmitere'!$C$23</f>
        <v>8.2579007453719069E-3</v>
      </c>
      <c r="H42" s="13">
        <f>PI()*'Rapoarte de transmitere'!$B$14*'Diagrama de viteze'!E42/30/'Rapoarte de transmitere'!$B$7/'Rapoarte de transmitere'!$C$23</f>
        <v>8.2579007453719069E-3</v>
      </c>
      <c r="I42" s="13">
        <f>PI()*'Rapoarte de transmitere'!$B$14*'Diagrama de viteze'!F42/30/'Rapoarte de transmitere'!$B$7/'Rapoarte de transmitere'!$C$23</f>
        <v>8.2579007453719069E-3</v>
      </c>
    </row>
    <row r="43" spans="1:9" x14ac:dyDescent="0.25">
      <c r="A43" s="29">
        <f>3135</f>
        <v>3135</v>
      </c>
      <c r="B43" s="30">
        <f>'Caracteristica externa'!B30</f>
        <v>-4.0847481342784146E-13</v>
      </c>
      <c r="C43" s="30">
        <f>'Caracteristica externa'!C30</f>
        <v>-1.6338992537113658E-12</v>
      </c>
      <c r="D43" s="31">
        <f>PI()*'Rapoarte de transmitere'!$B$14*'Diagrama de viteze'!A43/30/'Rapoarte de transmitere'!$B$7/'Rapoarte de transmitere'!$C$23</f>
        <v>5.2012981249294175</v>
      </c>
      <c r="E43" s="31">
        <f>PI()*'Rapoarte de transmitere'!$B$14*'Diagrama de viteze'!A43/30/'Rapoarte de transmitere'!$B$7/'Rapoarte de transmitere'!$C$23</f>
        <v>5.2012981249294175</v>
      </c>
      <c r="F43" s="31">
        <f>PI()*'Rapoarte de transmitere'!$B$14*'Diagrama de viteze'!A43/30/'Rapoarte de transmitere'!$B$7/'Rapoarte de transmitere'!$C$23</f>
        <v>5.2012981249294175</v>
      </c>
      <c r="G43" s="31">
        <f>PI()*'Rapoarte de transmitere'!$B$14*'Diagrama de viteze'!D43/30/'Rapoarte de transmitere'!$B$7/'Rapoarte de transmitere'!$C$23</f>
        <v>8.6295062789136425E-3</v>
      </c>
      <c r="H43" s="31">
        <f>PI()*'Rapoarte de transmitere'!$B$14*'Diagrama de viteze'!E43/30/'Rapoarte de transmitere'!$B$7/'Rapoarte de transmitere'!$C$23</f>
        <v>8.6295062789136425E-3</v>
      </c>
      <c r="I43" s="33">
        <f>PI()*'Rapoarte de transmitere'!$B$14*'Diagrama de viteze'!F43/30/'Rapoarte de transmitere'!$B$7/'Rapoarte de transmitere'!$C$23</f>
        <v>8.6295062789136425E-3</v>
      </c>
    </row>
    <row r="44" spans="1:9" x14ac:dyDescent="0.25">
      <c r="A44" s="3"/>
      <c r="B44" s="4"/>
      <c r="C44" s="4"/>
      <c r="D44" s="13"/>
      <c r="E44" s="13"/>
      <c r="F44" s="13"/>
      <c r="G44" s="13"/>
      <c r="H44" s="13"/>
      <c r="I44" s="13"/>
    </row>
    <row r="45" spans="1:9" x14ac:dyDescent="0.25">
      <c r="A45" s="3"/>
      <c r="B45" s="4"/>
      <c r="C45" s="4"/>
      <c r="D45" s="13"/>
      <c r="E45" s="13"/>
      <c r="F45" s="13"/>
      <c r="G45" s="13"/>
      <c r="H45" s="13"/>
      <c r="I45" s="13"/>
    </row>
    <row r="46" spans="1:9" x14ac:dyDescent="0.25">
      <c r="A46" s="3"/>
      <c r="B46" s="4"/>
      <c r="C46" s="4"/>
      <c r="D46" s="13"/>
      <c r="E46" s="14"/>
      <c r="F46" s="14"/>
      <c r="G46" s="14"/>
      <c r="H46" s="14"/>
      <c r="I46" s="14"/>
    </row>
    <row r="47" spans="1:9" x14ac:dyDescent="0.25">
      <c r="A47" s="3"/>
      <c r="B47" s="4"/>
      <c r="C47" s="4"/>
      <c r="D47" s="13"/>
      <c r="E47" s="14"/>
      <c r="F47" s="14"/>
      <c r="G47" s="14"/>
      <c r="H47" s="14"/>
      <c r="I47" s="14"/>
    </row>
    <row r="48" spans="1:9" x14ac:dyDescent="0.25">
      <c r="A48" s="3"/>
      <c r="B48" s="4"/>
      <c r="C48" s="4"/>
      <c r="D48" s="13"/>
      <c r="E48" s="14"/>
      <c r="F48" s="14"/>
      <c r="G48" s="14"/>
      <c r="H48" s="14"/>
      <c r="I48" s="14"/>
    </row>
    <row r="49" spans="1:9" x14ac:dyDescent="0.25">
      <c r="A49" s="3"/>
      <c r="B49" s="4"/>
      <c r="C49" s="4"/>
      <c r="D49" s="13"/>
      <c r="E49" s="14"/>
      <c r="F49" s="14"/>
      <c r="G49" s="14"/>
      <c r="H49" s="14"/>
      <c r="I49" s="14"/>
    </row>
    <row r="50" spans="1:9" x14ac:dyDescent="0.25">
      <c r="A50" s="3"/>
      <c r="B50" s="4"/>
      <c r="C50" s="4"/>
      <c r="D50" s="13"/>
      <c r="E50" s="14"/>
      <c r="F50" s="14"/>
      <c r="G50" s="14"/>
      <c r="H50" s="14"/>
      <c r="I50" s="14"/>
    </row>
    <row r="51" spans="1:9" x14ac:dyDescent="0.25">
      <c r="A51" s="3"/>
      <c r="B51" s="4"/>
      <c r="C51" s="4"/>
      <c r="D51" s="13"/>
      <c r="E51" s="14"/>
      <c r="F51" s="14"/>
      <c r="G51" s="14"/>
      <c r="H51" s="14"/>
      <c r="I51" s="14"/>
    </row>
    <row r="52" spans="1:9" x14ac:dyDescent="0.25">
      <c r="A52" s="3"/>
      <c r="B52" s="4"/>
      <c r="C52" s="4"/>
      <c r="D52" s="13"/>
      <c r="E52" s="14"/>
      <c r="F52" s="14"/>
      <c r="G52" s="14"/>
      <c r="H52" s="14"/>
      <c r="I52" s="14"/>
    </row>
    <row r="53" spans="1:9" x14ac:dyDescent="0.25">
      <c r="A53" s="3"/>
      <c r="B53" s="4"/>
      <c r="C53" s="4"/>
      <c r="D53" s="13"/>
      <c r="E53" s="14"/>
      <c r="F53" s="14"/>
      <c r="G53" s="14"/>
      <c r="H53" s="14"/>
      <c r="I53" s="14"/>
    </row>
    <row r="54" spans="1:9" x14ac:dyDescent="0.25">
      <c r="A54" s="3"/>
      <c r="B54" s="4"/>
      <c r="C54" s="4"/>
      <c r="D54" s="13"/>
      <c r="E54" s="14"/>
      <c r="F54" s="14"/>
      <c r="G54" s="14"/>
      <c r="H54" s="14"/>
      <c r="I54" s="14"/>
    </row>
    <row r="55" spans="1:9" x14ac:dyDescent="0.25">
      <c r="A55" s="3"/>
      <c r="B55" s="4"/>
      <c r="C55" s="4"/>
      <c r="D55" s="13"/>
      <c r="E55" s="13"/>
      <c r="F55" s="13"/>
      <c r="G55" s="13"/>
      <c r="H55" s="13"/>
      <c r="I55" s="13"/>
    </row>
    <row r="56" spans="1:9" x14ac:dyDescent="0.25">
      <c r="A56" s="1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7"/>
  <sheetViews>
    <sheetView zoomScale="145" zoomScaleNormal="145" workbookViewId="0">
      <selection activeCell="C6" sqref="C6"/>
    </sheetView>
  </sheetViews>
  <sheetFormatPr defaultRowHeight="15" x14ac:dyDescent="0.25"/>
  <cols>
    <col min="49" max="49" width="11" bestFit="1" customWidth="1"/>
  </cols>
  <sheetData>
    <row r="1" spans="1:51" x14ac:dyDescent="0.25">
      <c r="A1" s="13" t="s">
        <v>71</v>
      </c>
      <c r="B1" s="13">
        <f>1+0.06*'Rapoarte de transmitere'!$C$23^2</f>
        <v>4.4201499999999996</v>
      </c>
      <c r="D1" s="13" t="s">
        <v>72</v>
      </c>
      <c r="E1" s="16">
        <f>'Viteza maxima'!$B$5</f>
        <v>0.61299999999999999</v>
      </c>
      <c r="F1" s="13" t="s">
        <v>73</v>
      </c>
      <c r="G1" s="13">
        <f>'Rapoarte de transmitere'!$C$23</f>
        <v>7.55</v>
      </c>
      <c r="I1" s="13" t="s">
        <v>36</v>
      </c>
      <c r="J1" s="17">
        <f>'Rapoarte de transmitere'!B7</f>
        <v>4.2483441609405563</v>
      </c>
    </row>
    <row r="2" spans="1:51" x14ac:dyDescent="0.25">
      <c r="A2" s="13" t="s">
        <v>74</v>
      </c>
      <c r="B2" s="13">
        <f>1+0.06*'Rapoarte de transmitere'!$B$27^2</f>
        <v>2.523583893858357</v>
      </c>
      <c r="D2" s="13" t="s">
        <v>75</v>
      </c>
      <c r="E2" s="13">
        <f>'Viteza maxima'!$B$8</f>
        <v>6.2847599999999995</v>
      </c>
      <c r="F2" s="13" t="s">
        <v>76</v>
      </c>
      <c r="G2" s="16">
        <f>'Rapoarte de transmitere'!$B$27</f>
        <v>5.0391531925155126</v>
      </c>
      <c r="I2" s="13" t="s">
        <v>31</v>
      </c>
      <c r="J2" s="13">
        <f>'Rapoarte de transmitere'!B14</f>
        <v>0.50817374999999998</v>
      </c>
    </row>
    <row r="3" spans="1:51" x14ac:dyDescent="0.25">
      <c r="A3" s="13" t="s">
        <v>77</v>
      </c>
      <c r="B3" s="13">
        <f>1+0.06*'Rapoarte de transmitere'!$B$28^2</f>
        <v>1.6787152264153893</v>
      </c>
      <c r="D3" s="13" t="s">
        <v>38</v>
      </c>
      <c r="E3" s="13">
        <f>'Viteza maxima'!$C$1</f>
        <v>28500</v>
      </c>
      <c r="F3" s="13" t="s">
        <v>78</v>
      </c>
      <c r="G3" s="16">
        <f>'Rapoarte de transmitere'!$B$28</f>
        <v>3.3633198539919582</v>
      </c>
      <c r="I3" s="13" t="s">
        <v>43</v>
      </c>
      <c r="J3" s="13">
        <f>'Rapoarte de transmitere'!B16</f>
        <v>0.8</v>
      </c>
    </row>
    <row r="4" spans="1:51" x14ac:dyDescent="0.25">
      <c r="A4" s="13" t="s">
        <v>79</v>
      </c>
      <c r="B4" s="13">
        <f>1+0.06*'Rapoarte de transmitere'!$B$29^2</f>
        <v>1.3023491915509307</v>
      </c>
      <c r="D4" s="13"/>
      <c r="E4" s="13"/>
      <c r="F4" s="13" t="s">
        <v>80</v>
      </c>
      <c r="G4" s="16">
        <f>'Rapoarte de transmitere'!$B$29</f>
        <v>2.2448058251250842</v>
      </c>
      <c r="T4" t="s">
        <v>125</v>
      </c>
      <c r="W4" t="s">
        <v>124</v>
      </c>
      <c r="Z4" t="s">
        <v>127</v>
      </c>
      <c r="AD4" t="s">
        <v>136</v>
      </c>
    </row>
    <row r="5" spans="1:51" x14ac:dyDescent="0.25">
      <c r="A5" s="13" t="s">
        <v>81</v>
      </c>
      <c r="B5" s="13">
        <f>1+0.06*'Rapoarte de transmitere'!$B$30^2</f>
        <v>1.1346883495075049</v>
      </c>
      <c r="D5" s="13"/>
      <c r="E5" s="13"/>
      <c r="F5" s="13" t="s">
        <v>82</v>
      </c>
      <c r="G5" s="16">
        <f>'Rapoarte de transmitere'!$B$30</f>
        <v>1.4982676079809918</v>
      </c>
      <c r="W5" t="s">
        <v>126</v>
      </c>
    </row>
    <row r="6" spans="1:51" x14ac:dyDescent="0.25">
      <c r="A6" s="13" t="s">
        <v>123</v>
      </c>
      <c r="B6" s="13">
        <f>1+0.06*'Rapoarte de transmitere'!$B$31^2</f>
        <v>1.0599999999999998</v>
      </c>
      <c r="F6" s="13" t="s">
        <v>122</v>
      </c>
      <c r="G6" s="16">
        <f>'Rapoarte de transmitere'!B31</f>
        <v>0.99999999999999922</v>
      </c>
    </row>
    <row r="7" spans="1:51" x14ac:dyDescent="0.25">
      <c r="A7" t="s">
        <v>83</v>
      </c>
      <c r="I7" t="s">
        <v>84</v>
      </c>
      <c r="Q7" t="s">
        <v>85</v>
      </c>
      <c r="Y7" t="s">
        <v>86</v>
      </c>
      <c r="AG7" t="s">
        <v>87</v>
      </c>
      <c r="AP7" t="s">
        <v>121</v>
      </c>
    </row>
    <row r="8" spans="1:51" x14ac:dyDescent="0.25">
      <c r="A8" s="3" t="s">
        <v>8</v>
      </c>
      <c r="B8" s="3" t="s">
        <v>10</v>
      </c>
      <c r="C8" s="15" t="s">
        <v>88</v>
      </c>
      <c r="D8" s="15" t="s">
        <v>89</v>
      </c>
      <c r="E8" s="15" t="s">
        <v>25</v>
      </c>
      <c r="F8" s="15" t="s">
        <v>90</v>
      </c>
      <c r="G8" s="15" t="s">
        <v>91</v>
      </c>
      <c r="I8" s="3" t="s">
        <v>8</v>
      </c>
      <c r="J8" s="3" t="s">
        <v>10</v>
      </c>
      <c r="K8" s="15" t="s">
        <v>88</v>
      </c>
      <c r="L8" s="15" t="s">
        <v>89</v>
      </c>
      <c r="M8" s="15" t="s">
        <v>25</v>
      </c>
      <c r="N8" s="15" t="s">
        <v>90</v>
      </c>
      <c r="O8" s="15" t="s">
        <v>91</v>
      </c>
      <c r="Q8" s="3" t="s">
        <v>8</v>
      </c>
      <c r="R8" s="3" t="s">
        <v>10</v>
      </c>
      <c r="S8" s="15" t="s">
        <v>88</v>
      </c>
      <c r="T8" s="15" t="s">
        <v>89</v>
      </c>
      <c r="U8" s="15" t="s">
        <v>25</v>
      </c>
      <c r="V8" s="15" t="s">
        <v>90</v>
      </c>
      <c r="W8" s="15" t="s">
        <v>91</v>
      </c>
      <c r="Y8" s="3" t="s">
        <v>8</v>
      </c>
      <c r="Z8" s="3" t="s">
        <v>10</v>
      </c>
      <c r="AA8" s="15" t="s">
        <v>88</v>
      </c>
      <c r="AB8" s="15" t="s">
        <v>89</v>
      </c>
      <c r="AC8" s="15" t="s">
        <v>25</v>
      </c>
      <c r="AD8" s="15" t="s">
        <v>90</v>
      </c>
      <c r="AE8" s="15" t="s">
        <v>91</v>
      </c>
      <c r="AG8" s="3" t="s">
        <v>8</v>
      </c>
      <c r="AH8" s="3" t="s">
        <v>10</v>
      </c>
      <c r="AI8" s="15" t="s">
        <v>88</v>
      </c>
      <c r="AJ8" s="15" t="s">
        <v>89</v>
      </c>
      <c r="AK8" s="15" t="s">
        <v>25</v>
      </c>
      <c r="AL8" s="15" t="s">
        <v>90</v>
      </c>
      <c r="AM8" s="15" t="s">
        <v>91</v>
      </c>
      <c r="AN8" s="4"/>
      <c r="AP8" s="3" t="s">
        <v>8</v>
      </c>
      <c r="AQ8" s="3" t="s">
        <v>10</v>
      </c>
      <c r="AR8" s="15" t="s">
        <v>88</v>
      </c>
      <c r="AS8" s="15" t="s">
        <v>89</v>
      </c>
      <c r="AT8" s="15" t="s">
        <v>25</v>
      </c>
      <c r="AU8" s="15" t="s">
        <v>90</v>
      </c>
      <c r="AV8" s="15" t="s">
        <v>91</v>
      </c>
      <c r="AW8" s="3" t="s">
        <v>9</v>
      </c>
      <c r="AY8" s="15" t="s">
        <v>25</v>
      </c>
    </row>
    <row r="9" spans="1:51" x14ac:dyDescent="0.25">
      <c r="A9" s="3">
        <v>650</v>
      </c>
      <c r="B9" s="4">
        <f>'Caracteristica externa'!$F$3*('Caracteristica externa'!$B$2+'Caracteristica externa'!$D$2*A9/'Caracteristica externa'!$D$3+'Caracteristica externa'!$F$2*((A9/'Caracteristica externa'!$D$3)^2))</f>
        <v>925.05573095909324</v>
      </c>
      <c r="C9" s="15">
        <f>PI()*'Rapoarte de transmitere'!$B$14*Performante!A9/30/'Rapoarte de transmitere'!$B$7/'Rapoarte de transmitere'!$C$23</f>
        <v>1.0784190689646318</v>
      </c>
      <c r="D9" s="15">
        <f>B9*$J$1*$G$1*$J$3/$J$2</f>
        <v>46710.261762860755</v>
      </c>
      <c r="E9" s="15">
        <f>(D9-$E$1*$E$2*C9^2)/$E$3</f>
        <v>1.6387993433500991</v>
      </c>
      <c r="F9" s="15">
        <f>9.81*(E9-'Viteza maxima'!$B$2)/Performante!$B$1</f>
        <v>3.5971723942093536</v>
      </c>
      <c r="G9" s="15">
        <f>1/F9</f>
        <v>0.27799612873983387</v>
      </c>
      <c r="I9" s="3">
        <v>650</v>
      </c>
      <c r="J9" s="4">
        <f>'Caracteristica externa'!$F$3*('Caracteristica externa'!$B$2+'Caracteristica externa'!$D$2*I9/'Caracteristica externa'!$D$3+'Caracteristica externa'!$F$2*((I9/'Caracteristica externa'!$D$3)^2))</f>
        <v>925.05573095909324</v>
      </c>
      <c r="K9" s="15">
        <f>PI()*'Rapoarte de transmitere'!$B$14*Performante!I9/30/'Rapoarte de transmitere'!$B$7/'Rapoarte de transmitere'!$B$27</f>
        <v>1.6157603588587282</v>
      </c>
      <c r="L9" s="15">
        <f>J9*$J$1*$G$2*$J$3/$J$2</f>
        <v>31176.18075305365</v>
      </c>
      <c r="M9" s="15">
        <f>(L9-$E$1*$E$2*K9^2)/$E$3</f>
        <v>1.0935481737307058</v>
      </c>
      <c r="N9" s="15">
        <f>9.81*(M9-'Viteza maxima'!$B$2)/Performante!$B$2</f>
        <v>4.18100924244147</v>
      </c>
      <c r="O9" s="15">
        <f>1/N9</f>
        <v>0.2391767016080685</v>
      </c>
      <c r="Q9" s="3">
        <v>650</v>
      </c>
      <c r="R9" s="4">
        <f>'Caracteristica externa'!$F$3*('Caracteristica externa'!$B$2+'Caracteristica externa'!$D$2*Q9/'Caracteristica externa'!$D$3+'Caracteristica externa'!$F$2*((Q9/'Caracteristica externa'!$D$3)^2))</f>
        <v>925.05573095909324</v>
      </c>
      <c r="S9" s="15">
        <f>PI()*'Rapoarte de transmitere'!$B$14*Performante!Q9/30/'Rapoarte de transmitere'!$B$7/'Rapoarte de transmitere'!$B$28</f>
        <v>2.4208414079377771</v>
      </c>
      <c r="T9" s="15">
        <f>R9*$J$1*$G$3*$J$3/$J$2</f>
        <v>20808.152420157745</v>
      </c>
      <c r="U9" s="15">
        <f>(T9-$E$1*$E$2*S9^2)/$E$3</f>
        <v>0.72931840730700237</v>
      </c>
      <c r="V9" s="15">
        <f>9.81*(U9-'Viteza maxima'!$B$2)/Performante!$B$3</f>
        <v>4.156770288300832</v>
      </c>
      <c r="W9" s="15">
        <f>1/V9</f>
        <v>0.24057138851634047</v>
      </c>
      <c r="Y9" s="3">
        <v>650</v>
      </c>
      <c r="Z9" s="4">
        <f>'Caracteristica externa'!$F$3*('Caracteristica externa'!$B$2+'Caracteristica externa'!$D$2*Y9/'Caracteristica externa'!$D$3+'Caracteristica externa'!$F$2*((Y9/'Caracteristica externa'!$D$3)^2))</f>
        <v>925.05573095909324</v>
      </c>
      <c r="AA9" s="15">
        <f>PI()*'Rapoarte de transmitere'!$B$14*Performante!Y9/30/'Rapoarte de transmitere'!$B$7/'Rapoarte de transmitere'!$B$29</f>
        <v>3.6270682655722712</v>
      </c>
      <c r="AB9" s="15">
        <f>Z9*$J$1*$G$4*$J$3/$J$2</f>
        <v>13888.141417004941</v>
      </c>
      <c r="AC9" s="15">
        <f>(AB9-$E$1*$E$2*AA9^2)/$E$3</f>
        <v>0.48552486362508379</v>
      </c>
      <c r="AD9" s="15">
        <f>9.81*(AC9-'Viteza maxima'!$B$2)/Performante!$B$4</f>
        <v>3.5216506770355775</v>
      </c>
      <c r="AE9" s="15">
        <f>1/AD9</f>
        <v>0.28395774927959938</v>
      </c>
      <c r="AG9" s="3">
        <v>650</v>
      </c>
      <c r="AH9" s="4">
        <f>'Caracteristica externa'!$F$3*('Caracteristica externa'!$B$2+'Caracteristica externa'!$D$2*AG9/'Caracteristica externa'!$D$3+'Caracteristica externa'!$F$2*((AG9/'Caracteristica externa'!$D$3)^2))</f>
        <v>925.05573095909324</v>
      </c>
      <c r="AI9" s="15">
        <f>PI()*'Rapoarte de transmitere'!$B$14*Performante!AG9/30/'Rapoarte de transmitere'!$B$7/'Rapoarte de transmitere'!$B$30</f>
        <v>5.4343188942427352</v>
      </c>
      <c r="AJ9" s="15">
        <f>AH9*$J$1*$G$5*$J$3/$J$2</f>
        <v>9269.4665112062739</v>
      </c>
      <c r="AK9" s="15">
        <f>(AJ9-$E$1*$E$2*AI9^2)/$E$3</f>
        <v>0.32125240204383049</v>
      </c>
      <c r="AL9" s="15">
        <f>9.81*(AK9-'Viteza maxima'!$B$2)/Performante!$B$5</f>
        <v>2.6217825056026989</v>
      </c>
      <c r="AM9" s="15">
        <f>1/AL9</f>
        <v>0.38141989194871018</v>
      </c>
      <c r="AN9" s="4"/>
      <c r="AP9" s="3">
        <v>650</v>
      </c>
      <c r="AQ9" s="4">
        <f>'Caracteristica externa'!$F$3*('Caracteristica externa'!$B$2+'Caracteristica externa'!$D$2*AP9/'Caracteristica externa'!$D$3+'Caracteristica externa'!$F$2*((AP9/'Caracteristica externa'!$D$3)^2))</f>
        <v>925.05573095909324</v>
      </c>
      <c r="AR9" s="15">
        <f>PI()*'Rapoarte de transmitere'!$B$14*Performante!AP9/30/'Rapoarte de transmitere'!$B$7/'Rapoarte de transmitere'!$B$31</f>
        <v>8.1420639706829778</v>
      </c>
      <c r="AS9" s="15">
        <f>AQ9*$J$1*$G$6*$J$3/$J$2</f>
        <v>6186.7896374649963</v>
      </c>
      <c r="AT9" s="15">
        <f>(AS9-$E$1*$E$2*AR9^2)/$E$3</f>
        <v>0.20811899036647796</v>
      </c>
      <c r="AU9" s="15">
        <f>9.81*(AT9-'Viteza maxima'!$B$2)/Performante!$B$6</f>
        <v>1.7594974485803296</v>
      </c>
      <c r="AV9" s="15">
        <f>1/AU9</f>
        <v>0.56834410348640252</v>
      </c>
      <c r="AW9" s="4">
        <f>'Caracteristica externa'!B6</f>
        <v>62.96654625174817</v>
      </c>
      <c r="AY9" s="13">
        <f>(((AW9*1000*$J$3)/AR9)-$E$1*$E$2*(AR9^2))/$E$3</f>
        <v>0.20811899036647794</v>
      </c>
    </row>
    <row r="10" spans="1:51" x14ac:dyDescent="0.25">
      <c r="A10" s="3">
        <v>700</v>
      </c>
      <c r="B10" s="4">
        <f>'Caracteristica externa'!$F$3*('Caracteristica externa'!$B$2+'Caracteristica externa'!$D$2*A10/'Caracteristica externa'!$D$3+'Caracteristica externa'!$F$2*((A10/'Caracteristica externa'!$D$3)^2))</f>
        <v>931.04540816813073</v>
      </c>
      <c r="C10" s="15">
        <f>PI()*'Rapoarte de transmitere'!$B$14*Performante!A10/30/'Rapoarte de transmitere'!$B$7/'Rapoarte de transmitere'!$C$23</f>
        <v>1.1613743819619113</v>
      </c>
      <c r="D10" s="15">
        <f t="shared" ref="D10:D33" si="0">B10*$J$1*$G$1*$J$3/$J$2</f>
        <v>47012.707746325017</v>
      </c>
      <c r="E10" s="15">
        <f t="shared" ref="E10:E33" si="1">(D10-$E$1*$E$2*C10^2)/$E$3</f>
        <v>1.6493863667729418</v>
      </c>
      <c r="F10" s="15">
        <f>9.81*(E10-'Viteza maxima'!$B$2)/Performante!$B$1</f>
        <v>3.6206690402005726</v>
      </c>
      <c r="G10" s="15">
        <f t="shared" ref="G10:G33" si="2">1/F10</f>
        <v>0.27619204873378966</v>
      </c>
      <c r="I10" s="3">
        <v>700</v>
      </c>
      <c r="J10" s="4">
        <f>'Caracteristica externa'!$F$3*('Caracteristica externa'!$B$2+'Caracteristica externa'!$D$2*I10/'Caracteristica externa'!$D$3+'Caracteristica externa'!$F$2*((I10/'Caracteristica externa'!$D$3)^2))</f>
        <v>931.04540816813073</v>
      </c>
      <c r="K10" s="15">
        <f>PI()*'Rapoarte de transmitere'!$B$14*Performante!I10/30/'Rapoarte de transmitere'!$B$7/'Rapoarte de transmitere'!$B$27</f>
        <v>1.7400496172324769</v>
      </c>
      <c r="L10" s="15">
        <f t="shared" ref="L10:L33" si="3">J10*$J$1*$G$2*$J$3/$J$2</f>
        <v>31378.044546846693</v>
      </c>
      <c r="M10" s="15">
        <f t="shared" ref="M10:M33" si="4">(L10-$E$1*$E$2*K10^2)/$E$3</f>
        <v>1.1005747325398727</v>
      </c>
      <c r="N10" s="15">
        <f>9.81*(M10-'Viteza maxima'!$B$2)/Performante!$B$2</f>
        <v>4.2083237858912375</v>
      </c>
      <c r="O10" s="15">
        <f t="shared" ref="O10:O33" si="5">1/N10</f>
        <v>0.23762430147427935</v>
      </c>
      <c r="Q10" s="3">
        <v>700</v>
      </c>
      <c r="R10" s="4">
        <f>'Caracteristica externa'!$F$3*('Caracteristica externa'!$B$2+'Caracteristica externa'!$D$2*Q10/'Caracteristica externa'!$D$3+'Caracteristica externa'!$F$2*((Q10/'Caracteristica externa'!$D$3)^2))</f>
        <v>931.04540816813073</v>
      </c>
      <c r="S10" s="15">
        <f>PI()*'Rapoarte de transmitere'!$B$14*Performante!Q10/30/'Rapoarte de transmitere'!$B$7/'Rapoarte de transmitere'!$B$28</f>
        <v>2.6070599777791448</v>
      </c>
      <c r="T10" s="15">
        <f t="shared" ref="T10:T33" si="6">R10*$J$1*$G$3*$J$3/$J$2</f>
        <v>20942.883887832646</v>
      </c>
      <c r="U10" s="15">
        <f t="shared" ref="U10:U33" si="7">(T10-$E$1*$E$2*S10^2)/$E$3</f>
        <v>0.73391926210105141</v>
      </c>
      <c r="V10" s="15">
        <f>9.81*(U10-'Viteza maxima'!$B$2)/Performante!$B$3</f>
        <v>4.1836565551431226</v>
      </c>
      <c r="W10" s="15">
        <f t="shared" ref="W10:W33" si="8">1/V10</f>
        <v>0.2390253566035824</v>
      </c>
      <c r="Y10" s="3">
        <v>700</v>
      </c>
      <c r="Z10" s="4">
        <f>'Caracteristica externa'!$F$3*('Caracteristica externa'!$B$2+'Caracteristica externa'!$D$2*Y10/'Caracteristica externa'!$D$3+'Caracteristica externa'!$F$2*((Y10/'Caracteristica externa'!$D$3)^2))</f>
        <v>931.04540816813073</v>
      </c>
      <c r="AA10" s="15">
        <f>PI()*'Rapoarte de transmitere'!$B$14*Performante!Y10/30/'Rapoarte de transmitere'!$B$7/'Rapoarte de transmitere'!$B$29</f>
        <v>3.9060735167701388</v>
      </c>
      <c r="AB10" s="15">
        <f t="shared" ref="AB10:AB33" si="9">Z10*$J$1*$G$4*$J$3/$J$2</f>
        <v>13978.066252166038</v>
      </c>
      <c r="AC10" s="15">
        <f t="shared" ref="AC10:AC33" si="10">(AB10-$E$1*$E$2*AA10^2)/$E$3</f>
        <v>0.48839600687071727</v>
      </c>
      <c r="AD10" s="15">
        <f>9.81*(AC10-'Viteza maxima'!$B$2)/Performante!$B$4</f>
        <v>3.5432776841565499</v>
      </c>
      <c r="AE10" s="15">
        <f t="shared" ref="AE10:AE33" si="11">1/AD10</f>
        <v>0.28222456412925545</v>
      </c>
      <c r="AG10" s="3">
        <v>700</v>
      </c>
      <c r="AH10" s="4">
        <f>'Caracteristica externa'!$F$3*('Caracteristica externa'!$B$2+'Caracteristica externa'!$D$2*AG10/'Caracteristica externa'!$D$3+'Caracteristica externa'!$F$2*((AG10/'Caracteristica externa'!$D$3)^2))</f>
        <v>931.04540816813073</v>
      </c>
      <c r="AI10" s="15">
        <f>PI()*'Rapoarte de transmitere'!$B$14*Performante!AG10/30/'Rapoarte de transmitere'!$B$7/'Rapoarte de transmitere'!$B$30</f>
        <v>5.8523434245691002</v>
      </c>
      <c r="AJ10" s="15">
        <f t="shared" ref="AJ10:AJ33" si="12">AH10*$J$1*$G$5*$J$3/$J$2</f>
        <v>9329.4857191782576</v>
      </c>
      <c r="AK10" s="15">
        <f t="shared" ref="AK10:AK33" si="13">(AJ10-$E$1*$E$2*AI10^2)/$E$3</f>
        <v>0.32272055811513195</v>
      </c>
      <c r="AL10" s="15">
        <f>9.81*(AK10-'Viteza maxima'!$B$2)/Performante!$B$5</f>
        <v>2.6344755160365496</v>
      </c>
      <c r="AM10" s="15">
        <f t="shared" ref="AM10:AM33" si="14">1/AL10</f>
        <v>0.37958219536025722</v>
      </c>
      <c r="AN10" s="4"/>
      <c r="AP10" s="3">
        <v>700</v>
      </c>
      <c r="AQ10" s="4">
        <f>'Caracteristica externa'!$F$3*('Caracteristica externa'!$B$2+'Caracteristica externa'!$D$2*AP10/'Caracteristica externa'!$D$3+'Caracteristica externa'!$F$2*((AP10/'Caracteristica externa'!$D$3)^2))</f>
        <v>931.04540816813073</v>
      </c>
      <c r="AR10" s="15">
        <f>PI()*'Rapoarte de transmitere'!$B$14*Performante!AP10/30/'Rapoarte de transmitere'!$B$7/'Rapoarte de transmitere'!$B$31</f>
        <v>8.7683765838124383</v>
      </c>
      <c r="AS10" s="15">
        <f t="shared" ref="AS10:AS34" si="15">AQ10*$J$1*$G$6*$J$3/$J$2</f>
        <v>6226.8487081225148</v>
      </c>
      <c r="AT10" s="15">
        <f t="shared" ref="AT10:AT34" si="16">(AS10-$E$1*$E$2*AR10^2)/$E$3</f>
        <v>0.20809287717569014</v>
      </c>
      <c r="AU10" s="15">
        <f>9.81*(AT10-'Viteza maxima'!$B$2)/Performante!$B$6</f>
        <v>1.7592557783901139</v>
      </c>
      <c r="AV10" s="15">
        <f t="shared" ref="AV10:AV33" si="17">1/AU10</f>
        <v>0.56842217731130318</v>
      </c>
      <c r="AW10" s="4">
        <f>'Caracteristica externa'!B7</f>
        <v>68.249193004055215</v>
      </c>
      <c r="AY10" s="13">
        <f t="shared" ref="AY10:AY33" si="18">(((AW10*1000*$J$3)/AR10)-$E$1*$E$2*(AR10^2))/$E$3</f>
        <v>0.20809287717569006</v>
      </c>
    </row>
    <row r="11" spans="1:51" x14ac:dyDescent="0.25">
      <c r="A11" s="3">
        <v>800</v>
      </c>
      <c r="B11" s="4">
        <f>'Caracteristica externa'!$F$3*('Caracteristica externa'!$B$2+'Caracteristica externa'!$D$2*A11/'Caracteristica externa'!$D$3+'Caracteristica externa'!$F$2*((A11/'Caracteristica externa'!$D$3)^2))</f>
        <v>941.82682714439829</v>
      </c>
      <c r="C11" s="15">
        <f>PI()*'Rapoarte de transmitere'!$B$14*Performante!A11/30/'Rapoarte de transmitere'!$B$7/'Rapoarte de transmitere'!$C$23</f>
        <v>1.32728500795647</v>
      </c>
      <c r="D11" s="15">
        <f t="shared" si="0"/>
        <v>47557.110516560715</v>
      </c>
      <c r="E11" s="15">
        <f t="shared" si="1"/>
        <v>1.6684324042538632</v>
      </c>
      <c r="F11" s="15">
        <f>9.81*(E11-'Viteza maxima'!$B$2)/Performante!$B$1</f>
        <v>3.662939467151658</v>
      </c>
      <c r="G11" s="15">
        <f t="shared" si="2"/>
        <v>0.27300478453650534</v>
      </c>
      <c r="I11" s="3">
        <v>800</v>
      </c>
      <c r="J11" s="4">
        <f>'Caracteristica externa'!$F$3*('Caracteristica externa'!$B$2+'Caracteristica externa'!$D$2*I11/'Caracteristica externa'!$D$3+'Caracteristica externa'!$F$2*((I11/'Caracteristica externa'!$D$3)^2))</f>
        <v>941.82682714439829</v>
      </c>
      <c r="K11" s="15">
        <f>PI()*'Rapoarte de transmitere'!$B$14*Performante!I11/30/'Rapoarte de transmitere'!$B$7/'Rapoarte de transmitere'!$B$27</f>
        <v>1.9886281339799732</v>
      </c>
      <c r="L11" s="15">
        <f t="shared" si="3"/>
        <v>31741.399375674169</v>
      </c>
      <c r="M11" s="15">
        <f t="shared" si="4"/>
        <v>1.1131987329484956</v>
      </c>
      <c r="N11" s="15">
        <f>9.81*(M11-'Viteza maxima'!$B$2)/Performante!$B$2</f>
        <v>4.2573974245009873</v>
      </c>
      <c r="O11" s="15">
        <f t="shared" si="5"/>
        <v>0.23488528325898791</v>
      </c>
      <c r="Q11" s="3">
        <v>800</v>
      </c>
      <c r="R11" s="4">
        <f>'Caracteristica externa'!$F$3*('Caracteristica externa'!$B$2+'Caracteristica externa'!$D$2*Q11/'Caracteristica externa'!$D$3+'Caracteristica externa'!$F$2*((Q11/'Caracteristica externa'!$D$3)^2))</f>
        <v>941.82682714439829</v>
      </c>
      <c r="S11" s="15">
        <f>PI()*'Rapoarte de transmitere'!$B$14*Performante!Q11/30/'Rapoarte de transmitere'!$B$7/'Rapoarte de transmitere'!$B$28</f>
        <v>2.9794971174618796</v>
      </c>
      <c r="T11" s="15">
        <f t="shared" si="6"/>
        <v>21185.400529647475</v>
      </c>
      <c r="U11" s="15">
        <f t="shared" si="7"/>
        <v>0.74214736212227339</v>
      </c>
      <c r="V11" s="15">
        <f>9.81*(U11-'Viteza maxima'!$B$2)/Performante!$B$3</f>
        <v>4.2317395533420168</v>
      </c>
      <c r="W11" s="15">
        <f t="shared" si="8"/>
        <v>0.23630943903677859</v>
      </c>
      <c r="Y11" s="3">
        <v>800</v>
      </c>
      <c r="Z11" s="4">
        <f>'Caracteristica externa'!$F$3*('Caracteristica externa'!$B$2+'Caracteristica externa'!$D$2*Y11/'Caracteristica externa'!$D$3+'Caracteristica externa'!$F$2*((Y11/'Caracteristica externa'!$D$3)^2))</f>
        <v>941.82682714439829</v>
      </c>
      <c r="AA11" s="15">
        <f>PI()*'Rapoarte de transmitere'!$B$14*Performante!Y11/30/'Rapoarte de transmitere'!$B$7/'Rapoarte de transmitere'!$B$29</f>
        <v>4.4640840191658722</v>
      </c>
      <c r="AB11" s="15">
        <f t="shared" si="9"/>
        <v>14139.930955456013</v>
      </c>
      <c r="AC11" s="15">
        <f t="shared" si="10"/>
        <v>0.49344410541418299</v>
      </c>
      <c r="AD11" s="15">
        <f>9.81*(AC11-'Viteza maxima'!$B$2)/Performante!$B$4</f>
        <v>3.581302698517272</v>
      </c>
      <c r="AE11" s="15">
        <f t="shared" si="11"/>
        <v>0.2792280028197614</v>
      </c>
      <c r="AG11" s="3">
        <v>800</v>
      </c>
      <c r="AH11" s="4">
        <f>'Caracteristica externa'!$F$3*('Caracteristica externa'!$B$2+'Caracteristica externa'!$D$2*AG11/'Caracteristica externa'!$D$3+'Caracteristica externa'!$F$2*((AG11/'Caracteristica externa'!$D$3)^2))</f>
        <v>941.82682714439829</v>
      </c>
      <c r="AI11" s="15">
        <f>PI()*'Rapoarte de transmitere'!$B$14*Performante!AG11/30/'Rapoarte de transmitere'!$B$7/'Rapoarte de transmitere'!$B$30</f>
        <v>6.6883924852218275</v>
      </c>
      <c r="AJ11" s="15">
        <f t="shared" si="12"/>
        <v>9437.5202935278267</v>
      </c>
      <c r="AK11" s="15">
        <f t="shared" si="13"/>
        <v>0.32509395371103167</v>
      </c>
      <c r="AL11" s="15">
        <f>9.81*(AK11-'Viteza maxima'!$B$2)/Performante!$B$5</f>
        <v>2.6549948161649786</v>
      </c>
      <c r="AM11" s="15">
        <f t="shared" si="14"/>
        <v>0.37664856967384042</v>
      </c>
      <c r="AN11" s="4"/>
      <c r="AP11" s="3">
        <v>800</v>
      </c>
      <c r="AQ11" s="4">
        <f>'Caracteristica externa'!$F$3*('Caracteristica externa'!$B$2+'Caracteristica externa'!$D$2*AP11/'Caracteristica externa'!$D$3+'Caracteristica externa'!$F$2*((AP11/'Caracteristica externa'!$D$3)^2))</f>
        <v>941.82682714439829</v>
      </c>
      <c r="AR11" s="15">
        <f>PI()*'Rapoarte de transmitere'!$B$14*Performante!AP11/30/'Rapoarte de transmitere'!$B$7/'Rapoarte de transmitere'!$B$31</f>
        <v>10.021001810071356</v>
      </c>
      <c r="AS11" s="15">
        <f t="shared" si="15"/>
        <v>6298.9550353060504</v>
      </c>
      <c r="AT11" s="15">
        <f t="shared" si="16"/>
        <v>0.20744138014938374</v>
      </c>
      <c r="AU11" s="15">
        <f>9.81*(AT11-'Viteza maxima'!$B$2)/Performante!$B$6</f>
        <v>1.7532263577975988</v>
      </c>
      <c r="AV11" s="15">
        <f t="shared" si="17"/>
        <v>0.57037700554319692</v>
      </c>
      <c r="AW11" s="4">
        <f>'Caracteristica externa'!B8</f>
        <v>78.902299762949994</v>
      </c>
      <c r="AY11" s="13">
        <f t="shared" si="18"/>
        <v>0.20744138014938365</v>
      </c>
    </row>
    <row r="12" spans="1:51" x14ac:dyDescent="0.25">
      <c r="A12" s="3">
        <v>900</v>
      </c>
      <c r="B12" s="4">
        <f>'Caracteristica externa'!$F$3*('Caracteristica externa'!$B$2+'Caracteristica externa'!$D$2*A12/'Caracteristica externa'!$D$3+'Caracteristica externa'!$F$2*((A12/'Caracteristica externa'!$D$3)^2))</f>
        <v>951.01099886492216</v>
      </c>
      <c r="C12" s="15">
        <f>PI()*'Rapoarte de transmitere'!$B$14*Performante!A12/30/'Rapoarte de transmitere'!$B$7/'Rapoarte de transmitere'!$C$23</f>
        <v>1.4931956339510288</v>
      </c>
      <c r="D12" s="15">
        <f t="shared" si="0"/>
        <v>48020.861024539248</v>
      </c>
      <c r="E12" s="15">
        <f t="shared" si="1"/>
        <v>1.684641095915097</v>
      </c>
      <c r="F12" s="15">
        <f>9.81*(E12-'Viteza maxima'!$B$2)/Performante!$B$1</f>
        <v>3.6989127407276006</v>
      </c>
      <c r="G12" s="15">
        <f t="shared" si="2"/>
        <v>0.2703497135764531</v>
      </c>
      <c r="I12" s="3">
        <v>900</v>
      </c>
      <c r="J12" s="4">
        <f>'Caracteristica externa'!$F$3*('Caracteristica externa'!$B$2+'Caracteristica externa'!$D$2*I12/'Caracteristica externa'!$D$3+'Caracteristica externa'!$F$2*((I12/'Caracteristica externa'!$D$3)^2))</f>
        <v>951.01099886492216</v>
      </c>
      <c r="K12" s="15">
        <f>PI()*'Rapoarte de transmitere'!$B$14*Performante!I12/30/'Rapoarte de transmitere'!$B$7/'Rapoarte de transmitere'!$B$27</f>
        <v>2.2372066507274702</v>
      </c>
      <c r="L12" s="15">
        <f t="shared" si="3"/>
        <v>32050.923859490162</v>
      </c>
      <c r="M12" s="15">
        <f t="shared" si="4"/>
        <v>1.1239172437441691</v>
      </c>
      <c r="N12" s="15">
        <f>9.81*(M12-'Viteza maxima'!$B$2)/Performante!$B$2</f>
        <v>4.2990637987243518</v>
      </c>
      <c r="O12" s="15">
        <f t="shared" si="5"/>
        <v>0.23260878340459309</v>
      </c>
      <c r="Q12" s="3">
        <v>900</v>
      </c>
      <c r="R12" s="4">
        <f>'Caracteristica externa'!$F$3*('Caracteristica externa'!$B$2+'Caracteristica externa'!$D$2*Q12/'Caracteristica externa'!$D$3+'Caracteristica externa'!$F$2*((Q12/'Caracteristica externa'!$D$3)^2))</f>
        <v>951.01099886492216</v>
      </c>
      <c r="S12" s="15">
        <f>PI()*'Rapoarte de transmitere'!$B$14*Performante!Q12/30/'Rapoarte de transmitere'!$B$7/'Rapoarte de transmitere'!$B$28</f>
        <v>3.3519342571446145</v>
      </c>
      <c r="T12" s="15">
        <f t="shared" si="6"/>
        <v>21391.988780082316</v>
      </c>
      <c r="U12" s="15">
        <f t="shared" si="7"/>
        <v>0.74907731605432615</v>
      </c>
      <c r="V12" s="15">
        <f>9.81*(U12-'Viteza maxima'!$B$2)/Performante!$B$3</f>
        <v>4.2722365042266546</v>
      </c>
      <c r="W12" s="15">
        <f t="shared" si="8"/>
        <v>0.23406943857407458</v>
      </c>
      <c r="Y12" s="3">
        <v>900</v>
      </c>
      <c r="Z12" s="4">
        <f>'Caracteristica externa'!$F$3*('Caracteristica externa'!$B$2+'Caracteristica externa'!$D$2*Y12/'Caracteristica externa'!$D$3+'Caracteristica externa'!$F$2*((Y12/'Caracteristica externa'!$D$3)^2))</f>
        <v>951.01099886492216</v>
      </c>
      <c r="AA12" s="15">
        <f>PI()*'Rapoarte de transmitere'!$B$14*Performante!Y12/30/'Rapoarte de transmitere'!$B$7/'Rapoarte de transmitere'!$B$29</f>
        <v>5.0220945215616073</v>
      </c>
      <c r="AB12" s="15">
        <f t="shared" si="9"/>
        <v>14277.815702703023</v>
      </c>
      <c r="AC12" s="15">
        <f t="shared" si="10"/>
        <v>0.49756662002724661</v>
      </c>
      <c r="AD12" s="15">
        <f>9.81*(AC12-'Viteza maxima'!$B$2)/Performante!$B$4</f>
        <v>3.6123557130363606</v>
      </c>
      <c r="AE12" s="15">
        <f t="shared" si="11"/>
        <v>0.27682766577808898</v>
      </c>
      <c r="AG12" s="3">
        <v>900</v>
      </c>
      <c r="AH12" s="4">
        <f>'Caracteristica externa'!$F$3*('Caracteristica externa'!$B$2+'Caracteristica externa'!$D$2*AG12/'Caracteristica externa'!$D$3+'Caracteristica externa'!$F$2*((AG12/'Caracteristica externa'!$D$3)^2))</f>
        <v>951.01099886492216</v>
      </c>
      <c r="AI12" s="15">
        <f>PI()*'Rapoarte de transmitere'!$B$14*Performante!AG12/30/'Rapoarte de transmitere'!$B$7/'Rapoarte de transmitere'!$B$30</f>
        <v>7.5244415458745566</v>
      </c>
      <c r="AJ12" s="15">
        <f t="shared" si="12"/>
        <v>9529.5497457515321</v>
      </c>
      <c r="AK12" s="15">
        <f t="shared" si="13"/>
        <v>0.32671679391132707</v>
      </c>
      <c r="AL12" s="15">
        <f>9.81*(AK12-'Viteza maxima'!$B$2)/Performante!$B$5</f>
        <v>2.6690251553077111</v>
      </c>
      <c r="AM12" s="15">
        <f t="shared" si="14"/>
        <v>0.37466863060895739</v>
      </c>
      <c r="AN12" s="4"/>
      <c r="AP12" s="3">
        <v>900</v>
      </c>
      <c r="AQ12" s="4">
        <f>'Caracteristica externa'!$F$3*('Caracteristica externa'!$B$2+'Caracteristica externa'!$D$2*AP12/'Caracteristica externa'!$D$3+'Caracteristica externa'!$F$2*((AP12/'Caracteristica externa'!$D$3)^2))</f>
        <v>951.01099886492216</v>
      </c>
      <c r="AR12" s="15">
        <f>PI()*'Rapoarte de transmitere'!$B$14*Performante!AP12/30/'Rapoarte de transmitere'!$B$7/'Rapoarte de transmitere'!$B$31</f>
        <v>11.273627036330277</v>
      </c>
      <c r="AS12" s="15">
        <f t="shared" si="15"/>
        <v>6360.3789436475772</v>
      </c>
      <c r="AT12" s="15">
        <f t="shared" si="16"/>
        <v>0.2059908555967693</v>
      </c>
      <c r="AU12" s="15">
        <f>9.81*(AT12-'Viteza maxima'!$B$2)/Performante!$B$6</f>
        <v>1.7398021635889691</v>
      </c>
      <c r="AV12" s="15">
        <f t="shared" si="17"/>
        <v>0.57477799541135155</v>
      </c>
      <c r="AW12" s="4">
        <f>'Caracteristica externa'!B9</f>
        <v>89.630675025513909</v>
      </c>
      <c r="AY12" s="13">
        <f t="shared" si="18"/>
        <v>0.20599085559676927</v>
      </c>
    </row>
    <row r="13" spans="1:51" x14ac:dyDescent="0.25">
      <c r="A13" s="3">
        <v>1000</v>
      </c>
      <c r="B13" s="4">
        <f>'Caracteristica externa'!$F$3*('Caracteristica externa'!$B$2+'Caracteristica externa'!$D$2*A13/'Caracteristica externa'!$D$3+'Caracteristica externa'!$F$2*((A13/'Caracteristica externa'!$D$3)^2))</f>
        <v>958.59792332970312</v>
      </c>
      <c r="C13" s="15">
        <f>PI()*'Rapoarte de transmitere'!$B$14*Performante!A13/30/'Rapoarte de transmitere'!$B$7/'Rapoarte de transmitere'!$C$23</f>
        <v>1.6591062599455875</v>
      </c>
      <c r="D13" s="15">
        <f t="shared" si="0"/>
        <v>48403.959270260661</v>
      </c>
      <c r="E13" s="15">
        <f t="shared" si="1"/>
        <v>1.6980124417566449</v>
      </c>
      <c r="F13" s="15">
        <f>9.81*(E13-'Viteza maxima'!$B$2)/Performante!$B$1</f>
        <v>3.7285888609284044</v>
      </c>
      <c r="G13" s="15">
        <f t="shared" si="2"/>
        <v>0.2681979797984495</v>
      </c>
      <c r="I13" s="3">
        <v>1000</v>
      </c>
      <c r="J13" s="4">
        <f>'Caracteristica externa'!$F$3*('Caracteristica externa'!$B$2+'Caracteristica externa'!$D$2*I13/'Caracteristica externa'!$D$3+'Caracteristica externa'!$F$2*((I13/'Caracteristica externa'!$D$3)^2))</f>
        <v>958.59792332970312</v>
      </c>
      <c r="K13" s="15">
        <f>PI()*'Rapoarte de transmitere'!$B$14*Performante!I13/30/'Rapoarte de transmitere'!$B$7/'Rapoarte de transmitere'!$B$27</f>
        <v>2.4857851674749663</v>
      </c>
      <c r="L13" s="15">
        <f t="shared" si="3"/>
        <v>32306.617998294681</v>
      </c>
      <c r="M13" s="15">
        <f t="shared" si="4"/>
        <v>1.132730264926894</v>
      </c>
      <c r="N13" s="15">
        <f>9.81*(M13-'Viteza maxima'!$B$2)/Performante!$B$2</f>
        <v>4.3333229085613336</v>
      </c>
      <c r="O13" s="15">
        <f t="shared" si="5"/>
        <v>0.23076978593593911</v>
      </c>
      <c r="Q13" s="3">
        <v>1000</v>
      </c>
      <c r="R13" s="4">
        <f>'Caracteristica externa'!$F$3*('Caracteristica externa'!$B$2+'Caracteristica externa'!$D$2*Q13/'Caracteristica externa'!$D$3+'Caracteristica externa'!$F$2*((Q13/'Caracteristica externa'!$D$3)^2))</f>
        <v>958.59792332970312</v>
      </c>
      <c r="S13" s="15">
        <f>PI()*'Rapoarte de transmitere'!$B$14*Performante!Q13/30/'Rapoarte de transmitere'!$B$7/'Rapoarte de transmitere'!$B$28</f>
        <v>3.7243713968273493</v>
      </c>
      <c r="T13" s="15">
        <f t="shared" si="6"/>
        <v>21562.648639137191</v>
      </c>
      <c r="U13" s="15">
        <f t="shared" si="7"/>
        <v>0.75470912389721045</v>
      </c>
      <c r="V13" s="15">
        <f>9.81*(U13-'Viteza maxima'!$B$2)/Performante!$B$3</f>
        <v>4.3051474077970404</v>
      </c>
      <c r="W13" s="15">
        <f t="shared" si="8"/>
        <v>0.23228008364798447</v>
      </c>
      <c r="Y13" s="3">
        <v>1000</v>
      </c>
      <c r="Z13" s="4">
        <f>'Caracteristica externa'!$F$3*('Caracteristica externa'!$B$2+'Caracteristica externa'!$D$2*Y13/'Caracteristica externa'!$D$3+'Caracteristica externa'!$F$2*((Y13/'Caracteristica externa'!$D$3)^2))</f>
        <v>958.59792332970312</v>
      </c>
      <c r="AA13" s="15">
        <f>PI()*'Rapoarte de transmitere'!$B$14*Performante!Y13/30/'Rapoarte de transmitere'!$B$7/'Rapoarte de transmitere'!$B$29</f>
        <v>5.5801050239573406</v>
      </c>
      <c r="AB13" s="15">
        <f t="shared" si="9"/>
        <v>14391.72049390708</v>
      </c>
      <c r="AC13" s="15">
        <f t="shared" si="10"/>
        <v>0.50076355070990863</v>
      </c>
      <c r="AD13" s="15">
        <f>9.81*(AC13-'Viteza maxima'!$B$2)/Performante!$B$4</f>
        <v>3.6364367277138188</v>
      </c>
      <c r="AE13" s="15">
        <f t="shared" si="11"/>
        <v>0.27499447257774429</v>
      </c>
      <c r="AG13" s="3">
        <v>1000</v>
      </c>
      <c r="AH13" s="4">
        <f>'Caracteristica externa'!$F$3*('Caracteristica externa'!$B$2+'Caracteristica externa'!$D$2*AG13/'Caracteristica externa'!$D$3+'Caracteristica externa'!$F$2*((AG13/'Caracteristica externa'!$D$3)^2))</f>
        <v>958.59792332970312</v>
      </c>
      <c r="AI13" s="15">
        <f>PI()*'Rapoarte de transmitere'!$B$14*Performante!AG13/30/'Rapoarte de transmitere'!$B$7/'Rapoarte de transmitere'!$B$30</f>
        <v>8.3604906065272839</v>
      </c>
      <c r="AJ13" s="15">
        <f t="shared" si="12"/>
        <v>9605.5740758493776</v>
      </c>
      <c r="AK13" s="15">
        <f t="shared" si="13"/>
        <v>0.32758907871601844</v>
      </c>
      <c r="AL13" s="15">
        <f>9.81*(AK13-'Viteza maxima'!$B$2)/Performante!$B$5</f>
        <v>2.6765665334647499</v>
      </c>
      <c r="AM13" s="15">
        <f t="shared" si="14"/>
        <v>0.37361298047223374</v>
      </c>
      <c r="AN13" s="4"/>
      <c r="AP13" s="3">
        <v>1000</v>
      </c>
      <c r="AQ13" s="4">
        <f>'Caracteristica externa'!$F$3*('Caracteristica externa'!$B$2+'Caracteristica externa'!$D$2*AP13/'Caracteristica externa'!$D$3+'Caracteristica externa'!$F$2*((AP13/'Caracteristica externa'!$D$3)^2))</f>
        <v>958.59792332970312</v>
      </c>
      <c r="AR13" s="15">
        <f>PI()*'Rapoarte de transmitere'!$B$14*Performante!AP13/30/'Rapoarte de transmitere'!$B$7/'Rapoarte de transmitere'!$B$31</f>
        <v>12.526252262589194</v>
      </c>
      <c r="AS13" s="15">
        <f t="shared" si="15"/>
        <v>6411.1204331471026</v>
      </c>
      <c r="AT13" s="15">
        <f t="shared" si="16"/>
        <v>0.20374130351784714</v>
      </c>
      <c r="AU13" s="15">
        <f>9.81*(AT13-'Viteza maxima'!$B$2)/Performante!$B$6</f>
        <v>1.7189831957642272</v>
      </c>
      <c r="AV13" s="15">
        <f t="shared" si="17"/>
        <v>0.58173925287001949</v>
      </c>
      <c r="AW13" s="4">
        <f>'Caracteristica externa'!B10</f>
        <v>100.38413978930089</v>
      </c>
      <c r="AY13" s="13">
        <f t="shared" si="18"/>
        <v>0.20374130351784717</v>
      </c>
    </row>
    <row r="14" spans="1:51" x14ac:dyDescent="0.25">
      <c r="A14" s="3">
        <v>1100</v>
      </c>
      <c r="B14" s="4">
        <f>'Caracteristica externa'!$F$3*('Caracteristica externa'!$B$2+'Caracteristica externa'!$D$2*A14/'Caracteristica externa'!$D$3+'Caracteristica externa'!$F$2*((A14/'Caracteristica externa'!$D$3)^2))</f>
        <v>964.5876005387405</v>
      </c>
      <c r="C14" s="15">
        <f>PI()*'Rapoarte de transmitere'!$B$14*Performante!A14/30/'Rapoarte de transmitere'!$B$7/'Rapoarte de transmitere'!$C$23</f>
        <v>1.8250168859401463</v>
      </c>
      <c r="D14" s="15">
        <f t="shared" si="0"/>
        <v>48706.405253724923</v>
      </c>
      <c r="E14" s="15">
        <f t="shared" si="1"/>
        <v>1.7085464417785061</v>
      </c>
      <c r="F14" s="15">
        <f>9.81*(E14-'Viteza maxima'!$B$2)/Performante!$B$1</f>
        <v>3.7519678277540685</v>
      </c>
      <c r="G14" s="15">
        <f t="shared" si="2"/>
        <v>0.26652680564124159</v>
      </c>
      <c r="I14" s="3">
        <v>1100</v>
      </c>
      <c r="J14" s="4">
        <f>'Caracteristica externa'!$F$3*('Caracteristica externa'!$B$2+'Caracteristica externa'!$D$2*I14/'Caracteristica externa'!$D$3+'Caracteristica externa'!$F$2*((I14/'Caracteristica externa'!$D$3)^2))</f>
        <v>964.5876005387405</v>
      </c>
      <c r="K14" s="15">
        <f>PI()*'Rapoarte de transmitere'!$B$14*Performante!I14/30/'Rapoarte de transmitere'!$B$7/'Rapoarte de transmitere'!$B$27</f>
        <v>2.7343636842224632</v>
      </c>
      <c r="L14" s="15">
        <f t="shared" si="3"/>
        <v>32508.481792087725</v>
      </c>
      <c r="M14" s="15">
        <f t="shared" si="4"/>
        <v>1.1396377964966704</v>
      </c>
      <c r="N14" s="15">
        <f>9.81*(M14-'Viteza maxima'!$B$2)/Performante!$B$2</f>
        <v>4.3601747540119327</v>
      </c>
      <c r="O14" s="15">
        <f t="shared" si="5"/>
        <v>0.2293486055988625</v>
      </c>
      <c r="Q14" s="3">
        <v>1100</v>
      </c>
      <c r="R14" s="4">
        <f>'Caracteristica externa'!$F$3*('Caracteristica externa'!$B$2+'Caracteristica externa'!$D$2*Q14/'Caracteristica externa'!$D$3+'Caracteristica externa'!$F$2*((Q14/'Caracteristica externa'!$D$3)^2))</f>
        <v>964.5876005387405</v>
      </c>
      <c r="S14" s="15">
        <f>PI()*'Rapoarte de transmitere'!$B$14*Performante!Q14/30/'Rapoarte de transmitere'!$B$7/'Rapoarte de transmitere'!$B$28</f>
        <v>4.0968085365100846</v>
      </c>
      <c r="T14" s="15">
        <f t="shared" si="6"/>
        <v>21697.380106812088</v>
      </c>
      <c r="U14" s="15">
        <f t="shared" si="7"/>
        <v>0.75904278565092609</v>
      </c>
      <c r="V14" s="15">
        <f>9.81*(U14-'Viteza maxima'!$B$2)/Performante!$B$3</f>
        <v>4.3304722640531725</v>
      </c>
      <c r="W14" s="15">
        <f t="shared" si="8"/>
        <v>0.23092169607017285</v>
      </c>
      <c r="Y14" s="3">
        <v>1100</v>
      </c>
      <c r="Z14" s="4">
        <f>'Caracteristica externa'!$F$3*('Caracteristica externa'!$B$2+'Caracteristica externa'!$D$2*Y14/'Caracteristica externa'!$D$3+'Caracteristica externa'!$F$2*((Y14/'Caracteristica externa'!$D$3)^2))</f>
        <v>964.5876005387405</v>
      </c>
      <c r="AA14" s="15">
        <f>PI()*'Rapoarte de transmitere'!$B$14*Performante!Y14/30/'Rapoarte de transmitere'!$B$7/'Rapoarte de transmitere'!$B$29</f>
        <v>6.1381155263530749</v>
      </c>
      <c r="AB14" s="15">
        <f t="shared" si="9"/>
        <v>14481.645329068173</v>
      </c>
      <c r="AC14" s="15">
        <f t="shared" si="10"/>
        <v>0.50303489746216856</v>
      </c>
      <c r="AD14" s="15">
        <f>9.81*(AC14-'Viteza maxima'!$B$2)/Performante!$B$4</f>
        <v>3.6535457425496443</v>
      </c>
      <c r="AE14" s="15">
        <f t="shared" si="11"/>
        <v>0.27370671409799985</v>
      </c>
      <c r="AG14" s="3">
        <v>1100</v>
      </c>
      <c r="AH14" s="4">
        <f>'Caracteristica externa'!$F$3*('Caracteristica externa'!$B$2+'Caracteristica externa'!$D$2*AG14/'Caracteristica externa'!$D$3+'Caracteristica externa'!$F$2*((AG14/'Caracteristica externa'!$D$3)^2))</f>
        <v>964.5876005387405</v>
      </c>
      <c r="AI14" s="15">
        <f>PI()*'Rapoarte de transmitere'!$B$14*Performante!AG14/30/'Rapoarte de transmitere'!$B$7/'Rapoarte de transmitere'!$B$30</f>
        <v>9.1965396671800139</v>
      </c>
      <c r="AJ14" s="15">
        <f t="shared" si="12"/>
        <v>9665.5932838213594</v>
      </c>
      <c r="AK14" s="15">
        <f t="shared" si="13"/>
        <v>0.32771080812510556</v>
      </c>
      <c r="AL14" s="15">
        <f>9.81*(AK14-'Viteza maxima'!$B$2)/Performante!$B$5</f>
        <v>2.6776189506360932</v>
      </c>
      <c r="AM14" s="15">
        <f t="shared" si="14"/>
        <v>0.37346613481445545</v>
      </c>
      <c r="AN14" s="4"/>
      <c r="AP14" s="3">
        <v>1100</v>
      </c>
      <c r="AQ14" s="4">
        <f>'Caracteristica externa'!$F$3*('Caracteristica externa'!$B$2+'Caracteristica externa'!$D$2*AP14/'Caracteristica externa'!$D$3+'Caracteristica externa'!$F$2*((AP14/'Caracteristica externa'!$D$3)^2))</f>
        <v>964.5876005387405</v>
      </c>
      <c r="AR14" s="15">
        <f>PI()*'Rapoarte de transmitere'!$B$14*Performante!AP14/30/'Rapoarte de transmitere'!$B$7/'Rapoarte de transmitere'!$B$31</f>
        <v>13.778877488848115</v>
      </c>
      <c r="AS14" s="15">
        <f t="shared" si="15"/>
        <v>6451.1795038046203</v>
      </c>
      <c r="AT14" s="15">
        <f t="shared" si="16"/>
        <v>0.200692723912617</v>
      </c>
      <c r="AU14" s="15">
        <f>9.81*(AT14-'Viteza maxima'!$B$2)/Performante!$B$6</f>
        <v>1.6907694543233709</v>
      </c>
      <c r="AV14" s="15">
        <f t="shared" si="17"/>
        <v>0.5914466915894161</v>
      </c>
      <c r="AW14" s="4">
        <f>'Caracteristica externa'!B11</f>
        <v>111.11251505186482</v>
      </c>
      <c r="AY14" s="13">
        <f t="shared" si="18"/>
        <v>0.20069272391261705</v>
      </c>
    </row>
    <row r="15" spans="1:51" x14ac:dyDescent="0.25">
      <c r="A15" s="3">
        <v>1200</v>
      </c>
      <c r="B15" s="4">
        <f>'Caracteristica externa'!$F$3*('Caracteristica externa'!$B$2+'Caracteristica externa'!$D$2*A15/'Caracteristica externa'!$D$3+'Caracteristica externa'!$F$2*((A15/'Caracteristica externa'!$D$3)^2))</f>
        <v>968.98003049203476</v>
      </c>
      <c r="C15" s="15">
        <f>PI()*'Rapoarte de transmitere'!$B$14*Performante!A15/30/'Rapoarte de transmitere'!$B$7/'Rapoarte de transmitere'!$C$23</f>
        <v>1.9909275119347054</v>
      </c>
      <c r="D15" s="15">
        <f t="shared" si="0"/>
        <v>48928.198974932071</v>
      </c>
      <c r="E15" s="15">
        <f t="shared" si="1"/>
        <v>1.7162430959806816</v>
      </c>
      <c r="F15" s="15">
        <f>9.81*(E15-'Viteza maxima'!$B$2)/Performante!$B$1</f>
        <v>3.7690496412045946</v>
      </c>
      <c r="G15" s="15">
        <f t="shared" si="2"/>
        <v>0.2653188721813699</v>
      </c>
      <c r="I15" s="3">
        <v>1200</v>
      </c>
      <c r="J15" s="4">
        <f>'Caracteristica externa'!$F$3*('Caracteristica externa'!$B$2+'Caracteristica externa'!$D$2*I15/'Caracteristica externa'!$D$3+'Caracteristica externa'!$F$2*((I15/'Caracteristica externa'!$D$3)^2))</f>
        <v>968.98003049203476</v>
      </c>
      <c r="K15" s="15">
        <f>PI()*'Rapoarte de transmitere'!$B$14*Performante!I15/30/'Rapoarte de transmitere'!$B$7/'Rapoarte de transmitere'!$B$27</f>
        <v>2.9829422009699602</v>
      </c>
      <c r="L15" s="15">
        <f t="shared" si="3"/>
        <v>32656.515240869299</v>
      </c>
      <c r="M15" s="15">
        <f t="shared" si="4"/>
        <v>1.1446398384534979</v>
      </c>
      <c r="N15" s="15">
        <f>9.81*(M15-'Viteza maxima'!$B$2)/Performante!$B$2</f>
        <v>4.3796193350761481</v>
      </c>
      <c r="O15" s="15">
        <f t="shared" si="5"/>
        <v>0.22833034642783928</v>
      </c>
      <c r="Q15" s="3">
        <v>1200</v>
      </c>
      <c r="R15" s="4">
        <f>'Caracteristica externa'!$F$3*('Caracteristica externa'!$B$2+'Caracteristica externa'!$D$2*Q15/'Caracteristica externa'!$D$3+'Caracteristica externa'!$F$2*((Q15/'Caracteristica externa'!$D$3)^2))</f>
        <v>968.98003049203476</v>
      </c>
      <c r="S15" s="15">
        <f>PI()*'Rapoarte de transmitere'!$B$14*Performante!Q15/30/'Rapoarte de transmitere'!$B$7/'Rapoarte de transmitere'!$B$28</f>
        <v>4.4692456761928199</v>
      </c>
      <c r="T15" s="15">
        <f t="shared" si="6"/>
        <v>21796.183183107019</v>
      </c>
      <c r="U15" s="15">
        <f t="shared" si="7"/>
        <v>0.76207830131547316</v>
      </c>
      <c r="V15" s="15">
        <f>9.81*(U15-'Viteza maxima'!$B$2)/Performante!$B$3</f>
        <v>4.3482110729950527</v>
      </c>
      <c r="W15" s="15">
        <f t="shared" si="8"/>
        <v>0.22997963604172483</v>
      </c>
      <c r="Y15" s="3">
        <v>1200</v>
      </c>
      <c r="Z15" s="4">
        <f>'Caracteristica externa'!$F$3*('Caracteristica externa'!$B$2+'Caracteristica externa'!$D$2*Y15/'Caracteristica externa'!$D$3+'Caracteristica externa'!$F$2*((Y15/'Caracteristica externa'!$D$3)^2))</f>
        <v>968.98003049203476</v>
      </c>
      <c r="AA15" s="15">
        <f>PI()*'Rapoarte de transmitere'!$B$14*Performante!Y15/30/'Rapoarte de transmitere'!$B$7/'Rapoarte de transmitere'!$B$29</f>
        <v>6.69612602874881</v>
      </c>
      <c r="AB15" s="15">
        <f t="shared" si="9"/>
        <v>14547.590208186315</v>
      </c>
      <c r="AC15" s="15">
        <f t="shared" si="10"/>
        <v>0.50438066028402706</v>
      </c>
      <c r="AD15" s="15">
        <f>9.81*(AC15-'Viteza maxima'!$B$2)/Performante!$B$4</f>
        <v>3.6636827575438411</v>
      </c>
      <c r="AE15" s="15">
        <f t="shared" si="11"/>
        <v>0.27294939714442062</v>
      </c>
      <c r="AG15" s="3">
        <v>1200</v>
      </c>
      <c r="AH15" s="4">
        <f>'Caracteristica externa'!$F$3*('Caracteristica externa'!$B$2+'Caracteristica externa'!$D$2*AG15/'Caracteristica externa'!$D$3+'Caracteristica externa'!$F$2*((AG15/'Caracteristica externa'!$D$3)^2))</f>
        <v>968.98003049203476</v>
      </c>
      <c r="AI15" s="15">
        <f>PI()*'Rapoarte de transmitere'!$B$14*Performante!AG15/30/'Rapoarte de transmitere'!$B$7/'Rapoarte de transmitere'!$B$30</f>
        <v>10.032588727832744</v>
      </c>
      <c r="AJ15" s="15">
        <f t="shared" si="12"/>
        <v>9709.6073696674812</v>
      </c>
      <c r="AK15" s="15">
        <f t="shared" si="13"/>
        <v>0.32708198213858858</v>
      </c>
      <c r="AL15" s="15">
        <f>9.81*(AK15-'Viteza maxima'!$B$2)/Performante!$B$5</f>
        <v>2.6721824068217415</v>
      </c>
      <c r="AM15" s="15">
        <f t="shared" si="14"/>
        <v>0.37422595008751175</v>
      </c>
      <c r="AN15" s="4"/>
      <c r="AP15" s="3">
        <v>1200</v>
      </c>
      <c r="AQ15" s="4">
        <f>'Caracteristica externa'!$F$3*('Caracteristica externa'!$B$2+'Caracteristica externa'!$D$2*AP15/'Caracteristica externa'!$D$3+'Caracteristica externa'!$F$2*((AP15/'Caracteristica externa'!$D$3)^2))</f>
        <v>968.98003049203476</v>
      </c>
      <c r="AR15" s="15">
        <f>PI()*'Rapoarte de transmitere'!$B$14*Performante!AP15/30/'Rapoarte de transmitere'!$B$7/'Rapoarte de transmitere'!$B$31</f>
        <v>15.031502715107038</v>
      </c>
      <c r="AS15" s="15">
        <f t="shared" si="15"/>
        <v>6480.5561556201365</v>
      </c>
      <c r="AT15" s="15">
        <f t="shared" si="16"/>
        <v>0.1968451167810791</v>
      </c>
      <c r="AU15" s="15">
        <f>9.81*(AT15-'Viteza maxima'!$B$2)/Performante!$B$6</f>
        <v>1.6551609392664024</v>
      </c>
      <c r="AV15" s="15">
        <f t="shared" si="17"/>
        <v>0.60417085509715951</v>
      </c>
      <c r="AW15" s="4">
        <f>'Caracteristica externa'!B12</f>
        <v>121.76562181075957</v>
      </c>
      <c r="AY15" s="13">
        <f t="shared" si="18"/>
        <v>0.19684511678107897</v>
      </c>
    </row>
    <row r="16" spans="1:51" x14ac:dyDescent="0.25">
      <c r="A16" s="3">
        <v>1269.818</v>
      </c>
      <c r="B16" s="4">
        <f>'Caracteristica externa'!$F$3*('Caracteristica externa'!$B$2+'Caracteristica externa'!$D$2*A16/'Caracteristica externa'!$D$3+'Caracteristica externa'!$F$2*((A16/'Caracteristica externa'!$D$3)^2))</f>
        <v>971.0998608623039</v>
      </c>
      <c r="C16" s="15">
        <f>PI()*'Rapoarte de transmitere'!$B$14*Performante!A16/30/'Rapoarte de transmitere'!$B$7/'Rapoarte de transmitere'!$C$23</f>
        <v>2.1067629927915865</v>
      </c>
      <c r="D16" s="15">
        <f t="shared" si="0"/>
        <v>49035.238830125942</v>
      </c>
      <c r="E16" s="15">
        <f t="shared" si="1"/>
        <v>1.7199347173129003</v>
      </c>
      <c r="F16" s="15">
        <f>9.81*(E16-'Viteza maxima'!$B$2)/Performante!$B$1</f>
        <v>3.7772427580148986</v>
      </c>
      <c r="G16" s="15">
        <f t="shared" si="2"/>
        <v>0.26474337607190024</v>
      </c>
      <c r="I16" s="3">
        <v>1269.818</v>
      </c>
      <c r="J16" s="4">
        <f>'Caracteristica externa'!$F$3*('Caracteristica externa'!$B$2+'Caracteristica externa'!$D$2*I16/'Caracteristica externa'!$D$3+'Caracteristica externa'!$F$2*((I16/'Caracteristica externa'!$D$3)^2))</f>
        <v>971.0998608623039</v>
      </c>
      <c r="K16" s="15">
        <f>PI()*'Rapoarte de transmitere'!$B$14*Performante!I16/30/'Rapoarte de transmitere'!$B$7/'Rapoarte de transmitere'!$B$27</f>
        <v>3.1564947497927274</v>
      </c>
      <c r="L16" s="15">
        <f t="shared" si="3"/>
        <v>32727.957655177452</v>
      </c>
      <c r="M16" s="15">
        <f t="shared" si="4"/>
        <v>1.1470025562206534</v>
      </c>
      <c r="N16" s="15">
        <f>9.81*(M16-'Viteza maxima'!$B$2)/Performante!$B$2</f>
        <v>4.3888039955711706</v>
      </c>
      <c r="O16" s="15">
        <f t="shared" si="5"/>
        <v>0.22785250856705377</v>
      </c>
      <c r="Q16" s="3">
        <v>1269.818</v>
      </c>
      <c r="R16" s="4">
        <f>'Caracteristica externa'!$F$3*('Caracteristica externa'!$B$2+'Caracteristica externa'!$D$2*Q16/'Caracteristica externa'!$D$3+'Caracteristica externa'!$F$2*((Q16/'Caracteristica externa'!$D$3)^2))</f>
        <v>971.0998608623039</v>
      </c>
      <c r="S16" s="15">
        <f>PI()*'Rapoarte de transmitere'!$B$14*Performante!Q16/30/'Rapoarte de transmitere'!$B$7/'Rapoarte de transmitere'!$B$28</f>
        <v>4.7292738383765114</v>
      </c>
      <c r="T16" s="15">
        <f t="shared" si="6"/>
        <v>21843.866530145697</v>
      </c>
      <c r="U16" s="15">
        <f t="shared" si="7"/>
        <v>0.76342807372016019</v>
      </c>
      <c r="V16" s="15">
        <f>9.81*(U16-'Viteza maxima'!$B$2)/Performante!$B$3</f>
        <v>4.3560988118334336</v>
      </c>
      <c r="W16" s="15">
        <f t="shared" si="8"/>
        <v>0.22956320395751334</v>
      </c>
      <c r="Y16" s="3">
        <v>1269.818</v>
      </c>
      <c r="Z16" s="4">
        <f>'Caracteristica externa'!$F$3*('Caracteristica externa'!$B$2+'Caracteristica externa'!$D$2*Y16/'Caracteristica externa'!$D$3+'Caracteristica externa'!$F$2*((Y16/'Caracteristica externa'!$D$3)^2))</f>
        <v>971.0998608623039</v>
      </c>
      <c r="AA16" s="15">
        <f>PI()*'Rapoarte de transmitere'!$B$14*Performante!Y16/30/'Rapoarte de transmitere'!$B$7/'Rapoarte de transmitere'!$B$29</f>
        <v>7.0857178013114632</v>
      </c>
      <c r="AB16" s="15">
        <f t="shared" si="9"/>
        <v>14579.415862551847</v>
      </c>
      <c r="AC16" s="15">
        <f t="shared" si="10"/>
        <v>0.50477154247475464</v>
      </c>
      <c r="AD16" s="15">
        <f>9.81*(AC16-'Viteza maxima'!$B$2)/Performante!$B$4</f>
        <v>3.6666270940673438</v>
      </c>
      <c r="AE16" s="15">
        <f t="shared" si="11"/>
        <v>0.27273021617551851</v>
      </c>
      <c r="AG16" s="3">
        <v>1269.818</v>
      </c>
      <c r="AH16" s="4">
        <f>'Caracteristica externa'!$F$3*('Caracteristica externa'!$B$2+'Caracteristica externa'!$D$2*AG16/'Caracteristica externa'!$D$3+'Caracteristica externa'!$F$2*((AG16/'Caracteristica externa'!$D$3)^2))</f>
        <v>971.0998608623039</v>
      </c>
      <c r="AI16" s="15">
        <f>PI()*'Rapoarte de transmitere'!$B$14*Performante!AG16/30/'Rapoarte de transmitere'!$B$7/'Rapoarte de transmitere'!$B$30</f>
        <v>10.616301460999265</v>
      </c>
      <c r="AJ16" s="15">
        <f t="shared" si="12"/>
        <v>9730.8490051376739</v>
      </c>
      <c r="AK16" s="15">
        <f t="shared" si="13"/>
        <v>0.32619800592085169</v>
      </c>
      <c r="AL16" s="15">
        <f>9.81*(AK16-'Viteza maxima'!$B$2)/Performante!$B$5</f>
        <v>2.6645399500187237</v>
      </c>
      <c r="AM16" s="15">
        <f t="shared" si="14"/>
        <v>0.37529930823254237</v>
      </c>
      <c r="AN16" s="4"/>
      <c r="AP16" s="3">
        <v>1269.818</v>
      </c>
      <c r="AQ16" s="4">
        <f>'Caracteristica externa'!$F$3*('Caracteristica externa'!$B$2+'Caracteristica externa'!$D$2*AP16/'Caracteristica externa'!$D$3+'Caracteristica externa'!$F$2*((AP16/'Caracteristica externa'!$D$3)^2))</f>
        <v>971.0998608623039</v>
      </c>
      <c r="AR16" s="15">
        <f>PI()*'Rapoarte de transmitere'!$B$14*Performante!AP16/30/'Rapoarte de transmitere'!$B$7/'Rapoarte de transmitere'!$B$31</f>
        <v>15.90606059557649</v>
      </c>
      <c r="AS16" s="15">
        <f t="shared" si="15"/>
        <v>6494.7336198842258</v>
      </c>
      <c r="AT16" s="15">
        <f t="shared" si="16"/>
        <v>0.19368511680859676</v>
      </c>
      <c r="AU16" s="15">
        <f>9.81*(AT16-'Viteza maxima'!$B$2)/Performante!$B$6</f>
        <v>1.6259160338606931</v>
      </c>
      <c r="AV16" s="15">
        <f t="shared" si="17"/>
        <v>0.61503791042980704</v>
      </c>
      <c r="AW16" s="4">
        <f>'Caracteristica externa'!B13</f>
        <v>132.29328106353913</v>
      </c>
      <c r="AY16" s="13">
        <f t="shared" si="18"/>
        <v>0.19926392014304861</v>
      </c>
    </row>
    <row r="17" spans="1:51" x14ac:dyDescent="0.25">
      <c r="A17" s="3">
        <v>1300</v>
      </c>
      <c r="B17" s="4">
        <f>'Caracteristica externa'!$F$3*('Caracteristica externa'!$B$2+'Caracteristica externa'!$D$2*A17/'Caracteristica externa'!$D$3+'Caracteristica externa'!$F$2*((A17/'Caracteristica externa'!$D$3)^2))</f>
        <v>971.77521318958543</v>
      </c>
      <c r="C17" s="15">
        <f>PI()*'Rapoarte de transmitere'!$B$14*Performante!A17/30/'Rapoarte de transmitere'!$B$7/'Rapoarte de transmitere'!$C$23</f>
        <v>2.1568381379292636</v>
      </c>
      <c r="D17" s="15">
        <f t="shared" si="0"/>
        <v>49069.340433882047</v>
      </c>
      <c r="E17" s="15">
        <f t="shared" si="1"/>
        <v>1.7211024043631695</v>
      </c>
      <c r="F17" s="15">
        <f>9.81*(E17-'Viteza maxima'!$B$2)/Performante!$B$1</f>
        <v>3.7798343012799784</v>
      </c>
      <c r="G17" s="15">
        <f t="shared" si="2"/>
        <v>0.26456186178885316</v>
      </c>
      <c r="I17" s="3">
        <v>1300</v>
      </c>
      <c r="J17" s="4">
        <f>'Caracteristica externa'!$F$3*('Caracteristica externa'!$B$2+'Caracteristica externa'!$D$2*I17/'Caracteristica externa'!$D$3+'Caracteristica externa'!$F$2*((I17/'Caracteristica externa'!$D$3)^2))</f>
        <v>971.77521318958543</v>
      </c>
      <c r="K17" s="15">
        <f>PI()*'Rapoarte de transmitere'!$B$14*Performante!I17/30/'Rapoarte de transmitere'!$B$7/'Rapoarte de transmitere'!$B$27</f>
        <v>3.2315207177174563</v>
      </c>
      <c r="L17" s="15">
        <f t="shared" si="3"/>
        <v>32750.718344639372</v>
      </c>
      <c r="M17" s="15">
        <f t="shared" si="4"/>
        <v>1.1477363907973761</v>
      </c>
      <c r="N17" s="15">
        <f>9.81*(M17-'Viteza maxima'!$B$2)/Performante!$B$2</f>
        <v>4.391656651753979</v>
      </c>
      <c r="O17" s="15">
        <f t="shared" si="5"/>
        <v>0.22770450408517504</v>
      </c>
      <c r="Q17" s="3">
        <v>1300</v>
      </c>
      <c r="R17" s="4">
        <f>'Caracteristica externa'!$F$3*('Caracteristica externa'!$B$2+'Caracteristica externa'!$D$2*Q17/'Caracteristica externa'!$D$3+'Caracteristica externa'!$F$2*((Q17/'Caracteristica externa'!$D$3)^2))</f>
        <v>971.77521318958543</v>
      </c>
      <c r="S17" s="15">
        <f>PI()*'Rapoarte de transmitere'!$B$14*Performante!Q17/30/'Rapoarte de transmitere'!$B$7/'Rapoarte de transmitere'!$B$28</f>
        <v>4.8416828158755543</v>
      </c>
      <c r="T17" s="15">
        <f t="shared" si="6"/>
        <v>21859.05786802197</v>
      </c>
      <c r="U17" s="15">
        <f t="shared" si="7"/>
        <v>0.76381567089085134</v>
      </c>
      <c r="V17" s="15">
        <f>9.81*(U17-'Viteza maxima'!$B$2)/Performante!$B$3</f>
        <v>4.3583638346226774</v>
      </c>
      <c r="W17" s="15">
        <f t="shared" si="8"/>
        <v>0.22944390095568384</v>
      </c>
      <c r="Y17" s="3">
        <v>1300</v>
      </c>
      <c r="Z17" s="4">
        <f>'Caracteristica externa'!$F$3*('Caracteristica externa'!$B$2+'Caracteristica externa'!$D$2*Y17/'Caracteristica externa'!$D$3+'Caracteristica externa'!$F$2*((Y17/'Caracteristica externa'!$D$3)^2))</f>
        <v>971.77521318958543</v>
      </c>
      <c r="AA17" s="15">
        <f>PI()*'Rapoarte de transmitere'!$B$14*Performante!Y17/30/'Rapoarte de transmitere'!$B$7/'Rapoarte de transmitere'!$B$29</f>
        <v>7.2541365311445425</v>
      </c>
      <c r="AB17" s="15">
        <f t="shared" si="9"/>
        <v>14589.55513126149</v>
      </c>
      <c r="AC17" s="15">
        <f t="shared" si="10"/>
        <v>0.50480083917548324</v>
      </c>
      <c r="AD17" s="15">
        <f>9.81*(AC17-'Viteza maxima'!$B$2)/Performante!$B$4</f>
        <v>3.6668477726964026</v>
      </c>
      <c r="AE17" s="15">
        <f t="shared" si="11"/>
        <v>0.2727138026961653</v>
      </c>
      <c r="AG17" s="3">
        <v>1300</v>
      </c>
      <c r="AH17" s="4">
        <f>'Caracteristica externa'!$F$3*('Caracteristica externa'!$B$2+'Caracteristica externa'!$D$2*AG17/'Caracteristica externa'!$D$3+'Caracteristica externa'!$F$2*((AG17/'Caracteristica externa'!$D$3)^2))</f>
        <v>971.77521318958543</v>
      </c>
      <c r="AI17" s="15">
        <f>PI()*'Rapoarte de transmitere'!$B$14*Performante!AG17/30/'Rapoarte de transmitere'!$B$7/'Rapoarte de transmitere'!$B$30</f>
        <v>10.86863778848547</v>
      </c>
      <c r="AJ17" s="15">
        <f t="shared" si="12"/>
        <v>9737.6163333877375</v>
      </c>
      <c r="AK17" s="15">
        <f t="shared" si="13"/>
        <v>0.32570260075646729</v>
      </c>
      <c r="AL17" s="15">
        <f>9.81*(AK17-'Viteza maxima'!$B$2)/Performante!$B$5</f>
        <v>2.6602569020216942</v>
      </c>
      <c r="AM17" s="15">
        <f t="shared" si="14"/>
        <v>0.37590354496967493</v>
      </c>
      <c r="AN17" s="4"/>
      <c r="AP17" s="3">
        <v>1300</v>
      </c>
      <c r="AQ17" s="4">
        <f>'Caracteristica externa'!$F$3*('Caracteristica externa'!$B$2+'Caracteristica externa'!$D$2*AP17/'Caracteristica externa'!$D$3+'Caracteristica externa'!$F$2*((AP17/'Caracteristica externa'!$D$3)^2))</f>
        <v>971.77521318958543</v>
      </c>
      <c r="AR17" s="15">
        <f>PI()*'Rapoarte de transmitere'!$B$14*Performante!AP17/30/'Rapoarte de transmitere'!$B$7/'Rapoarte de transmitere'!$B$31</f>
        <v>16.284127941365956</v>
      </c>
      <c r="AS17" s="15">
        <f t="shared" si="15"/>
        <v>6499.250388593643</v>
      </c>
      <c r="AT17" s="15">
        <f t="shared" si="16"/>
        <v>0.19219848212323323</v>
      </c>
      <c r="AU17" s="15">
        <f>9.81*(AT17-'Viteza maxima'!$B$2)/Performante!$B$6</f>
        <v>1.6121576505933193</v>
      </c>
      <c r="AV17" s="15">
        <f t="shared" si="17"/>
        <v>0.62028673165553749</v>
      </c>
      <c r="AW17" s="4">
        <f>'Caracteristica externa'!B14</f>
        <v>142.6453138077573</v>
      </c>
      <c r="AY17" s="13">
        <f t="shared" si="18"/>
        <v>0.21004305914464944</v>
      </c>
    </row>
    <row r="18" spans="1:51" x14ac:dyDescent="0.25">
      <c r="A18" s="23">
        <v>1400</v>
      </c>
      <c r="B18" s="24">
        <f>'Caracteristica externa'!$F$3*('Caracteristica externa'!$B$2+'Caracteristica externa'!$D$2*A18/'Caracteristica externa'!$D$3+'Caracteristica externa'!$F$2*((A18/'Caracteristica externa'!$D$3)^2))</f>
        <v>972.97314863139309</v>
      </c>
      <c r="C18" s="36">
        <f>PI()*'Rapoarte de transmitere'!$B$14*Performante!A18/30/'Rapoarte de transmitere'!$B$7/'Rapoarte de transmitere'!$C$23</f>
        <v>2.3227487639238227</v>
      </c>
      <c r="D18" s="36">
        <f t="shared" si="0"/>
        <v>49129.829630574917</v>
      </c>
      <c r="E18" s="36">
        <f t="shared" si="1"/>
        <v>1.7231243669259722</v>
      </c>
      <c r="F18" s="36">
        <f>9.81*(E18-'Viteza maxima'!$B$2)/Performante!$B$1</f>
        <v>3.7843218079802239</v>
      </c>
      <c r="G18" s="36">
        <f t="shared" si="2"/>
        <v>0.26424814028533217</v>
      </c>
      <c r="I18" s="23">
        <v>1400</v>
      </c>
      <c r="J18" s="24">
        <f>'Caracteristica externa'!$F$3*('Caracteristica externa'!$B$2+'Caracteristica externa'!$D$2*I18/'Caracteristica externa'!$D$3+'Caracteristica externa'!$F$2*((I18/'Caracteristica externa'!$D$3)^2))</f>
        <v>972.97314863139309</v>
      </c>
      <c r="K18" s="36">
        <f>PI()*'Rapoarte de transmitere'!$B$14*Performante!I18/30/'Rapoarte de transmitere'!$B$7/'Rapoarte de transmitere'!$B$27</f>
        <v>3.4800992344649537</v>
      </c>
      <c r="L18" s="36">
        <f t="shared" si="3"/>
        <v>32791.091103397986</v>
      </c>
      <c r="M18" s="36">
        <f t="shared" si="4"/>
        <v>1.1489274535283058</v>
      </c>
      <c r="N18" s="36">
        <f>9.81*(M18-'Viteza maxima'!$B$2)/Performante!$B$2</f>
        <v>4.3962867040454272</v>
      </c>
      <c r="O18" s="36">
        <f t="shared" si="5"/>
        <v>0.22746469175447728</v>
      </c>
      <c r="Q18" s="23">
        <v>1400</v>
      </c>
      <c r="R18" s="24">
        <f>'Caracteristica externa'!$F$3*('Caracteristica externa'!$B$2+'Caracteristica externa'!$D$2*Q18/'Caracteristica externa'!$D$3+'Caracteristica externa'!$F$2*((Q18/'Caracteristica externa'!$D$3)^2))</f>
        <v>972.97314863139309</v>
      </c>
      <c r="S18" s="36">
        <f>PI()*'Rapoarte de transmitere'!$B$14*Performante!Q18/30/'Rapoarte de transmitere'!$B$7/'Rapoarte de transmitere'!$B$28</f>
        <v>5.2141199555582896</v>
      </c>
      <c r="T18" s="36">
        <f t="shared" si="6"/>
        <v>21886.004161556957</v>
      </c>
      <c r="U18" s="36">
        <f t="shared" si="7"/>
        <v>0.76425489437706107</v>
      </c>
      <c r="V18" s="36">
        <f>9.81*(U18-'Viteza maxima'!$B$2)/Performante!$B$3</f>
        <v>4.3609305489360501</v>
      </c>
      <c r="W18" s="36">
        <f t="shared" si="8"/>
        <v>0.22930885708417739</v>
      </c>
      <c r="Y18" s="23">
        <v>1400</v>
      </c>
      <c r="Z18" s="24">
        <f>'Caracteristica externa'!$F$3*('Caracteristica externa'!$B$2+'Caracteristica externa'!$D$2*Y18/'Caracteristica externa'!$D$3+'Caracteristica externa'!$F$2*((Y18/'Caracteristica externa'!$D$3)^2))</f>
        <v>972.97314863139309</v>
      </c>
      <c r="AA18" s="36">
        <f>PI()*'Rapoarte de transmitere'!$B$14*Performante!Y18/30/'Rapoarte de transmitere'!$B$7/'Rapoarte de transmitere'!$B$29</f>
        <v>7.8121470335402776</v>
      </c>
      <c r="AB18" s="36">
        <f t="shared" si="9"/>
        <v>14607.540098293712</v>
      </c>
      <c r="AC18" s="36">
        <f t="shared" si="10"/>
        <v>0.50429543413653788</v>
      </c>
      <c r="AD18" s="36">
        <f>9.81*(AC18-'Viteza maxima'!$B$2)/Performante!$B$4</f>
        <v>3.663040788007335</v>
      </c>
      <c r="AE18" s="36">
        <f t="shared" si="11"/>
        <v>0.27299723313864382</v>
      </c>
      <c r="AG18" s="23">
        <v>1400</v>
      </c>
      <c r="AH18" s="24">
        <f>'Caracteristica externa'!$F$3*('Caracteristica externa'!$B$2+'Caracteristica externa'!$D$2*AG18/'Caracteristica externa'!$D$3+'Caracteristica externa'!$F$2*((AG18/'Caracteristica externa'!$D$3)^2))</f>
        <v>972.97314863139309</v>
      </c>
      <c r="AI18" s="36">
        <f>PI()*'Rapoarte de transmitere'!$B$14*Performante!AG18/30/'Rapoarte de transmitere'!$B$7/'Rapoarte de transmitere'!$B$30</f>
        <v>11.7046868491382</v>
      </c>
      <c r="AJ18" s="36">
        <f t="shared" si="12"/>
        <v>9749.6201749821375</v>
      </c>
      <c r="AK18" s="36">
        <f t="shared" si="13"/>
        <v>0.32357266397874201</v>
      </c>
      <c r="AL18" s="36">
        <f>9.81*(AK18-'Viteza maxima'!$B$2)/Performante!$B$5</f>
        <v>2.6418424362359532</v>
      </c>
      <c r="AM18" s="36">
        <f t="shared" si="14"/>
        <v>0.37852370992449536</v>
      </c>
      <c r="AN18" s="4"/>
      <c r="AP18" s="23">
        <v>1400</v>
      </c>
      <c r="AQ18" s="24">
        <f>'Caracteristica externa'!$F$3*('Caracteristica externa'!$B$2+'Caracteristica externa'!$D$2*AP18/'Caracteristica externa'!$D$3+'Caracteristica externa'!$F$2*((AP18/'Caracteristica externa'!$D$3)^2))</f>
        <v>972.97314863139309</v>
      </c>
      <c r="AR18" s="36">
        <f>PI()*'Rapoarte de transmitere'!$B$14*Performante!AP18/30/'Rapoarte de transmitere'!$B$7/'Rapoarte de transmitere'!$B$31</f>
        <v>17.536753167624877</v>
      </c>
      <c r="AS18" s="36">
        <f t="shared" si="15"/>
        <v>6507.2622027251482</v>
      </c>
      <c r="AT18" s="36">
        <f t="shared" si="16"/>
        <v>0.18675281993907955</v>
      </c>
      <c r="AU18" s="36">
        <f>9.81*(AT18-'Viteza maxima'!$B$2)/Performante!$B$6</f>
        <v>1.5617595883041233</v>
      </c>
      <c r="AV18" s="36">
        <f t="shared" si="17"/>
        <v>0.64030341640858801</v>
      </c>
      <c r="AW18" s="24">
        <f>'Caracteristica externa'!B15</f>
        <v>152.77154104096803</v>
      </c>
      <c r="AY18" s="13">
        <f t="shared" si="18"/>
        <v>0.20296134909213115</v>
      </c>
    </row>
    <row r="19" spans="1:51" x14ac:dyDescent="0.25">
      <c r="A19" s="3">
        <v>1500</v>
      </c>
      <c r="B19" s="4">
        <f>'Caracteristica externa'!$F$3*('Caracteristica externa'!$B$2+'Caracteristica externa'!$D$2*A19/'Caracteristica externa'!$D$3+'Caracteristica externa'!$F$2*((A19/'Caracteristica externa'!$D$3)^2))</f>
        <v>972.57383681745728</v>
      </c>
      <c r="C19" s="15">
        <f>PI()*'Rapoarte de transmitere'!$B$14*Performante!A19/30/'Rapoarte de transmitere'!$B$7/'Rapoarte de transmitere'!$C$23</f>
        <v>2.4886593899183813</v>
      </c>
      <c r="D19" s="15">
        <f t="shared" si="0"/>
        <v>49109.66656501063</v>
      </c>
      <c r="E19" s="15">
        <f t="shared" si="1"/>
        <v>1.7223089836690879</v>
      </c>
      <c r="F19" s="15">
        <f>9.81*(E19-'Viteza maxima'!$B$2)/Performante!$B$1</f>
        <v>3.7825121613053301</v>
      </c>
      <c r="G19" s="15">
        <f t="shared" si="2"/>
        <v>0.26437456308267465</v>
      </c>
      <c r="I19" s="3">
        <v>1500</v>
      </c>
      <c r="J19" s="4">
        <f>'Caracteristica externa'!$F$3*('Caracteristica externa'!$B$2+'Caracteristica externa'!$D$2*I19/'Caracteristica externa'!$D$3+'Caracteristica externa'!$F$2*((I19/'Caracteristica externa'!$D$3)^2))</f>
        <v>972.57383681745728</v>
      </c>
      <c r="K19" s="15">
        <f>PI()*'Rapoarte de transmitere'!$B$14*Performante!I19/30/'Rapoarte de transmitere'!$B$7/'Rapoarte de transmitere'!$B$27</f>
        <v>3.7286777512124498</v>
      </c>
      <c r="L19" s="15">
        <f t="shared" si="3"/>
        <v>32777.633517145121</v>
      </c>
      <c r="M19" s="15">
        <f t="shared" si="4"/>
        <v>1.1482130266462869</v>
      </c>
      <c r="N19" s="15">
        <f>9.81*(M19-'Viteza maxima'!$B$2)/Performante!$B$2</f>
        <v>4.3935094919504918</v>
      </c>
      <c r="O19" s="15">
        <f t="shared" si="5"/>
        <v>0.2276084760559039</v>
      </c>
      <c r="Q19" s="3">
        <v>1500</v>
      </c>
      <c r="R19" s="4">
        <f>'Caracteristica externa'!$F$3*('Caracteristica externa'!$B$2+'Caracteristica externa'!$D$2*Q19/'Caracteristica externa'!$D$3+'Caracteristica externa'!$F$2*((Q19/'Caracteristica externa'!$D$3)^2))</f>
        <v>972.57383681745728</v>
      </c>
      <c r="S19" s="15">
        <f>PI()*'Rapoarte de transmitere'!$B$14*Performante!Q19/30/'Rapoarte de transmitere'!$B$7/'Rapoarte de transmitere'!$B$28</f>
        <v>5.586557095241024</v>
      </c>
      <c r="T19" s="15">
        <f t="shared" si="6"/>
        <v>21877.02206371196</v>
      </c>
      <c r="U19" s="15">
        <f t="shared" si="7"/>
        <v>0.7633959717741019</v>
      </c>
      <c r="V19" s="15">
        <f>9.81*(U19-'Viteza maxima'!$B$2)/Performante!$B$3</f>
        <v>4.3559112159351683</v>
      </c>
      <c r="W19" s="15">
        <f t="shared" si="8"/>
        <v>0.22957309054916319</v>
      </c>
      <c r="Y19" s="3">
        <v>1500</v>
      </c>
      <c r="Z19" s="4">
        <f>'Caracteristica externa'!$F$3*('Caracteristica externa'!$B$2+'Caracteristica externa'!$D$2*Y19/'Caracteristica externa'!$D$3+'Caracteristica externa'!$F$2*((Y19/'Caracteristica externa'!$D$3)^2))</f>
        <v>972.57383681745728</v>
      </c>
      <c r="AA19" s="15">
        <f>PI()*'Rapoarte de transmitere'!$B$14*Performante!Y19/30/'Rapoarte de transmitere'!$B$7/'Rapoarte de transmitere'!$B$29</f>
        <v>8.370157535936011</v>
      </c>
      <c r="AB19" s="15">
        <f t="shared" si="9"/>
        <v>14601.545109282972</v>
      </c>
      <c r="AC19" s="15">
        <f t="shared" si="10"/>
        <v>0.50286444516719053</v>
      </c>
      <c r="AD19" s="15">
        <f>9.81*(AC19-'Viteza maxima'!$B$2)/Performante!$B$4</f>
        <v>3.6522618034766343</v>
      </c>
      <c r="AE19" s="15">
        <f t="shared" si="11"/>
        <v>0.27380293467683159</v>
      </c>
      <c r="AG19" s="3">
        <v>1500</v>
      </c>
      <c r="AH19" s="4">
        <f>'Caracteristica externa'!$F$3*('Caracteristica externa'!$B$2+'Caracteristica externa'!$D$2*AG19/'Caracteristica externa'!$D$3+'Caracteristica externa'!$F$2*((AG19/'Caracteristica externa'!$D$3)^2))</f>
        <v>972.57383681745728</v>
      </c>
      <c r="AI19" s="15">
        <f>PI()*'Rapoarte de transmitere'!$B$14*Performante!AG19/30/'Rapoarte de transmitere'!$B$7/'Rapoarte de transmitere'!$B$30</f>
        <v>12.540735909790927</v>
      </c>
      <c r="AJ19" s="15">
        <f t="shared" si="12"/>
        <v>9745.6188944506721</v>
      </c>
      <c r="AK19" s="15">
        <f t="shared" si="13"/>
        <v>0.32069217180541243</v>
      </c>
      <c r="AL19" s="15">
        <f>9.81*(AK19-'Viteza maxima'!$B$2)/Performante!$B$5</f>
        <v>2.6169390094645157</v>
      </c>
      <c r="AM19" s="15">
        <f t="shared" si="14"/>
        <v>0.38212583341964179</v>
      </c>
      <c r="AN19" s="4"/>
      <c r="AP19" s="3">
        <v>1500</v>
      </c>
      <c r="AQ19" s="4">
        <f>'Caracteristica externa'!$F$3*('Caracteristica externa'!$B$2+'Caracteristica externa'!$D$2*AP19/'Caracteristica externa'!$D$3+'Caracteristica externa'!$F$2*((AP19/'Caracteristica externa'!$D$3)^2))</f>
        <v>972.57383681745728</v>
      </c>
      <c r="AR19" s="15">
        <f>PI()*'Rapoarte de transmitere'!$B$14*Performante!AP19/30/'Rapoarte de transmitere'!$B$7/'Rapoarte de transmitere'!$B$31</f>
        <v>18.789378393883794</v>
      </c>
      <c r="AS19" s="15">
        <f t="shared" si="15"/>
        <v>6504.5915980146474</v>
      </c>
      <c r="AT19" s="15">
        <f t="shared" si="16"/>
        <v>0.18050813022861803</v>
      </c>
      <c r="AU19" s="15">
        <f>9.81*(AT19-'Viteza maxima'!$B$2)/Performante!$B$6</f>
        <v>1.5039667523988145</v>
      </c>
      <c r="AV19" s="15">
        <f t="shared" si="17"/>
        <v>0.66490831556283292</v>
      </c>
      <c r="AW19" s="4">
        <f>'Caracteristica externa'!B16</f>
        <v>162.62178376072529</v>
      </c>
      <c r="AY19" s="13">
        <f t="shared" si="18"/>
        <v>0.19522378688633621</v>
      </c>
    </row>
    <row r="20" spans="1:51" x14ac:dyDescent="0.25">
      <c r="A20" s="3">
        <v>1600</v>
      </c>
      <c r="B20" s="4">
        <f>'Caracteristica externa'!$F$3*('Caracteristica externa'!$B$2+'Caracteristica externa'!$D$2*A20/'Caracteristica externa'!$D$3+'Caracteristica externa'!$F$2*((A20/'Caracteristica externa'!$D$3)^2))</f>
        <v>970.57727774777788</v>
      </c>
      <c r="C20" s="15">
        <f>PI()*'Rapoarte de transmitere'!$B$14*Performante!A20/30/'Rapoarte de transmitere'!$B$7/'Rapoarte de transmitere'!$C$23</f>
        <v>2.65457001591294</v>
      </c>
      <c r="D20" s="15">
        <f t="shared" si="0"/>
        <v>49008.851237189192</v>
      </c>
      <c r="E20" s="15">
        <f t="shared" si="1"/>
        <v>1.7186562545925164</v>
      </c>
      <c r="F20" s="15">
        <f>9.81*(E20-'Viteza maxima'!$B$2)/Performante!$B$1</f>
        <v>3.7744053612552944</v>
      </c>
      <c r="G20" s="15">
        <f t="shared" si="2"/>
        <v>0.2649423960301443</v>
      </c>
      <c r="I20" s="3">
        <v>1600</v>
      </c>
      <c r="J20" s="4">
        <f>'Caracteristica externa'!$F$3*('Caracteristica externa'!$B$2+'Caracteristica externa'!$D$2*I20/'Caracteristica externa'!$D$3+'Caracteristica externa'!$F$2*((I20/'Caracteristica externa'!$D$3)^2))</f>
        <v>970.57727774777788</v>
      </c>
      <c r="K20" s="15">
        <f>PI()*'Rapoarte de transmitere'!$B$14*Performante!I20/30/'Rapoarte de transmitere'!$B$7/'Rapoarte de transmitere'!$B$27</f>
        <v>3.9772562679599464</v>
      </c>
      <c r="L20" s="15">
        <f t="shared" si="3"/>
        <v>32710.345585880761</v>
      </c>
      <c r="M20" s="15">
        <f t="shared" si="4"/>
        <v>1.1455931101513184</v>
      </c>
      <c r="N20" s="15">
        <f>9.81*(M20-'Viteza maxima'!$B$2)/Performante!$B$2</f>
        <v>4.383325015469171</v>
      </c>
      <c r="O20" s="15">
        <f t="shared" si="5"/>
        <v>0.22813731504529208</v>
      </c>
      <c r="Q20" s="3">
        <v>1600</v>
      </c>
      <c r="R20" s="4">
        <f>'Caracteristica externa'!$F$3*('Caracteristica externa'!$B$2+'Caracteristica externa'!$D$2*Q20/'Caracteristica externa'!$D$3+'Caracteristica externa'!$F$2*((Q20/'Caracteristica externa'!$D$3)^2))</f>
        <v>970.57727774777788</v>
      </c>
      <c r="S20" s="15">
        <f>PI()*'Rapoarte de transmitere'!$B$14*Performante!Q20/30/'Rapoarte de transmitere'!$B$7/'Rapoarte de transmitere'!$B$28</f>
        <v>5.9589942349237592</v>
      </c>
      <c r="T20" s="15">
        <f t="shared" si="6"/>
        <v>21832.111574486989</v>
      </c>
      <c r="U20" s="15">
        <f t="shared" si="7"/>
        <v>0.76123890308197406</v>
      </c>
      <c r="V20" s="15">
        <f>9.81*(U20-'Viteza maxima'!$B$2)/Performante!$B$3</f>
        <v>4.3433058356200336</v>
      </c>
      <c r="W20" s="15">
        <f t="shared" si="8"/>
        <v>0.23023937015875462</v>
      </c>
      <c r="Y20" s="3">
        <v>1600</v>
      </c>
      <c r="Z20" s="4">
        <f>'Caracteristica externa'!$F$3*('Caracteristica externa'!$B$2+'Caracteristica externa'!$D$2*Y20/'Caracteristica externa'!$D$3+'Caracteristica externa'!$F$2*((Y20/'Caracteristica externa'!$D$3)^2))</f>
        <v>970.57727774777788</v>
      </c>
      <c r="AA20" s="15">
        <f>PI()*'Rapoarte de transmitere'!$B$14*Performante!Y20/30/'Rapoarte de transmitere'!$B$7/'Rapoarte de transmitere'!$B$29</f>
        <v>8.9281680383317443</v>
      </c>
      <c r="AB20" s="15">
        <f t="shared" si="9"/>
        <v>14571.570164229272</v>
      </c>
      <c r="AC20" s="15">
        <f t="shared" si="10"/>
        <v>0.50050787226744142</v>
      </c>
      <c r="AD20" s="15">
        <f>9.81*(AC20-'Viteza maxima'!$B$2)/Performante!$B$4</f>
        <v>3.6345108191043036</v>
      </c>
      <c r="AE20" s="15">
        <f t="shared" si="11"/>
        <v>0.27514019073588619</v>
      </c>
      <c r="AG20" s="3">
        <v>1600</v>
      </c>
      <c r="AH20" s="4">
        <f>'Caracteristica externa'!$F$3*('Caracteristica externa'!$B$2+'Caracteristica externa'!$D$2*AG20/'Caracteristica externa'!$D$3+'Caracteristica externa'!$F$2*((AG20/'Caracteristica externa'!$D$3)^2))</f>
        <v>970.57727774777788</v>
      </c>
      <c r="AI20" s="15">
        <f>PI()*'Rapoarte de transmitere'!$B$14*Performante!AG20/30/'Rapoarte de transmitere'!$B$7/'Rapoarte de transmitere'!$B$30</f>
        <v>13.376784970443655</v>
      </c>
      <c r="AJ20" s="15">
        <f t="shared" si="12"/>
        <v>9725.612491793343</v>
      </c>
      <c r="AK20" s="15">
        <f t="shared" si="13"/>
        <v>0.3170611242364787</v>
      </c>
      <c r="AL20" s="15">
        <f>9.81*(AK20-'Viteza maxima'!$B$2)/Performante!$B$5</f>
        <v>2.5855466217073837</v>
      </c>
      <c r="AM20" s="15">
        <f t="shared" si="14"/>
        <v>0.38676541030215228</v>
      </c>
      <c r="AN20" s="4"/>
      <c r="AP20" s="3">
        <v>1600</v>
      </c>
      <c r="AQ20" s="4">
        <f>'Caracteristica externa'!$F$3*('Caracteristica externa'!$B$2+'Caracteristica externa'!$D$2*AP20/'Caracteristica externa'!$D$3+'Caracteristica externa'!$F$2*((AP20/'Caracteristica externa'!$D$3)^2))</f>
        <v>970.57727774777788</v>
      </c>
      <c r="AR20" s="15">
        <f>PI()*'Rapoarte de transmitere'!$B$14*Performante!AP20/30/'Rapoarte de transmitere'!$B$7/'Rapoarte de transmitere'!$B$31</f>
        <v>20.042003620142712</v>
      </c>
      <c r="AS20" s="15">
        <f t="shared" si="15"/>
        <v>6491.2385744621397</v>
      </c>
      <c r="AT20" s="15">
        <f t="shared" si="16"/>
        <v>0.17346441299184856</v>
      </c>
      <c r="AU20" s="15">
        <f>9.81*(AT20-'Viteza maxima'!$B$2)/Performante!$B$6</f>
        <v>1.4387791428773913</v>
      </c>
      <c r="AV20" s="15">
        <f t="shared" si="17"/>
        <v>0.69503370614625126</v>
      </c>
      <c r="AW20" s="4">
        <f>'Caracteristica externa'!B17</f>
        <v>172.14586296458288</v>
      </c>
      <c r="AY20" s="13">
        <f t="shared" si="18"/>
        <v>0.18680352714482104</v>
      </c>
    </row>
    <row r="21" spans="1:51" x14ac:dyDescent="0.25">
      <c r="A21" s="3">
        <v>1700</v>
      </c>
      <c r="B21" s="4">
        <f>'Caracteristica externa'!$F$3*('Caracteristica externa'!$B$2+'Caracteristica externa'!$D$2*A21/'Caracteristica externa'!$D$3+'Caracteristica externa'!$F$2*((A21/'Caracteristica externa'!$D$3)^2))</f>
        <v>966.98347142235559</v>
      </c>
      <c r="C21" s="15">
        <f>PI()*'Rapoarte de transmitere'!$B$14*Performante!A21/30/'Rapoarte de transmitere'!$B$7/'Rapoarte de transmitere'!$C$23</f>
        <v>2.8204806419074986</v>
      </c>
      <c r="D21" s="15">
        <f t="shared" si="0"/>
        <v>48827.383647110641</v>
      </c>
      <c r="E21" s="15">
        <f t="shared" si="1"/>
        <v>1.7121661796962593</v>
      </c>
      <c r="F21" s="15">
        <f>9.81*(E21-'Viteza maxima'!$B$2)/Performante!$B$1</f>
        <v>3.7600014078301198</v>
      </c>
      <c r="G21" s="15">
        <f t="shared" si="2"/>
        <v>0.26595734722798831</v>
      </c>
      <c r="I21" s="3">
        <v>1700</v>
      </c>
      <c r="J21" s="4">
        <f>'Caracteristica externa'!$F$3*('Caracteristica externa'!$B$2+'Caracteristica externa'!$D$2*I21/'Caracteristica externa'!$D$3+'Caracteristica externa'!$F$2*((I21/'Caracteristica externa'!$D$3)^2))</f>
        <v>966.98347142235559</v>
      </c>
      <c r="K21" s="15">
        <f>PI()*'Rapoarte de transmitere'!$B$14*Performante!I21/30/'Rapoarte de transmitere'!$B$7/'Rapoarte de transmitere'!$B$27</f>
        <v>4.2258347847074429</v>
      </c>
      <c r="L21" s="15">
        <f t="shared" si="3"/>
        <v>32589.227309604943</v>
      </c>
      <c r="M21" s="15">
        <f t="shared" si="4"/>
        <v>1.1410677040434019</v>
      </c>
      <c r="N21" s="15">
        <f>9.81*(M21-'Viteza maxima'!$B$2)/Performante!$B$2</f>
        <v>4.3657332746014701</v>
      </c>
      <c r="O21" s="15">
        <f t="shared" si="5"/>
        <v>0.22905659533020509</v>
      </c>
      <c r="Q21" s="3">
        <v>1700</v>
      </c>
      <c r="R21" s="4">
        <f>'Caracteristica externa'!$F$3*('Caracteristica externa'!$B$2+'Caracteristica externa'!$D$2*Q21/'Caracteristica externa'!$D$3+'Caracteristica externa'!$F$2*((Q21/'Caracteristica externa'!$D$3)^2))</f>
        <v>966.98347142235559</v>
      </c>
      <c r="S21" s="15">
        <f>PI()*'Rapoarte de transmitere'!$B$14*Performante!Q21/30/'Rapoarte de transmitere'!$B$7/'Rapoarte de transmitere'!$B$28</f>
        <v>6.3314313746064936</v>
      </c>
      <c r="T21" s="15">
        <f t="shared" si="6"/>
        <v>21751.272693882052</v>
      </c>
      <c r="U21" s="15">
        <f t="shared" si="7"/>
        <v>0.75778368830067777</v>
      </c>
      <c r="V21" s="15">
        <f>9.81*(U21-'Viteza maxima'!$B$2)/Performante!$B$3</f>
        <v>4.3231144079906461</v>
      </c>
      <c r="W21" s="15">
        <f t="shared" si="8"/>
        <v>0.23131472027472738</v>
      </c>
      <c r="Y21" s="3">
        <v>1700</v>
      </c>
      <c r="Z21" s="4">
        <f>'Caracteristica externa'!$F$3*('Caracteristica externa'!$B$2+'Caracteristica externa'!$D$2*Y21/'Caracteristica externa'!$D$3+'Caracteristica externa'!$F$2*((Y21/'Caracteristica externa'!$D$3)^2))</f>
        <v>966.98347142235559</v>
      </c>
      <c r="AA21" s="15">
        <f>PI()*'Rapoarte de transmitere'!$B$14*Performante!Y21/30/'Rapoarte de transmitere'!$B$7/'Rapoarte de transmitere'!$B$29</f>
        <v>9.4861785407274795</v>
      </c>
      <c r="AB21" s="15">
        <f t="shared" si="9"/>
        <v>14517.615263132615</v>
      </c>
      <c r="AC21" s="15">
        <f t="shared" si="10"/>
        <v>0.49722571543729038</v>
      </c>
      <c r="AD21" s="15">
        <f>9.81*(AC21-'Viteza maxima'!$B$2)/Performante!$B$4</f>
        <v>3.6097878348903398</v>
      </c>
      <c r="AE21" s="15">
        <f t="shared" si="11"/>
        <v>0.27702459139967117</v>
      </c>
      <c r="AG21" s="3">
        <v>1700</v>
      </c>
      <c r="AH21" s="4">
        <f>'Caracteristica externa'!$F$3*('Caracteristica externa'!$B$2+'Caracteristica externa'!$D$2*AG21/'Caracteristica externa'!$D$3+'Caracteristica externa'!$F$2*((AG21/'Caracteristica externa'!$D$3)^2))</f>
        <v>966.98347142235559</v>
      </c>
      <c r="AI21" s="15">
        <f>PI()*'Rapoarte de transmitere'!$B$14*Performante!AG21/30/'Rapoarte de transmitere'!$B$7/'Rapoarte de transmitere'!$B$30</f>
        <v>14.212834031096383</v>
      </c>
      <c r="AJ21" s="15">
        <f t="shared" si="12"/>
        <v>9689.6009670101539</v>
      </c>
      <c r="AK21" s="15">
        <f t="shared" si="13"/>
        <v>0.31267952127194076</v>
      </c>
      <c r="AL21" s="15">
        <f>9.81*(AK21-'Viteza maxima'!$B$2)/Performante!$B$5</f>
        <v>2.5476652729645561</v>
      </c>
      <c r="AM21" s="15">
        <f t="shared" si="14"/>
        <v>0.39251624246397315</v>
      </c>
      <c r="AN21" s="4"/>
      <c r="AP21" s="3">
        <v>1700</v>
      </c>
      <c r="AQ21" s="4">
        <f>'Caracteristica externa'!$F$3*('Caracteristica externa'!$B$2+'Caracteristica externa'!$D$2*AP21/'Caracteristica externa'!$D$3+'Caracteristica externa'!$F$2*((AP21/'Caracteristica externa'!$D$3)^2))</f>
        <v>966.98347142235559</v>
      </c>
      <c r="AR21" s="15">
        <f>PI()*'Rapoarte de transmitere'!$B$14*Performante!AP21/30/'Rapoarte de transmitere'!$B$7/'Rapoarte de transmitere'!$B$31</f>
        <v>21.294628846401633</v>
      </c>
      <c r="AS21" s="15">
        <f t="shared" si="15"/>
        <v>6467.2031320676297</v>
      </c>
      <c r="AT21" s="15">
        <f t="shared" si="16"/>
        <v>0.16562166822877128</v>
      </c>
      <c r="AU21" s="15">
        <f>9.81*(AT21-'Viteza maxima'!$B$2)/Performante!$B$6</f>
        <v>1.3661967597398554</v>
      </c>
      <c r="AV21" s="15">
        <f t="shared" si="17"/>
        <v>0.73195898970688167</v>
      </c>
      <c r="AW21" s="4">
        <f>'Caracteristica externa'!B18</f>
        <v>181.29359965009476</v>
      </c>
      <c r="AY21" s="13">
        <f t="shared" si="18"/>
        <v>0.17768004104571725</v>
      </c>
    </row>
    <row r="22" spans="1:51" x14ac:dyDescent="0.25">
      <c r="A22" s="3">
        <v>1800</v>
      </c>
      <c r="B22" s="4">
        <f>'Caracteristica externa'!$F$3*('Caracteristica externa'!$B$2+'Caracteristica externa'!$D$2*A22/'Caracteristica externa'!$D$3+'Caracteristica externa'!$F$2*((A22/'Caracteristica externa'!$D$3)^2))</f>
        <v>961.7924178411896</v>
      </c>
      <c r="C22" s="15">
        <f>PI()*'Rapoarte de transmitere'!$B$14*Performante!A22/30/'Rapoarte de transmitere'!$B$7/'Rapoarte de transmitere'!$C$23</f>
        <v>2.9863912679020577</v>
      </c>
      <c r="D22" s="15">
        <f t="shared" si="0"/>
        <v>48565.263794774932</v>
      </c>
      <c r="E22" s="15">
        <f t="shared" si="1"/>
        <v>1.7028387589803151</v>
      </c>
      <c r="F22" s="15">
        <f>9.81*(E22-'Viteza maxima'!$B$2)/Performante!$B$1</f>
        <v>3.7393003010298056</v>
      </c>
      <c r="G22" s="15">
        <f t="shared" si="2"/>
        <v>0.26742971130844972</v>
      </c>
      <c r="I22" s="3">
        <v>1800</v>
      </c>
      <c r="J22" s="4">
        <f>'Caracteristica externa'!$F$3*('Caracteristica externa'!$B$2+'Caracteristica externa'!$D$2*I22/'Caracteristica externa'!$D$3+'Caracteristica externa'!$F$2*((I22/'Caracteristica externa'!$D$3)^2))</f>
        <v>961.7924178411896</v>
      </c>
      <c r="K22" s="15">
        <f>PI()*'Rapoarte de transmitere'!$B$14*Performante!I22/30/'Rapoarte de transmitere'!$B$7/'Rapoarte de transmitere'!$B$27</f>
        <v>4.4744133014549403</v>
      </c>
      <c r="L22" s="15">
        <f t="shared" si="3"/>
        <v>32414.27868831763</v>
      </c>
      <c r="M22" s="15">
        <f t="shared" si="4"/>
        <v>1.1346368083225358</v>
      </c>
      <c r="N22" s="15">
        <f>9.81*(M22-'Viteza maxima'!$B$2)/Performante!$B$2</f>
        <v>4.3407342693473812</v>
      </c>
      <c r="O22" s="15">
        <f t="shared" si="5"/>
        <v>0.23037577007687862</v>
      </c>
      <c r="Q22" s="3">
        <v>1800</v>
      </c>
      <c r="R22" s="4">
        <f>'Caracteristica externa'!$F$3*('Caracteristica externa'!$B$2+'Caracteristica externa'!$D$2*Q22/'Caracteristica externa'!$D$3+'Caracteristica externa'!$F$2*((Q22/'Caracteristica externa'!$D$3)^2))</f>
        <v>961.7924178411896</v>
      </c>
      <c r="S22" s="15">
        <f>PI()*'Rapoarte de transmitere'!$B$14*Performante!Q22/30/'Rapoarte de transmitere'!$B$7/'Rapoarte de transmitere'!$B$28</f>
        <v>6.7038685142892289</v>
      </c>
      <c r="T22" s="15">
        <f t="shared" si="6"/>
        <v>21634.505421897135</v>
      </c>
      <c r="U22" s="15">
        <f t="shared" si="7"/>
        <v>0.75303032743021248</v>
      </c>
      <c r="V22" s="15">
        <f>9.81*(U22-'Viteza maxima'!$B$2)/Performante!$B$3</f>
        <v>4.2953369330470039</v>
      </c>
      <c r="W22" s="15">
        <f t="shared" si="8"/>
        <v>0.23281060731378414</v>
      </c>
      <c r="Y22" s="3">
        <v>1800</v>
      </c>
      <c r="Z22" s="4">
        <f>'Caracteristica externa'!$F$3*('Caracteristica externa'!$B$2+'Caracteristica externa'!$D$2*Y22/'Caracteristica externa'!$D$3+'Caracteristica externa'!$F$2*((Y22/'Caracteristica externa'!$D$3)^2))</f>
        <v>961.7924178411896</v>
      </c>
      <c r="AA22" s="15">
        <f>PI()*'Rapoarte de transmitere'!$B$14*Performante!Y22/30/'Rapoarte de transmitere'!$B$7/'Rapoarte de transmitere'!$B$29</f>
        <v>10.044189043123215</v>
      </c>
      <c r="AB22" s="15">
        <f t="shared" si="9"/>
        <v>14439.680405992995</v>
      </c>
      <c r="AC22" s="15">
        <f t="shared" si="10"/>
        <v>0.49301797467673741</v>
      </c>
      <c r="AD22" s="15">
        <f>9.81*(AC22-'Viteza maxima'!$B$2)/Performante!$B$4</f>
        <v>3.5780928508347447</v>
      </c>
      <c r="AE22" s="15">
        <f t="shared" si="11"/>
        <v>0.27947849362453153</v>
      </c>
      <c r="AG22" s="3">
        <v>1800</v>
      </c>
      <c r="AH22" s="4">
        <f>'Caracteristica externa'!$F$3*('Caracteristica externa'!$B$2+'Caracteristica externa'!$D$2*AG22/'Caracteristica externa'!$D$3+'Caracteristica externa'!$F$2*((AG22/'Caracteristica externa'!$D$3)^2))</f>
        <v>961.7924178411896</v>
      </c>
      <c r="AI22" s="15">
        <f>PI()*'Rapoarte de transmitere'!$B$14*Performante!AG22/30/'Rapoarte de transmitere'!$B$7/'Rapoarte de transmitere'!$B$30</f>
        <v>15.048883091749113</v>
      </c>
      <c r="AJ22" s="15">
        <f t="shared" si="12"/>
        <v>9637.5843201010994</v>
      </c>
      <c r="AK22" s="15">
        <f t="shared" si="13"/>
        <v>0.30754736291179857</v>
      </c>
      <c r="AL22" s="15">
        <f>9.81*(AK22-'Viteza maxima'!$B$2)/Performante!$B$5</f>
        <v>2.5032949632360326</v>
      </c>
      <c r="AM22" s="15">
        <f t="shared" si="14"/>
        <v>0.39947349980175356</v>
      </c>
      <c r="AN22" s="4"/>
      <c r="AP22" s="3">
        <v>1800</v>
      </c>
      <c r="AQ22" s="4">
        <f>'Caracteristica externa'!$F$3*('Caracteristica externa'!$B$2+'Caracteristica externa'!$D$2*AP22/'Caracteristica externa'!$D$3+'Caracteristica externa'!$F$2*((AP22/'Caracteristica externa'!$D$3)^2))</f>
        <v>961.7924178411896</v>
      </c>
      <c r="AR22" s="15">
        <f>PI()*'Rapoarte de transmitere'!$B$14*Performante!AP22/30/'Rapoarte de transmitere'!$B$7/'Rapoarte de transmitere'!$B$31</f>
        <v>22.547254072660554</v>
      </c>
      <c r="AS22" s="15">
        <f t="shared" si="15"/>
        <v>6432.4852708311118</v>
      </c>
      <c r="AT22" s="15">
        <f t="shared" si="16"/>
        <v>0.15697989593938608</v>
      </c>
      <c r="AU22" s="15">
        <f>9.81*(AT22-'Viteza maxima'!$B$2)/Performante!$B$6</f>
        <v>1.2862196029862056</v>
      </c>
      <c r="AV22" s="15">
        <f t="shared" si="17"/>
        <v>0.77747221211549578</v>
      </c>
      <c r="AW22" s="4">
        <f>'Caracteristica externa'!B19</f>
        <v>190.01481481481483</v>
      </c>
      <c r="AY22" s="13">
        <f t="shared" si="18"/>
        <v>0.16783736172757169</v>
      </c>
    </row>
    <row r="23" spans="1:51" x14ac:dyDescent="0.25">
      <c r="A23" s="3">
        <v>1900</v>
      </c>
      <c r="B23" s="4">
        <f>'Caracteristica externa'!$F$3*('Caracteristica externa'!$B$2+'Caracteristica externa'!$D$2*A23/'Caracteristica externa'!$D$3+'Caracteristica externa'!$F$2*((A23/'Caracteristica externa'!$D$3)^2))</f>
        <v>955.0041170042806</v>
      </c>
      <c r="C23" s="15">
        <f>PI()*'Rapoarte de transmitere'!$B$14*Performante!A23/30/'Rapoarte de transmitere'!$B$7/'Rapoarte de transmitere'!$C$23</f>
        <v>3.1523018938966163</v>
      </c>
      <c r="D23" s="15">
        <f t="shared" si="0"/>
        <v>48222.491680182102</v>
      </c>
      <c r="E23" s="15">
        <f t="shared" si="1"/>
        <v>1.6906739924446852</v>
      </c>
      <c r="F23" s="15">
        <f>9.81*(E23-'Viteza maxima'!$B$2)/Performante!$B$1</f>
        <v>3.7123020408543521</v>
      </c>
      <c r="G23" s="15">
        <f t="shared" si="2"/>
        <v>0.26937463304302123</v>
      </c>
      <c r="I23" s="3">
        <v>1900</v>
      </c>
      <c r="J23" s="4">
        <f>'Caracteristica externa'!$F$3*('Caracteristica externa'!$B$2+'Caracteristica externa'!$D$2*I23/'Caracteristica externa'!$D$3+'Caracteristica externa'!$F$2*((I23/'Caracteristica externa'!$D$3)^2))</f>
        <v>955.0041170042806</v>
      </c>
      <c r="K23" s="15">
        <f>PI()*'Rapoarte de transmitere'!$B$14*Performante!I23/30/'Rapoarte de transmitere'!$B$7/'Rapoarte de transmitere'!$B$27</f>
        <v>4.7229918182024369</v>
      </c>
      <c r="L23" s="15">
        <f t="shared" si="3"/>
        <v>32185.499722018856</v>
      </c>
      <c r="M23" s="15">
        <f t="shared" si="4"/>
        <v>1.1263004229887215</v>
      </c>
      <c r="N23" s="15">
        <f>9.81*(M23-'Viteza maxima'!$B$2)/Performante!$B$2</f>
        <v>4.308327999706913</v>
      </c>
      <c r="O23" s="15">
        <f t="shared" si="5"/>
        <v>0.23210860456029067</v>
      </c>
      <c r="Q23" s="3">
        <v>1900</v>
      </c>
      <c r="R23" s="4">
        <f>'Caracteristica externa'!$F$3*('Caracteristica externa'!$B$2+'Caracteristica externa'!$D$2*Q23/'Caracteristica externa'!$D$3+'Caracteristica externa'!$F$2*((Q23/'Caracteristica externa'!$D$3)^2))</f>
        <v>955.0041170042806</v>
      </c>
      <c r="S23" s="15">
        <f>PI()*'Rapoarte de transmitere'!$B$14*Performante!Q23/30/'Rapoarte de transmitere'!$B$7/'Rapoarte de transmitere'!$B$28</f>
        <v>7.0763056539719633</v>
      </c>
      <c r="T23" s="15">
        <f t="shared" si="6"/>
        <v>21481.80975853225</v>
      </c>
      <c r="U23" s="15">
        <f t="shared" si="7"/>
        <v>0.74697882047057873</v>
      </c>
      <c r="V23" s="15">
        <f>9.81*(U23-'Viteza maxima'!$B$2)/Performante!$B$3</f>
        <v>4.259973410789109</v>
      </c>
      <c r="W23" s="15">
        <f t="shared" si="8"/>
        <v>0.23474324921074144</v>
      </c>
      <c r="Y23" s="3">
        <v>1900</v>
      </c>
      <c r="Z23" s="4">
        <f>'Caracteristica externa'!$F$3*('Caracteristica externa'!$B$2+'Caracteristica externa'!$D$2*Y23/'Caracteristica externa'!$D$3+'Caracteristica externa'!$F$2*((Y23/'Caracteristica externa'!$D$3)^2))</f>
        <v>955.0041170042806</v>
      </c>
      <c r="AA23" s="15">
        <f>PI()*'Rapoarte de transmitere'!$B$14*Performante!Y23/30/'Rapoarte de transmitere'!$B$7/'Rapoarte de transmitere'!$B$29</f>
        <v>10.602199545518948</v>
      </c>
      <c r="AB23" s="15">
        <f t="shared" si="9"/>
        <v>14337.765592810423</v>
      </c>
      <c r="AC23" s="15">
        <f t="shared" si="10"/>
        <v>0.48788464998578285</v>
      </c>
      <c r="AD23" s="15">
        <f>9.81*(AC23-'Viteza maxima'!$B$2)/Performante!$B$4</f>
        <v>3.5394258669375187</v>
      </c>
      <c r="AE23" s="15">
        <f t="shared" si="11"/>
        <v>0.28253169796299421</v>
      </c>
      <c r="AG23" s="3">
        <v>1900</v>
      </c>
      <c r="AH23" s="4">
        <f>'Caracteristica externa'!$F$3*('Caracteristica externa'!$B$2+'Caracteristica externa'!$D$2*AG23/'Caracteristica externa'!$D$3+'Caracteristica externa'!$F$2*((AG23/'Caracteristica externa'!$D$3)^2))</f>
        <v>955.0041170042806</v>
      </c>
      <c r="AI23" s="15">
        <f>PI()*'Rapoarte de transmitere'!$B$14*Performante!AG23/30/'Rapoarte de transmitere'!$B$7/'Rapoarte de transmitere'!$B$30</f>
        <v>15.884932152401841</v>
      </c>
      <c r="AJ23" s="15">
        <f t="shared" si="12"/>
        <v>9569.5625510661866</v>
      </c>
      <c r="AK23" s="15">
        <f t="shared" si="13"/>
        <v>0.30166464915605229</v>
      </c>
      <c r="AL23" s="15">
        <f>9.81*(AK23-'Viteza maxima'!$B$2)/Performante!$B$5</f>
        <v>2.4524356925218149</v>
      </c>
      <c r="AM23" s="15">
        <f t="shared" si="14"/>
        <v>0.40775788863670881</v>
      </c>
      <c r="AN23" s="4"/>
      <c r="AP23" s="3">
        <v>1900</v>
      </c>
      <c r="AQ23" s="4">
        <f>'Caracteristica externa'!$F$3*('Caracteristica externa'!$B$2+'Caracteristica externa'!$D$2*AP23/'Caracteristica externa'!$D$3+'Caracteristica externa'!$F$2*((AP23/'Caracteristica externa'!$D$3)^2))</f>
        <v>955.0041170042806</v>
      </c>
      <c r="AR23" s="15">
        <f>PI()*'Rapoarte de transmitere'!$B$14*Performante!AP23/30/'Rapoarte de transmitere'!$B$7/'Rapoarte de transmitere'!$B$31</f>
        <v>23.799879298919471</v>
      </c>
      <c r="AS23" s="15">
        <f t="shared" si="15"/>
        <v>6387.0849907525917</v>
      </c>
      <c r="AT23" s="15">
        <f t="shared" si="16"/>
        <v>0.14753909612369312</v>
      </c>
      <c r="AU23" s="15">
        <f>9.81*(AT23-'Viteza maxima'!$B$2)/Performante!$B$6</f>
        <v>1.1988476726164432</v>
      </c>
      <c r="AV23" s="15">
        <f t="shared" si="17"/>
        <v>0.83413432985821701</v>
      </c>
      <c r="AW23" s="4">
        <f>'Caracteristica externa'!B20</f>
        <v>198.25932945629691</v>
      </c>
      <c r="AY23" s="13">
        <f t="shared" si="18"/>
        <v>0.1572628837734476</v>
      </c>
    </row>
    <row r="24" spans="1:51" x14ac:dyDescent="0.25">
      <c r="A24" s="3">
        <v>2000</v>
      </c>
      <c r="B24" s="4">
        <f>'Caracteristica externa'!$F$3*('Caracteristica externa'!$B$2+'Caracteristica externa'!$D$2*A24/'Caracteristica externa'!$D$3+'Caracteristica externa'!$F$2*((A24/'Caracteristica externa'!$D$3)^2))</f>
        <v>946.61856891162836</v>
      </c>
      <c r="C24" s="15">
        <f>PI()*'Rapoarte de transmitere'!$B$14*Performante!A24/30/'Rapoarte de transmitere'!$B$7/'Rapoarte de transmitere'!$C$23</f>
        <v>3.3182125198911749</v>
      </c>
      <c r="D24" s="15">
        <f t="shared" si="0"/>
        <v>47799.067303332136</v>
      </c>
      <c r="E24" s="15">
        <f t="shared" si="1"/>
        <v>1.6756718800893691</v>
      </c>
      <c r="F24" s="15">
        <f>9.81*(E24-'Viteza maxima'!$B$2)/Performante!$B$1</f>
        <v>3.6790066273037594</v>
      </c>
      <c r="G24" s="15">
        <f t="shared" si="2"/>
        <v>0.27181250302146692</v>
      </c>
      <c r="I24" s="3">
        <v>2000</v>
      </c>
      <c r="J24" s="4">
        <f>'Caracteristica externa'!$F$3*('Caracteristica externa'!$B$2+'Caracteristica externa'!$D$2*I24/'Caracteristica externa'!$D$3+'Caracteristica externa'!$F$2*((I24/'Caracteristica externa'!$D$3)^2))</f>
        <v>946.61856891162836</v>
      </c>
      <c r="K24" s="15">
        <f>PI()*'Rapoarte de transmitere'!$B$14*Performante!I24/30/'Rapoarte de transmitere'!$B$7/'Rapoarte de transmitere'!$B$27</f>
        <v>4.9715703349499325</v>
      </c>
      <c r="L24" s="15">
        <f t="shared" si="3"/>
        <v>31902.890410708609</v>
      </c>
      <c r="M24" s="15">
        <f t="shared" si="4"/>
        <v>1.1160585480419585</v>
      </c>
      <c r="N24" s="15">
        <f>9.81*(M24-'Viteza maxima'!$B$2)/Performante!$B$2</f>
        <v>4.2685144656800604</v>
      </c>
      <c r="O24" s="15">
        <f t="shared" si="5"/>
        <v>0.23427354130816558</v>
      </c>
      <c r="Q24" s="3">
        <v>2000</v>
      </c>
      <c r="R24" s="4">
        <f>'Caracteristica externa'!$F$3*('Caracteristica externa'!$B$2+'Caracteristica externa'!$D$2*Q24/'Caracteristica externa'!$D$3+'Caracteristica externa'!$F$2*((Q24/'Caracteristica externa'!$D$3)^2))</f>
        <v>946.61856891162836</v>
      </c>
      <c r="S24" s="15">
        <f>PI()*'Rapoarte de transmitere'!$B$14*Performante!Q24/30/'Rapoarte de transmitere'!$B$7/'Rapoarte de transmitere'!$B$28</f>
        <v>7.4487427936546986</v>
      </c>
      <c r="T24" s="15">
        <f t="shared" si="6"/>
        <v>21293.185703787396</v>
      </c>
      <c r="U24" s="15">
        <f t="shared" si="7"/>
        <v>0.73962916742177653</v>
      </c>
      <c r="V24" s="15">
        <f>9.81*(U24-'Viteza maxima'!$B$2)/Performante!$B$3</f>
        <v>4.2170238412169629</v>
      </c>
      <c r="W24" s="15">
        <f t="shared" si="8"/>
        <v>0.23713406365552267</v>
      </c>
      <c r="Y24" s="3">
        <v>2000</v>
      </c>
      <c r="Z24" s="4">
        <f>'Caracteristica externa'!$F$3*('Caracteristica externa'!$B$2+'Caracteristica externa'!$D$2*Y24/'Caracteristica externa'!$D$3+'Caracteristica externa'!$F$2*((Y24/'Caracteristica externa'!$D$3)^2))</f>
        <v>946.61856891162836</v>
      </c>
      <c r="AA24" s="15">
        <f>PI()*'Rapoarte de transmitere'!$B$14*Performante!Y24/30/'Rapoarte de transmitere'!$B$7/'Rapoarte de transmitere'!$B$29</f>
        <v>11.160210047914681</v>
      </c>
      <c r="AB24" s="15">
        <f t="shared" si="9"/>
        <v>14211.870823584894</v>
      </c>
      <c r="AC24" s="15">
        <f t="shared" si="10"/>
        <v>0.48182574136442646</v>
      </c>
      <c r="AD24" s="15">
        <f>9.81*(AC24-'Viteza maxima'!$B$2)/Performante!$B$4</f>
        <v>3.4937868831986623</v>
      </c>
      <c r="AE24" s="15">
        <f t="shared" si="11"/>
        <v>0.2862223808810202</v>
      </c>
      <c r="AG24" s="3">
        <v>2000</v>
      </c>
      <c r="AH24" s="4">
        <f>'Caracteristica externa'!$F$3*('Caracteristica externa'!$B$2+'Caracteristica externa'!$D$2*AG24/'Caracteristica externa'!$D$3+'Caracteristica externa'!$F$2*((AG24/'Caracteristica externa'!$D$3)^2))</f>
        <v>946.61856891162836</v>
      </c>
      <c r="AI24" s="15">
        <f>PI()*'Rapoarte de transmitere'!$B$14*Performante!AG24/30/'Rapoarte de transmitere'!$B$7/'Rapoarte de transmitere'!$B$30</f>
        <v>16.720981213054568</v>
      </c>
      <c r="AJ24" s="15">
        <f t="shared" si="12"/>
        <v>9485.5356599054139</v>
      </c>
      <c r="AK24" s="15">
        <f t="shared" si="13"/>
        <v>0.29503138000470197</v>
      </c>
      <c r="AL24" s="15">
        <f>9.81*(AK24-'Viteza maxima'!$B$2)/Performante!$B$5</f>
        <v>2.3950874608219035</v>
      </c>
      <c r="AM24" s="15">
        <f t="shared" si="14"/>
        <v>0.41752128736745081</v>
      </c>
      <c r="AN24" s="4"/>
      <c r="AP24" s="3">
        <v>2000</v>
      </c>
      <c r="AQ24" s="4">
        <f>'Caracteristica externa'!$F$3*('Caracteristica externa'!$B$2+'Caracteristica externa'!$D$2*AP24/'Caracteristica externa'!$D$3+'Caracteristica externa'!$F$2*((AP24/'Caracteristica externa'!$D$3)^2))</f>
        <v>946.61856891162836</v>
      </c>
      <c r="AR24" s="15">
        <f>PI()*'Rapoarte de transmitere'!$B$14*Performante!AP24/30/'Rapoarte de transmitere'!$B$7/'Rapoarte de transmitere'!$B$31</f>
        <v>25.052504525178389</v>
      </c>
      <c r="AS24" s="15">
        <f t="shared" si="15"/>
        <v>6331.0022918320665</v>
      </c>
      <c r="AT24" s="15">
        <f t="shared" si="16"/>
        <v>0.13729926878169227</v>
      </c>
      <c r="AU24" s="15">
        <f>9.81*(AT24-'Viteza maxima'!$B$2)/Performante!$B$6</f>
        <v>1.1040809686305673</v>
      </c>
      <c r="AV24" s="15">
        <f t="shared" si="17"/>
        <v>0.90573067411925168</v>
      </c>
      <c r="AW24" s="4">
        <f>'Caracteristica externa'!B21</f>
        <v>205.97696457209506</v>
      </c>
      <c r="AY24" s="13">
        <f t="shared" si="18"/>
        <v>0.14594652284979556</v>
      </c>
    </row>
    <row r="25" spans="1:51" x14ac:dyDescent="0.25">
      <c r="A25" s="26">
        <f>'Diagrama de viteze'!A32</f>
        <v>2092.4165905345872</v>
      </c>
      <c r="B25" s="27">
        <f>'Caracteristica externa'!$F$3*('Caracteristica externa'!$B$2+'Caracteristica externa'!$D$2*A25/'Caracteristica externa'!$D$3+'Caracteristica externa'!$F$2*((A25/'Caracteristica externa'!$D$3)^2))</f>
        <v>937.44877997770936</v>
      </c>
      <c r="C25" s="35">
        <f>PI()*'Rapoarte de transmitere'!$B$14*Performante!A25/30/'Rapoarte de transmitere'!$B$7/'Rapoarte de transmitere'!$C$23</f>
        <v>3.4715414637699369</v>
      </c>
      <c r="D25" s="35">
        <f t="shared" si="0"/>
        <v>47336.043047518426</v>
      </c>
      <c r="E25" s="35">
        <f t="shared" si="1"/>
        <v>1.6592846863316835</v>
      </c>
      <c r="F25" s="35">
        <f>9.81*(E25-'Viteza maxima'!$B$2)/Performante!$B$1</f>
        <v>3.6426371894423983</v>
      </c>
      <c r="G25" s="35">
        <f t="shared" si="2"/>
        <v>0.27452637965107812</v>
      </c>
      <c r="I25" s="26">
        <f>'Diagrama de viteze'!A32</f>
        <v>2092.4165905345872</v>
      </c>
      <c r="J25" s="27">
        <f>'Caracteristica externa'!$F$3*('Caracteristica externa'!$B$2+'Caracteristica externa'!$D$2*I25/'Caracteristica externa'!$D$3+'Caracteristica externa'!$F$2*((I25/'Caracteristica externa'!$D$3)^2))</f>
        <v>937.44877997770936</v>
      </c>
      <c r="K25" s="35">
        <f>PI()*'Rapoarte de transmitere'!$B$14*Performante!I25/30/'Rapoarte de transmitere'!$B$7/'Rapoarte de transmitere'!$B$27</f>
        <v>5.2012981249294175</v>
      </c>
      <c r="L25" s="35">
        <f t="shared" si="3"/>
        <v>31593.850654828373</v>
      </c>
      <c r="M25" s="35">
        <f t="shared" si="4"/>
        <v>1.1048991393616241</v>
      </c>
      <c r="N25" s="35">
        <f>9.81*(M25-'Viteza maxima'!$B$2)/Performante!$B$2</f>
        <v>4.2251341764729116</v>
      </c>
      <c r="O25" s="35">
        <f t="shared" si="5"/>
        <v>0.23667887414519634</v>
      </c>
      <c r="Q25" s="26">
        <f>'Diagrama de viteze'!A32</f>
        <v>2092.4165905345872</v>
      </c>
      <c r="R25" s="27">
        <f>'Caracteristica externa'!$F$3*('Caracteristica externa'!$B$2+'Caracteristica externa'!$D$2*Q25/'Caracteristica externa'!$D$3+'Caracteristica externa'!$F$2*((Q25/'Caracteristica externa'!$D$3)^2))</f>
        <v>937.44877997770936</v>
      </c>
      <c r="S25" s="35">
        <f>PI()*'Rapoarte de transmitere'!$B$14*Performante!Q25/30/'Rapoarte de transmitere'!$B$7/'Rapoarte de transmitere'!$B$28</f>
        <v>7.7929365000340205</v>
      </c>
      <c r="T25" s="35">
        <f t="shared" si="6"/>
        <v>21086.920978958504</v>
      </c>
      <c r="U25" s="35">
        <f t="shared" si="7"/>
        <v>0.73168265547318589</v>
      </c>
      <c r="V25" s="35">
        <f>9.81*(U25-'Viteza maxima'!$B$2)/Performante!$B$3</f>
        <v>4.1705863746419238</v>
      </c>
      <c r="W25" s="35">
        <f t="shared" si="8"/>
        <v>0.23977443701447318</v>
      </c>
      <c r="Y25" s="26">
        <f>'Diagrama de viteze'!A32</f>
        <v>2092.4165905345872</v>
      </c>
      <c r="Z25" s="27">
        <f>'Caracteristica externa'!$F$3*('Caracteristica externa'!$B$2+'Caracteristica externa'!$D$2*Y25/'Caracteristica externa'!$D$3+'Caracteristica externa'!$F$2*((Y25/'Caracteristica externa'!$D$3)^2))</f>
        <v>937.44877997770936</v>
      </c>
      <c r="AA25" s="35">
        <f>PI()*'Rapoarte de transmitere'!$B$14*Performante!Y25/30/'Rapoarte de transmitere'!$B$7/'Rapoarte de transmitere'!$B$29</f>
        <v>11.67590432905374</v>
      </c>
      <c r="AB25" s="35">
        <f t="shared" si="9"/>
        <v>14074.202009462399</v>
      </c>
      <c r="AC25" s="35">
        <f t="shared" si="10"/>
        <v>0.47540334546302254</v>
      </c>
      <c r="AD25" s="35">
        <f>9.81*(AC25-'Viteza maxima'!$B$2)/Performante!$B$4</f>
        <v>3.4454099162519225</v>
      </c>
      <c r="AE25" s="35">
        <f t="shared" si="11"/>
        <v>0.29024122653244311</v>
      </c>
      <c r="AG25" s="26">
        <f>'Diagrama de viteze'!A32</f>
        <v>2092.4165905345872</v>
      </c>
      <c r="AH25" s="27">
        <f>'Caracteristica externa'!$F$3*('Caracteristica externa'!$B$2+'Caracteristica externa'!$D$2*AG25/'Caracteristica externa'!$D$3+'Caracteristica externa'!$F$2*((AG25/'Caracteristica externa'!$D$3)^2))</f>
        <v>937.44877997770936</v>
      </c>
      <c r="AI25" s="35">
        <f>PI()*'Rapoarte de transmitere'!$B$14*Performante!AG25/30/'Rapoarte de transmitere'!$B$7/'Rapoarte de transmitere'!$B$30</f>
        <v>17.493629250106263</v>
      </c>
      <c r="AJ25" s="35">
        <f t="shared" si="12"/>
        <v>9393.6503295484363</v>
      </c>
      <c r="AK25" s="35">
        <f t="shared" si="13"/>
        <v>0.28823380180110292</v>
      </c>
      <c r="AL25" s="35">
        <f>9.81*(AK25-'Viteza maxima'!$B$2)/Performante!$B$5</f>
        <v>2.3363186876990896</v>
      </c>
      <c r="AM25" s="35">
        <f t="shared" si="14"/>
        <v>0.42802379883578484</v>
      </c>
      <c r="AN25" s="4"/>
      <c r="AP25" s="26">
        <v>2092.4169999999999</v>
      </c>
      <c r="AQ25" s="27">
        <f>'Caracteristica externa'!$F$3*('Caracteristica externa'!$B$2+'Caracteristica externa'!$D$2*AP25/'Caracteristica externa'!$D$3+'Caracteristica externa'!$F$2*((AP25/'Caracteristica externa'!$D$3)^2))</f>
        <v>937.44873632748249</v>
      </c>
      <c r="AR25" s="35">
        <f>PI()*'Rapoarte de transmitere'!$B$14*Performante!AP25/30/'Rapoarte de transmitere'!$B$7/'Rapoarte de transmitere'!$B$31</f>
        <v>26.2101431805301</v>
      </c>
      <c r="AS25" s="35">
        <f t="shared" si="15"/>
        <v>6269.6742838967357</v>
      </c>
      <c r="AT25" s="35">
        <f t="shared" si="16"/>
        <v>0.12712548812710095</v>
      </c>
      <c r="AU25" s="35">
        <f>9.81*(AT25-'Viteza maxima'!$B$2)/Performante!$B$6</f>
        <v>1.009925508044208</v>
      </c>
      <c r="AV25" s="35">
        <f t="shared" si="17"/>
        <v>0.99017203945721755</v>
      </c>
      <c r="AW25" s="27">
        <f>'Caracteristica externa'!B3*('Caracteristica externa'!B2*AP25/'Caracteristica externa'!D3+'Caracteristica externa'!D2*((AP25/'Caracteristica externa'!D3)^2)+'Caracteristica externa'!F2*((AP25/'Caracteristica externa'!D3)^3))</f>
        <v>205.41132584527617</v>
      </c>
      <c r="AY25" s="13">
        <f t="shared" si="18"/>
        <v>0.12712548812710089</v>
      </c>
    </row>
    <row r="26" spans="1:51" x14ac:dyDescent="0.25">
      <c r="A26" s="3">
        <v>2100</v>
      </c>
      <c r="B26" s="4">
        <f>'Caracteristica externa'!$F$3*('Caracteristica externa'!$B$2+'Caracteristica externa'!$D$2*A26/'Caracteristica externa'!$D$3+'Caracteristica externa'!$F$2*((A26/'Caracteristica externa'!$D$3)^2))</f>
        <v>936.63577356323253</v>
      </c>
      <c r="C26" s="15">
        <f>PI()*'Rapoarte de transmitere'!$B$14*Performante!A26/30/'Rapoarte de transmitere'!$B$7/'Rapoarte de transmitere'!$C$23</f>
        <v>3.484123145885734</v>
      </c>
      <c r="D26" s="15">
        <f t="shared" si="0"/>
        <v>47294.990664225013</v>
      </c>
      <c r="E26" s="15">
        <f t="shared" si="1"/>
        <v>1.6578324219143654</v>
      </c>
      <c r="F26" s="15">
        <f>9.81*(E26-'Viteza maxima'!$B$2)/Performante!$B$1</f>
        <v>3.6394140603780252</v>
      </c>
      <c r="G26" s="15">
        <f t="shared" si="2"/>
        <v>0.2747695050384375</v>
      </c>
      <c r="I26" s="3">
        <v>2100</v>
      </c>
      <c r="J26" s="4">
        <f>'Caracteristica externa'!$F$3*('Caracteristica externa'!$B$2+'Caracteristica externa'!$D$2*I26/'Caracteristica externa'!$D$3+'Caracteristica externa'!$F$2*((I26/'Caracteristica externa'!$D$3)^2))</f>
        <v>936.63577356323253</v>
      </c>
      <c r="K26" s="15">
        <f>PI()*'Rapoarte de transmitere'!$B$14*Performante!I26/30/'Rapoarte de transmitere'!$B$7/'Rapoarte de transmitere'!$B$27</f>
        <v>5.2201488516974299</v>
      </c>
      <c r="L26" s="15">
        <f t="shared" si="3"/>
        <v>31566.450754386868</v>
      </c>
      <c r="M26" s="15">
        <f t="shared" si="4"/>
        <v>1.1039111834822461</v>
      </c>
      <c r="N26" s="15">
        <f>9.81*(M26-'Viteza maxima'!$B$2)/Performante!$B$2</f>
        <v>4.2212936672668233</v>
      </c>
      <c r="O26" s="15">
        <f t="shared" si="5"/>
        <v>0.2368942032520267</v>
      </c>
      <c r="Q26" s="3">
        <v>2100</v>
      </c>
      <c r="R26" s="4">
        <f>'Caracteristica externa'!$F$3*('Caracteristica externa'!$B$2+'Caracteristica externa'!$D$2*Q26/'Caracteristica externa'!$D$3+'Caracteristica externa'!$F$2*((Q26/'Caracteristica externa'!$D$3)^2))</f>
        <v>936.63577356323253</v>
      </c>
      <c r="S26" s="15">
        <f>PI()*'Rapoarte de transmitere'!$B$14*Performante!Q26/30/'Rapoarte de transmitere'!$B$7/'Rapoarte de transmitere'!$B$28</f>
        <v>7.8211799333374339</v>
      </c>
      <c r="T26" s="15">
        <f t="shared" si="6"/>
        <v>21068.633257662561</v>
      </c>
      <c r="U26" s="15">
        <f t="shared" si="7"/>
        <v>0.73098136828380533</v>
      </c>
      <c r="V26" s="15">
        <f>9.81*(U26-'Viteza maxima'!$B$2)/Performante!$B$3</f>
        <v>4.1664882243305605</v>
      </c>
      <c r="W26" s="15">
        <f t="shared" si="8"/>
        <v>0.24001027871875777</v>
      </c>
      <c r="Y26" s="3">
        <v>2100</v>
      </c>
      <c r="Z26" s="4">
        <f>'Caracteristica externa'!$F$3*('Caracteristica externa'!$B$2+'Caracteristica externa'!$D$2*Y26/'Caracteristica externa'!$D$3+'Caracteristica externa'!$F$2*((Y26/'Caracteristica externa'!$D$3)^2))</f>
        <v>936.63577356323253</v>
      </c>
      <c r="AA26" s="15">
        <f>PI()*'Rapoarte de transmitere'!$B$14*Performante!Y26/30/'Rapoarte de transmitere'!$B$7/'Rapoarte de transmitere'!$B$29</f>
        <v>11.718220550310416</v>
      </c>
      <c r="AB26" s="15">
        <f t="shared" si="9"/>
        <v>14061.996098316396</v>
      </c>
      <c r="AC26" s="15">
        <f t="shared" si="10"/>
        <v>0.47484124881266798</v>
      </c>
      <c r="AD26" s="15">
        <f>9.81*(AC26-'Viteza maxima'!$B$2)/Performante!$B$4</f>
        <v>3.4411758996181718</v>
      </c>
      <c r="AE26" s="15">
        <f t="shared" si="11"/>
        <v>0.29059833881521679</v>
      </c>
      <c r="AG26" s="3">
        <v>2100</v>
      </c>
      <c r="AH26" s="4">
        <f>'Caracteristica externa'!$F$3*('Caracteristica externa'!$B$2+'Caracteristica externa'!$D$2*AG26/'Caracteristica externa'!$D$3+'Caracteristica externa'!$F$2*((AG26/'Caracteristica externa'!$D$3)^2))</f>
        <v>936.63577356323253</v>
      </c>
      <c r="AI26" s="15">
        <f>PI()*'Rapoarte de transmitere'!$B$14*Performante!AG26/30/'Rapoarte de transmitere'!$B$7/'Rapoarte de transmitere'!$B$30</f>
        <v>17.557030273707298</v>
      </c>
      <c r="AJ26" s="15">
        <f t="shared" si="12"/>
        <v>9385.5036466187757</v>
      </c>
      <c r="AK26" s="15">
        <f t="shared" si="13"/>
        <v>0.28764755545774734</v>
      </c>
      <c r="AL26" s="15">
        <f>9.81*(AK26-'Viteza maxima'!$B$2)/Performante!$B$5</f>
        <v>2.3312502681362957</v>
      </c>
      <c r="AM26" s="15">
        <f t="shared" si="14"/>
        <v>0.42895437425491179</v>
      </c>
      <c r="AN26" s="4"/>
      <c r="AP26" s="3">
        <v>2100</v>
      </c>
      <c r="AQ26" s="4">
        <f>'Caracteristica externa'!$F$3*('Caracteristica externa'!$B$2+'Caracteristica externa'!$D$2*AP26/'Caracteristica externa'!$D$3+'Caracteristica externa'!$F$2*((AP26/'Caracteristica externa'!$D$3)^2))</f>
        <v>936.63577356323253</v>
      </c>
      <c r="AR26" s="15">
        <f>PI()*'Rapoarte de transmitere'!$B$14*Performante!AP26/30/'Rapoarte de transmitere'!$B$7/'Rapoarte de transmitere'!$B$31</f>
        <v>26.305129751437313</v>
      </c>
      <c r="AS26" s="15">
        <f t="shared" si="15"/>
        <v>6264.2371740695344</v>
      </c>
      <c r="AT26" s="15">
        <f t="shared" si="16"/>
        <v>0.12626041391338344</v>
      </c>
      <c r="AU26" s="15">
        <f>9.81*(AT26-'Viteza maxima'!$B$2)/Performante!$B$6</f>
        <v>1.0019194910285771</v>
      </c>
      <c r="AV26" s="15">
        <f t="shared" si="17"/>
        <v>0.99808418635852014</v>
      </c>
      <c r="AW26" s="4">
        <f>'Caracteristica externa'!B22</f>
        <v>213.11754115976302</v>
      </c>
      <c r="AY26" s="13">
        <f t="shared" si="18"/>
        <v>0.13388011544850401</v>
      </c>
    </row>
    <row r="27" spans="1:51" x14ac:dyDescent="0.25">
      <c r="A27" s="3">
        <v>2200</v>
      </c>
      <c r="B27" s="4">
        <f>'Caracteristica externa'!$F$3*('Caracteristica externa'!$B$2+'Caracteristica externa'!$D$2*A27/'Caracteristica externa'!$D$3+'Caracteristica externa'!$F$2*((A27/'Caracteristica externa'!$D$3)^2))</f>
        <v>925.05573095909313</v>
      </c>
      <c r="C27" s="15">
        <f>PI()*'Rapoarte de transmitere'!$B$14*Performante!A27/30/'Rapoarte de transmitere'!$B$7/'Rapoarte de transmitere'!$C$23</f>
        <v>3.6500337718802927</v>
      </c>
      <c r="D27" s="15">
        <f t="shared" si="0"/>
        <v>46710.261762860748</v>
      </c>
      <c r="E27" s="15">
        <f t="shared" si="1"/>
        <v>1.6371556179196753</v>
      </c>
      <c r="F27" s="15">
        <f>9.81*(E27-'Viteza maxima'!$B$2)/Performante!$B$1</f>
        <v>3.5935243400771504</v>
      </c>
      <c r="G27" s="15">
        <f t="shared" si="2"/>
        <v>0.27827834330976892</v>
      </c>
      <c r="I27" s="3">
        <v>2200</v>
      </c>
      <c r="J27" s="4">
        <f>'Caracteristica externa'!$F$3*('Caracteristica externa'!$B$2+'Caracteristica externa'!$D$2*I27/'Caracteristica externa'!$D$3+'Caracteristica externa'!$F$2*((I27/'Caracteristica externa'!$D$3)^2))</f>
        <v>925.05573095909313</v>
      </c>
      <c r="K27" s="15">
        <f>PI()*'Rapoarte de transmitere'!$B$14*Performante!I27/30/'Rapoarte de transmitere'!$B$7/'Rapoarte de transmitere'!$B$27</f>
        <v>5.4687273684449265</v>
      </c>
      <c r="L27" s="15">
        <f t="shared" si="3"/>
        <v>31176.180753053646</v>
      </c>
      <c r="M27" s="15">
        <f t="shared" si="4"/>
        <v>1.0898583293095849</v>
      </c>
      <c r="N27" s="15">
        <f>9.81*(M27-'Viteza maxima'!$B$2)/Performante!$B$2</f>
        <v>4.1666656044672026</v>
      </c>
      <c r="O27" s="15">
        <f t="shared" si="5"/>
        <v>0.24000006118270473</v>
      </c>
      <c r="Q27" s="3">
        <v>2200</v>
      </c>
      <c r="R27" s="4">
        <f>'Caracteristica externa'!$F$3*('Caracteristica externa'!$B$2+'Caracteristica externa'!$D$2*Q27/'Caracteristica externa'!$D$3+'Caracteristica externa'!$F$2*((Q27/'Caracteristica externa'!$D$3)^2))</f>
        <v>925.05573095909313</v>
      </c>
      <c r="S27" s="15">
        <f>PI()*'Rapoarte de transmitere'!$B$14*Performante!Q27/30/'Rapoarte de transmitere'!$B$7/'Rapoarte de transmitere'!$B$28</f>
        <v>8.1936170730201692</v>
      </c>
      <c r="T27" s="15">
        <f t="shared" si="6"/>
        <v>20808.152420157745</v>
      </c>
      <c r="U27" s="15">
        <f t="shared" si="7"/>
        <v>0.72103542305666535</v>
      </c>
      <c r="V27" s="15">
        <f>9.81*(U27-'Viteza maxima'!$B$2)/Performante!$B$3</f>
        <v>4.1083665601299053</v>
      </c>
      <c r="W27" s="15">
        <f t="shared" si="8"/>
        <v>0.2434057393282795</v>
      </c>
      <c r="Y27" s="3">
        <v>2200</v>
      </c>
      <c r="Z27" s="4">
        <f>'Caracteristica externa'!$F$3*('Caracteristica externa'!$B$2+'Caracteristica externa'!$D$2*Y27/'Caracteristica externa'!$D$3+'Caracteristica externa'!$F$2*((Y27/'Caracteristica externa'!$D$3)^2))</f>
        <v>925.05573095909313</v>
      </c>
      <c r="AA27" s="15">
        <f>PI()*'Rapoarte de transmitere'!$B$14*Performante!Y27/30/'Rapoarte de transmitere'!$B$7/'Rapoarte de transmitere'!$B$29</f>
        <v>12.27623105270615</v>
      </c>
      <c r="AB27" s="15">
        <f t="shared" si="9"/>
        <v>13888.141417004937</v>
      </c>
      <c r="AC27" s="15">
        <f t="shared" si="10"/>
        <v>0.46693117233050752</v>
      </c>
      <c r="AD27" s="15">
        <f>9.81*(AC27-'Viteza maxima'!$B$2)/Performante!$B$4</f>
        <v>3.3815929161960492</v>
      </c>
      <c r="AE27" s="15">
        <f t="shared" si="11"/>
        <v>0.2957186227858849</v>
      </c>
      <c r="AG27" s="3">
        <v>2200</v>
      </c>
      <c r="AH27" s="4">
        <f>'Caracteristica externa'!$F$3*('Caracteristica externa'!$B$2+'Caracteristica externa'!$D$2*AG27/'Caracteristica externa'!$D$3+'Caracteristica externa'!$F$2*((AG27/'Caracteristica externa'!$D$3)^2))</f>
        <v>925.05573095909313</v>
      </c>
      <c r="AI27" s="15">
        <f>PI()*'Rapoarte de transmitere'!$B$14*Performante!AG27/30/'Rapoarte de transmitere'!$B$7/'Rapoarte de transmitere'!$B$30</f>
        <v>18.393079334360028</v>
      </c>
      <c r="AJ27" s="15">
        <f t="shared" si="12"/>
        <v>9269.4665112062739</v>
      </c>
      <c r="AK27" s="15">
        <f t="shared" si="13"/>
        <v>0.27951317551518845</v>
      </c>
      <c r="AL27" s="15">
        <f>9.81*(AK27-'Viteza maxima'!$B$2)/Performante!$B$5</f>
        <v>2.2609241144649919</v>
      </c>
      <c r="AM27" s="15">
        <f t="shared" si="14"/>
        <v>0.44229702076340255</v>
      </c>
      <c r="AN27" s="4"/>
      <c r="AP27" s="3">
        <v>2200</v>
      </c>
      <c r="AQ27" s="4">
        <f>'Caracteristica externa'!$F$3*('Caracteristica externa'!$B$2+'Caracteristica externa'!$D$2*AP27/'Caracteristica externa'!$D$3+'Caracteristica externa'!$F$2*((AP27/'Caracteristica externa'!$D$3)^2))</f>
        <v>925.05573095909313</v>
      </c>
      <c r="AR27" s="15">
        <f>PI()*'Rapoarte de transmitere'!$B$14*Performante!AP27/30/'Rapoarte de transmitere'!$B$7/'Rapoarte de transmitere'!$B$31</f>
        <v>27.557754977696231</v>
      </c>
      <c r="AS27" s="15">
        <f t="shared" si="15"/>
        <v>6186.7896374649954</v>
      </c>
      <c r="AT27" s="15">
        <f t="shared" si="16"/>
        <v>0.11442253151876673</v>
      </c>
      <c r="AU27" s="15">
        <f>9.81*(AT27-'Viteza maxima'!$B$2)/Performante!$B$6</f>
        <v>0.89236323981047339</v>
      </c>
      <c r="AV27" s="15">
        <f t="shared" si="17"/>
        <v>1.1206198948898738</v>
      </c>
      <c r="AW27" s="4">
        <f>'Caracteristica externa'!B23</f>
        <v>219.63088021685485</v>
      </c>
      <c r="AY27" s="13">
        <f t="shared" si="18"/>
        <v>0.12105698233566393</v>
      </c>
    </row>
    <row r="28" spans="1:51" x14ac:dyDescent="0.25">
      <c r="A28" s="3">
        <v>2300</v>
      </c>
      <c r="B28" s="4">
        <f>'Caracteristica externa'!$F$3*('Caracteristica externa'!$B$2+'Caracteristica externa'!$D$2*A28/'Caracteristica externa'!$D$3+'Caracteristica externa'!$F$2*((A28/'Caracteristica externa'!$D$3)^2))</f>
        <v>911.87844109921093</v>
      </c>
      <c r="C28" s="15">
        <f>PI()*'Rapoarte de transmitere'!$B$14*Performante!A28/30/'Rapoarte de transmitere'!$B$7/'Rapoarte de transmitere'!$C$23</f>
        <v>3.8159443978748513</v>
      </c>
      <c r="D28" s="15">
        <f t="shared" si="0"/>
        <v>46044.880599239368</v>
      </c>
      <c r="E28" s="15">
        <f t="shared" si="1"/>
        <v>1.6136414681052997</v>
      </c>
      <c r="F28" s="15">
        <f>9.81*(E28-'Viteza maxima'!$B$2)/Performante!$B$1</f>
        <v>3.5413374664011386</v>
      </c>
      <c r="G28" s="15">
        <f t="shared" si="2"/>
        <v>0.28237918850931865</v>
      </c>
      <c r="I28" s="3">
        <v>2300</v>
      </c>
      <c r="J28" s="34">
        <f>'Caracteristica externa'!$F$3*('Caracteristica externa'!$B$2+'Caracteristica externa'!$D$2*I28/'Caracteristica externa'!$D$3+'Caracteristica externa'!$F$2*((I28/'Caracteristica externa'!$D$3)^2))</f>
        <v>911.87844109921093</v>
      </c>
      <c r="K28" s="15">
        <f>PI()*'Rapoarte de transmitere'!$B$14*Performante!I28/30/'Rapoarte de transmitere'!$B$7/'Rapoarte de transmitere'!$B$27</f>
        <v>5.717305885192423</v>
      </c>
      <c r="L28" s="15">
        <f t="shared" si="3"/>
        <v>30732.080406708959</v>
      </c>
      <c r="M28" s="15">
        <f t="shared" si="4"/>
        <v>1.073899985523975</v>
      </c>
      <c r="N28" s="15">
        <f>9.81*(M28-'Viteza maxima'!$B$2)/Performante!$B$2</f>
        <v>4.1046302772811991</v>
      </c>
      <c r="O28" s="15">
        <f t="shared" si="5"/>
        <v>0.24362730196064677</v>
      </c>
      <c r="Q28" s="3">
        <v>2300</v>
      </c>
      <c r="R28" s="4">
        <f>'Caracteristica externa'!$F$3*('Caracteristica externa'!$B$2+'Caracteristica externa'!$D$2*Q28/'Caracteristica externa'!$D$3+'Caracteristica externa'!$F$2*((Q28/'Caracteristica externa'!$D$3)^2))</f>
        <v>911.87844109921093</v>
      </c>
      <c r="S28" s="15">
        <f>PI()*'Rapoarte de transmitere'!$B$14*Performante!Q28/30/'Rapoarte de transmitere'!$B$7/'Rapoarte de transmitere'!$B$28</f>
        <v>8.5660542127029036</v>
      </c>
      <c r="T28" s="15">
        <f t="shared" si="6"/>
        <v>20511.74319127297</v>
      </c>
      <c r="U28" s="15">
        <f t="shared" si="7"/>
        <v>0.70979133174035702</v>
      </c>
      <c r="V28" s="15">
        <f>9.81*(U28-'Viteza maxima'!$B$2)/Performante!$B$3</f>
        <v>4.0426588486149972</v>
      </c>
      <c r="W28" s="15">
        <f t="shared" si="8"/>
        <v>0.24736195594208921</v>
      </c>
      <c r="Y28" s="3">
        <v>2300</v>
      </c>
      <c r="Z28" s="4">
        <f>'Caracteristica externa'!$F$3*('Caracteristica externa'!$B$2+'Caracteristica externa'!$D$2*Y28/'Caracteristica externa'!$D$3+'Caracteristica externa'!$F$2*((Y28/'Caracteristica externa'!$D$3)^2))</f>
        <v>911.87844109921093</v>
      </c>
      <c r="AA28" s="15">
        <f>PI()*'Rapoarte de transmitere'!$B$14*Performante!Y28/30/'Rapoarte de transmitere'!$B$7/'Rapoarte de transmitere'!$B$29</f>
        <v>12.834241555101883</v>
      </c>
      <c r="AB28" s="15">
        <f t="shared" si="9"/>
        <v>13690.306779650531</v>
      </c>
      <c r="AC28" s="15">
        <f t="shared" si="10"/>
        <v>0.45809551191794556</v>
      </c>
      <c r="AD28" s="15">
        <f>9.81*(AC28-'Viteza maxima'!$B$2)/Performante!$B$4</f>
        <v>3.3150379329322979</v>
      </c>
      <c r="AE28" s="15">
        <f t="shared" si="11"/>
        <v>0.30165567339842042</v>
      </c>
      <c r="AG28" s="3">
        <v>2300</v>
      </c>
      <c r="AH28" s="4">
        <f>'Caracteristica externa'!$F$3*('Caracteristica externa'!$B$2+'Caracteristica externa'!$D$2*AG28/'Caracteristica externa'!$D$3+'Caracteristica externa'!$F$2*((AG28/'Caracteristica externa'!$D$3)^2))</f>
        <v>911.87844109921093</v>
      </c>
      <c r="AI28" s="15">
        <f>PI()*'Rapoarte de transmitere'!$B$14*Performante!AG28/30/'Rapoarte de transmitere'!$B$7/'Rapoarte de transmitere'!$B$30</f>
        <v>19.229128395012754</v>
      </c>
      <c r="AJ28" s="15">
        <f t="shared" si="12"/>
        <v>9137.4242536679121</v>
      </c>
      <c r="AK28" s="15">
        <f t="shared" si="13"/>
        <v>0.27062824017702547</v>
      </c>
      <c r="AL28" s="15">
        <f>9.81*(AK28-'Viteza maxima'!$B$2)/Performante!$B$5</f>
        <v>2.1841089998079939</v>
      </c>
      <c r="AM28" s="15">
        <f t="shared" si="14"/>
        <v>0.45785260721324372</v>
      </c>
      <c r="AN28" s="4"/>
      <c r="AP28" s="3">
        <v>2300</v>
      </c>
      <c r="AQ28" s="4">
        <f>'Caracteristica externa'!$F$3*('Caracteristica externa'!$B$2+'Caracteristica externa'!$D$2*AP28/'Caracteristica externa'!$D$3+'Caracteristica externa'!$F$2*((AP28/'Caracteristica externa'!$D$3)^2))</f>
        <v>911.87844109921093</v>
      </c>
      <c r="AR28" s="15">
        <f>PI()*'Rapoarte de transmitere'!$B$14*Performante!AP28/30/'Rapoarte de transmitere'!$B$7/'Rapoarte de transmitere'!$B$31</f>
        <v>28.810380203955148</v>
      </c>
      <c r="AS28" s="15">
        <f t="shared" si="15"/>
        <v>6098.6596820184541</v>
      </c>
      <c r="AT28" s="15">
        <f t="shared" si="16"/>
        <v>0.10178562159784225</v>
      </c>
      <c r="AU28" s="15">
        <f>9.81*(AT28-'Viteza maxima'!$B$2)/Performante!$B$6</f>
        <v>0.77541221497625723</v>
      </c>
      <c r="AV28" s="15">
        <f t="shared" si="17"/>
        <v>1.289636635438635</v>
      </c>
      <c r="AW28" s="4">
        <f>'Caracteristica externa'!B24</f>
        <v>225.46680274092432</v>
      </c>
      <c r="AY28" s="13">
        <f t="shared" si="18"/>
        <v>0.10747160588326307</v>
      </c>
    </row>
    <row r="29" spans="1:51" x14ac:dyDescent="0.25">
      <c r="A29" s="3">
        <v>2400</v>
      </c>
      <c r="B29" s="4">
        <f>'Caracteristica externa'!$F$3*('Caracteristica externa'!$B$2+'Caracteristica externa'!$D$2*A29/'Caracteristica externa'!$D$3+'Caracteristica externa'!$F$2*((A29/'Caracteristica externa'!$D$3)^2))</f>
        <v>897.10390398358527</v>
      </c>
      <c r="C29" s="15">
        <f>PI()*'Rapoarte de transmitere'!$B$14*Performante!A29/30/'Rapoarte de transmitere'!$B$7/'Rapoarte de transmitere'!$C$23</f>
        <v>3.9818550238694108</v>
      </c>
      <c r="D29" s="15">
        <f t="shared" si="0"/>
        <v>45298.847173360846</v>
      </c>
      <c r="E29" s="15">
        <f t="shared" si="1"/>
        <v>1.5872899724712377</v>
      </c>
      <c r="F29" s="15">
        <f>9.81*(E29-'Viteza maxima'!$B$2)/Performante!$B$1</f>
        <v>3.4828534393499866</v>
      </c>
      <c r="G29" s="15">
        <f t="shared" si="2"/>
        <v>0.28712089595898482</v>
      </c>
      <c r="I29" s="3">
        <v>2400</v>
      </c>
      <c r="J29" s="4">
        <f>'Caracteristica externa'!$F$3*('Caracteristica externa'!$B$2+'Caracteristica externa'!$D$2*I29/'Caracteristica externa'!$D$3+'Caracteristica externa'!$F$2*((I29/'Caracteristica externa'!$D$3)^2))</f>
        <v>897.10390398358527</v>
      </c>
      <c r="K29" s="15">
        <f>PI()*'Rapoarte de transmitere'!$B$14*Performante!I29/30/'Rapoarte de transmitere'!$B$7/'Rapoarte de transmitere'!$B$27</f>
        <v>5.9658844019399204</v>
      </c>
      <c r="L29" s="15">
        <f t="shared" si="3"/>
        <v>30234.149715352793</v>
      </c>
      <c r="M29" s="15">
        <f t="shared" si="4"/>
        <v>1.0560361521254165</v>
      </c>
      <c r="N29" s="15">
        <f>9.81*(M29-'Viteza maxima'!$B$2)/Performante!$B$2</f>
        <v>4.035187685708812</v>
      </c>
      <c r="O29" s="15">
        <f t="shared" si="5"/>
        <v>0.24781994739467544</v>
      </c>
      <c r="Q29" s="3">
        <v>2400</v>
      </c>
      <c r="R29" s="4">
        <f>'Caracteristica externa'!$F$3*('Caracteristica externa'!$B$2+'Caracteristica externa'!$D$2*Q29/'Caracteristica externa'!$D$3+'Caracteristica externa'!$F$2*((Q29/'Caracteristica externa'!$D$3)^2))</f>
        <v>897.10390398358527</v>
      </c>
      <c r="S29" s="15">
        <f>PI()*'Rapoarte de transmitere'!$B$14*Performante!Q29/30/'Rapoarte de transmitere'!$B$7/'Rapoarte de transmitere'!$B$28</f>
        <v>8.9384913523856397</v>
      </c>
      <c r="T29" s="15">
        <f t="shared" si="6"/>
        <v>20179.405571008214</v>
      </c>
      <c r="U29" s="15">
        <f t="shared" si="7"/>
        <v>0.6972490943348798</v>
      </c>
      <c r="V29" s="15">
        <f>9.81*(U29-'Viteza maxima'!$B$2)/Performante!$B$3</f>
        <v>3.9693650897858355</v>
      </c>
      <c r="W29" s="15">
        <f t="shared" si="8"/>
        <v>0.2519294590898804</v>
      </c>
      <c r="Y29" s="3">
        <v>2400</v>
      </c>
      <c r="Z29" s="4">
        <f>'Caracteristica externa'!$F$3*('Caracteristica externa'!$B$2+'Caracteristica externa'!$D$2*Y29/'Caracteristica externa'!$D$3+'Caracteristica externa'!$F$2*((Y29/'Caracteristica externa'!$D$3)^2))</f>
        <v>897.10390398358527</v>
      </c>
      <c r="AA29" s="15">
        <f>PI()*'Rapoarte de transmitere'!$B$14*Performante!Y29/30/'Rapoarte de transmitere'!$B$7/'Rapoarte de transmitere'!$B$29</f>
        <v>13.39225205749762</v>
      </c>
      <c r="AB29" s="15">
        <f t="shared" si="9"/>
        <v>13468.492186253163</v>
      </c>
      <c r="AC29" s="15">
        <f t="shared" si="10"/>
        <v>0.44833426757498174</v>
      </c>
      <c r="AD29" s="15">
        <f>9.81*(AC29-'Viteza maxima'!$B$2)/Performante!$B$4</f>
        <v>3.2415109498269139</v>
      </c>
      <c r="AE29" s="15">
        <f t="shared" si="11"/>
        <v>0.30849810951692042</v>
      </c>
      <c r="AG29" s="3">
        <v>2400</v>
      </c>
      <c r="AH29" s="4">
        <f>'Caracteristica externa'!$F$3*('Caracteristica externa'!$B$2+'Caracteristica externa'!$D$2*AG29/'Caracteristica externa'!$D$3+'Caracteristica externa'!$F$2*((AG29/'Caracteristica externa'!$D$3)^2))</f>
        <v>897.10390398358527</v>
      </c>
      <c r="AI29" s="15">
        <f>PI()*'Rapoarte de transmitere'!$B$14*Performante!AG29/30/'Rapoarte de transmitere'!$B$7/'Rapoarte de transmitere'!$B$30</f>
        <v>20.065177455665488</v>
      </c>
      <c r="AJ29" s="15">
        <f t="shared" si="12"/>
        <v>8989.3768740036903</v>
      </c>
      <c r="AK29" s="15">
        <f t="shared" si="13"/>
        <v>0.26099274944325829</v>
      </c>
      <c r="AL29" s="15">
        <f>9.81*(AK29-'Viteza maxima'!$B$2)/Performante!$B$5</f>
        <v>2.1008049241653008</v>
      </c>
      <c r="AM29" s="15">
        <f t="shared" si="14"/>
        <v>0.47600802363757</v>
      </c>
      <c r="AN29" s="4"/>
      <c r="AP29" s="3">
        <v>2400</v>
      </c>
      <c r="AQ29" s="4">
        <f>'Caracteristica externa'!$F$3*('Caracteristica externa'!$B$2+'Caracteristica externa'!$D$2*AP29/'Caracteristica externa'!$D$3+'Caracteristica externa'!$F$2*((AP29/'Caracteristica externa'!$D$3)^2))</f>
        <v>897.10390398358527</v>
      </c>
      <c r="AR29" s="15">
        <f>PI()*'Rapoarte de transmitere'!$B$14*Performante!AP29/30/'Rapoarte de transmitere'!$B$7/'Rapoarte de transmitere'!$B$31</f>
        <v>30.063005430214076</v>
      </c>
      <c r="AS29" s="15">
        <f t="shared" si="15"/>
        <v>5999.8473077299077</v>
      </c>
      <c r="AT29" s="15">
        <f t="shared" si="16"/>
        <v>8.8349684150609828E-2</v>
      </c>
      <c r="AU29" s="15">
        <f>9.81*(AT29-'Viteza maxima'!$B$2)/Performante!$B$6</f>
        <v>0.65106641652592689</v>
      </c>
      <c r="AV29" s="15">
        <f t="shared" si="17"/>
        <v>1.5359416099757892</v>
      </c>
      <c r="AW29" s="4">
        <f>'Caracteristica externa'!B25</f>
        <v>230.5751297295254</v>
      </c>
      <c r="AY29" s="13">
        <f t="shared" si="18"/>
        <v>9.3119388067957873E-2</v>
      </c>
    </row>
    <row r="30" spans="1:51" x14ac:dyDescent="0.25">
      <c r="A30" s="3">
        <v>2500</v>
      </c>
      <c r="B30" s="4">
        <f>'Caracteristica externa'!$F$3*('Caracteristica externa'!$B$2+'Caracteristica externa'!$D$2*A30/'Caracteristica externa'!$D$3+'Caracteristica externa'!$F$2*((A30/'Caracteristica externa'!$D$3)^2))</f>
        <v>880.73211961221625</v>
      </c>
      <c r="C30" s="15">
        <f>PI()*'Rapoarte de transmitere'!$B$14*Performante!A30/30/'Rapoarte de transmitere'!$B$7/'Rapoarte de transmitere'!$C$23</f>
        <v>4.1477656498639695</v>
      </c>
      <c r="D30" s="15">
        <f t="shared" si="0"/>
        <v>44472.161485225181</v>
      </c>
      <c r="E30" s="15">
        <f t="shared" si="1"/>
        <v>1.5581011310174888</v>
      </c>
      <c r="F30" s="15">
        <f>9.81*(E30-'Viteza maxima'!$B$2)/Performante!$B$1</f>
        <v>3.4180722589236945</v>
      </c>
      <c r="G30" s="15">
        <f t="shared" si="2"/>
        <v>0.29256256867866415</v>
      </c>
      <c r="I30" s="3">
        <v>2500</v>
      </c>
      <c r="J30" s="4">
        <f>'Caracteristica externa'!$F$3*('Caracteristica externa'!$B$2+'Caracteristica externa'!$D$2*I30/'Caracteristica externa'!$D$3+'Caracteristica externa'!$F$2*((I30/'Caracteristica externa'!$D$3)^2))</f>
        <v>880.73211961221625</v>
      </c>
      <c r="K30" s="15">
        <f>PI()*'Rapoarte de transmitere'!$B$14*Performante!I30/30/'Rapoarte de transmitere'!$B$7/'Rapoarte de transmitere'!$B$27</f>
        <v>6.2144629186874161</v>
      </c>
      <c r="L30" s="15">
        <f t="shared" si="3"/>
        <v>29682.388678985149</v>
      </c>
      <c r="M30" s="15">
        <f t="shared" si="4"/>
        <v>1.036266829113909</v>
      </c>
      <c r="N30" s="15">
        <f>9.81*(M30-'Viteza maxima'!$B$2)/Performante!$B$2</f>
        <v>3.9583378297500418</v>
      </c>
      <c r="O30" s="15">
        <f t="shared" si="5"/>
        <v>0.25263129197417372</v>
      </c>
      <c r="Q30" s="3">
        <v>2500</v>
      </c>
      <c r="R30" s="4">
        <f>'Caracteristica externa'!$F$3*('Caracteristica externa'!$B$2+'Caracteristica externa'!$D$2*Q30/'Caracteristica externa'!$D$3+'Caracteristica externa'!$F$2*((Q30/'Caracteristica externa'!$D$3)^2))</f>
        <v>880.73211961221625</v>
      </c>
      <c r="S30" s="15">
        <f>PI()*'Rapoarte de transmitere'!$B$14*Performante!Q30/30/'Rapoarte de transmitere'!$B$7/'Rapoarte de transmitere'!$B$28</f>
        <v>9.3109284920683741</v>
      </c>
      <c r="T30" s="15">
        <f t="shared" si="6"/>
        <v>19811.139559363488</v>
      </c>
      <c r="U30" s="15">
        <f t="shared" si="7"/>
        <v>0.68340871084023402</v>
      </c>
      <c r="V30" s="15">
        <f>9.81*(U30-'Viteza maxima'!$B$2)/Performante!$B$3</f>
        <v>3.8884852836424209</v>
      </c>
      <c r="W30" s="15">
        <f t="shared" si="8"/>
        <v>0.25716954728018931</v>
      </c>
      <c r="Y30" s="3">
        <v>2500</v>
      </c>
      <c r="Z30" s="4">
        <f>'Caracteristica externa'!$F$3*('Caracteristica externa'!$B$2+'Caracteristica externa'!$D$2*Y30/'Caracteristica externa'!$D$3+'Caracteristica externa'!$F$2*((Y30/'Caracteristica externa'!$D$3)^2))</f>
        <v>880.73211961221625</v>
      </c>
      <c r="AA30" s="15">
        <f>PI()*'Rapoarte de transmitere'!$B$14*Performante!Y30/30/'Rapoarte de transmitere'!$B$7/'Rapoarte de transmitere'!$B$29</f>
        <v>13.950262559893352</v>
      </c>
      <c r="AB30" s="15">
        <f t="shared" si="9"/>
        <v>13222.697636812833</v>
      </c>
      <c r="AC30" s="15">
        <f t="shared" si="10"/>
        <v>0.43764743930161593</v>
      </c>
      <c r="AD30" s="15">
        <f>9.81*(AC30-'Viteza maxima'!$B$2)/Performante!$B$4</f>
        <v>3.1610119668798977</v>
      </c>
      <c r="AE30" s="15">
        <f t="shared" si="11"/>
        <v>0.3163543860250102</v>
      </c>
      <c r="AG30" s="3">
        <v>2500</v>
      </c>
      <c r="AH30" s="4">
        <f>'Caracteristica externa'!$F$3*('Caracteristica externa'!$B$2+'Caracteristica externa'!$D$2*AG30/'Caracteristica externa'!$D$3+'Caracteristica externa'!$F$2*((AG30/'Caracteristica externa'!$D$3)^2))</f>
        <v>880.73211961221625</v>
      </c>
      <c r="AI30" s="15">
        <f>PI()*'Rapoarte de transmitere'!$B$14*Performante!AG30/30/'Rapoarte de transmitere'!$B$7/'Rapoarte de transmitere'!$B$30</f>
        <v>20.901226516318211</v>
      </c>
      <c r="AJ30" s="15">
        <f t="shared" si="12"/>
        <v>8825.3243722136031</v>
      </c>
      <c r="AK30" s="15">
        <f t="shared" si="13"/>
        <v>0.25060670331388696</v>
      </c>
      <c r="AL30" s="15">
        <f>9.81*(AK30-'Viteza maxima'!$B$2)/Performante!$B$5</f>
        <v>2.0110118875369127</v>
      </c>
      <c r="AM30" s="15">
        <f t="shared" si="14"/>
        <v>0.49726210282366851</v>
      </c>
      <c r="AN30" s="4"/>
      <c r="AP30" s="3">
        <v>2500</v>
      </c>
      <c r="AQ30" s="4">
        <f>'Caracteristica externa'!$F$3*('Caracteristica externa'!$B$2+'Caracteristica externa'!$D$2*AP30/'Caracteristica externa'!$D$3+'Caracteristica externa'!$F$2*((AP30/'Caracteristica externa'!$D$3)^2))</f>
        <v>880.73211961221625</v>
      </c>
      <c r="AR30" s="15">
        <f>PI()*'Rapoarte de transmitere'!$B$14*Performante!AP30/30/'Rapoarte de transmitere'!$B$7/'Rapoarte de transmitere'!$B$31</f>
        <v>31.31563065647299</v>
      </c>
      <c r="AS30" s="15">
        <f t="shared" si="15"/>
        <v>5890.3525145993563</v>
      </c>
      <c r="AT30" s="15">
        <f t="shared" si="16"/>
        <v>7.4114719177069646E-2</v>
      </c>
      <c r="AU30" s="15">
        <f>9.81*(AT30-'Viteza maxima'!$B$2)/Performante!$B$6</f>
        <v>0.51932584445948426</v>
      </c>
      <c r="AV30" s="15">
        <f t="shared" si="17"/>
        <v>1.9255733383359781</v>
      </c>
      <c r="AW30" s="4">
        <f>'Caracteristica externa'!B26</f>
        <v>234.90568218021198</v>
      </c>
      <c r="AY30" s="13">
        <f t="shared" si="18"/>
        <v>7.7996466550140336E-2</v>
      </c>
    </row>
    <row r="31" spans="1:51" x14ac:dyDescent="0.25">
      <c r="A31" s="3">
        <v>2600</v>
      </c>
      <c r="B31" s="4">
        <f>'Caracteristica externa'!$F$3*('Caracteristica externa'!$B$2+'Caracteristica externa'!$D$2*A31/'Caracteristica externa'!$D$3+'Caracteristica externa'!$F$2*((A31/'Caracteristica externa'!$D$3)^2))</f>
        <v>862.76308798510388</v>
      </c>
      <c r="C31" s="15">
        <f>PI()*'Rapoarte de transmitere'!$B$14*Performante!A31/30/'Rapoarte de transmitere'!$B$7/'Rapoarte de transmitere'!$C$23</f>
        <v>4.3136762758585272</v>
      </c>
      <c r="D31" s="15">
        <f t="shared" si="0"/>
        <v>43564.823534832372</v>
      </c>
      <c r="E31" s="15">
        <f t="shared" si="1"/>
        <v>1.5260749437440533</v>
      </c>
      <c r="F31" s="15">
        <f>9.81*(E31-'Viteza maxima'!$B$2)/Performante!$B$1</f>
        <v>3.3469939251222618</v>
      </c>
      <c r="G31" s="15">
        <f t="shared" si="2"/>
        <v>0.29877556469226968</v>
      </c>
      <c r="I31" s="3">
        <v>2600</v>
      </c>
      <c r="J31" s="4">
        <f>'Caracteristica externa'!$F$3*('Caracteristica externa'!$B$2+'Caracteristica externa'!$D$2*I31/'Caracteristica externa'!$D$3+'Caracteristica externa'!$F$2*((I31/'Caracteristica externa'!$D$3)^2))</f>
        <v>862.76308798510388</v>
      </c>
      <c r="K31" s="15">
        <f>PI()*'Rapoarte de transmitere'!$B$14*Performante!I31/30/'Rapoarte de transmitere'!$B$7/'Rapoarte de transmitere'!$B$27</f>
        <v>6.4630414354349126</v>
      </c>
      <c r="L31" s="15">
        <f t="shared" si="3"/>
        <v>29076.797297606023</v>
      </c>
      <c r="M31" s="15">
        <f t="shared" si="4"/>
        <v>1.0145920164894526</v>
      </c>
      <c r="N31" s="15">
        <f>9.81*(M31-'Viteza maxima'!$B$2)/Performante!$B$2</f>
        <v>3.874080709404887</v>
      </c>
      <c r="O31" s="15">
        <f t="shared" si="5"/>
        <v>0.25812575292310158</v>
      </c>
      <c r="Q31" s="3">
        <v>2600</v>
      </c>
      <c r="R31" s="4">
        <f>'Caracteristica externa'!$F$3*('Caracteristica externa'!$B$2+'Caracteristica externa'!$D$2*Q31/'Caracteristica externa'!$D$3+'Caracteristica externa'!$F$2*((Q31/'Caracteristica externa'!$D$3)^2))</f>
        <v>862.76308798510388</v>
      </c>
      <c r="S31" s="15">
        <f>PI()*'Rapoarte de transmitere'!$B$14*Performante!Q31/30/'Rapoarte de transmitere'!$B$7/'Rapoarte de transmitere'!$B$28</f>
        <v>9.6833656317511085</v>
      </c>
      <c r="T31" s="15">
        <f t="shared" si="6"/>
        <v>19406.945156338788</v>
      </c>
      <c r="U31" s="15">
        <f t="shared" si="7"/>
        <v>0.66827018125641957</v>
      </c>
      <c r="V31" s="15">
        <f>9.81*(U31-'Viteza maxima'!$B$2)/Performante!$B$3</f>
        <v>3.800019430184753</v>
      </c>
      <c r="W31" s="15">
        <f t="shared" si="8"/>
        <v>0.26315654916306075</v>
      </c>
      <c r="Y31" s="3">
        <v>2600</v>
      </c>
      <c r="Z31" s="4">
        <f>'Caracteristica externa'!$F$3*('Caracteristica externa'!$B$2+'Caracteristica externa'!$D$2*Y31/'Caracteristica externa'!$D$3+'Caracteristica externa'!$F$2*((Y31/'Caracteristica externa'!$D$3)^2))</f>
        <v>862.76308798510388</v>
      </c>
      <c r="AA31" s="15">
        <f>PI()*'Rapoarte de transmitere'!$B$14*Performante!Y31/30/'Rapoarte de transmitere'!$B$7/'Rapoarte de transmitere'!$B$29</f>
        <v>14.508273062289085</v>
      </c>
      <c r="AB31" s="15">
        <f t="shared" si="9"/>
        <v>12952.923131329544</v>
      </c>
      <c r="AC31" s="15">
        <f t="shared" si="10"/>
        <v>0.4260350270978483</v>
      </c>
      <c r="AD31" s="15">
        <f>9.81*(AC31-'Viteza maxima'!$B$2)/Performante!$B$4</f>
        <v>3.0735409840912506</v>
      </c>
      <c r="AE31" s="15">
        <f t="shared" si="11"/>
        <v>0.32535762665148538</v>
      </c>
      <c r="AG31" s="3">
        <v>2600</v>
      </c>
      <c r="AH31" s="4">
        <f>'Caracteristica externa'!$F$3*('Caracteristica externa'!$B$2+'Caracteristica externa'!$D$2*AG31/'Caracteristica externa'!$D$3+'Caracteristica externa'!$F$2*((AG31/'Caracteristica externa'!$D$3)^2))</f>
        <v>862.76308798510388</v>
      </c>
      <c r="AI31" s="15">
        <f>PI()*'Rapoarte de transmitere'!$B$14*Performante!AG31/30/'Rapoarte de transmitere'!$B$7/'Rapoarte de transmitere'!$B$30</f>
        <v>21.737275576970941</v>
      </c>
      <c r="AJ31" s="15">
        <f t="shared" si="12"/>
        <v>8645.2667482976576</v>
      </c>
      <c r="AK31" s="15">
        <f t="shared" si="13"/>
        <v>0.23947010178891154</v>
      </c>
      <c r="AL31" s="15">
        <f>9.81*(AK31-'Viteza maxima'!$B$2)/Performante!$B$5</f>
        <v>1.91472988992283</v>
      </c>
      <c r="AM31" s="15">
        <f t="shared" si="14"/>
        <v>0.5222668770477612</v>
      </c>
      <c r="AN31" s="4"/>
      <c r="AP31" s="3">
        <v>2600</v>
      </c>
      <c r="AQ31" s="4">
        <f>'Caracteristica externa'!$F$3*('Caracteristica externa'!$B$2+'Caracteristica externa'!$D$2*AP31/'Caracteristica externa'!$D$3+'Caracteristica externa'!$F$2*((AP31/'Caracteristica externa'!$D$3)^2))</f>
        <v>862.76308798510388</v>
      </c>
      <c r="AR31" s="15">
        <f>PI()*'Rapoarte de transmitere'!$B$14*Performante!AP31/30/'Rapoarte de transmitere'!$B$7/'Rapoarte de transmitere'!$B$31</f>
        <v>32.568255882731911</v>
      </c>
      <c r="AS31" s="15">
        <f t="shared" si="15"/>
        <v>5770.1753026267997</v>
      </c>
      <c r="AT31" s="15">
        <f t="shared" si="16"/>
        <v>5.9080726677221543E-2</v>
      </c>
      <c r="AU31" s="15">
        <f>9.81*(AT31-'Viteza maxima'!$B$2)/Performante!$B$6</f>
        <v>0.38019049877692773</v>
      </c>
      <c r="AV31" s="15">
        <f t="shared" si="17"/>
        <v>2.6302603647829139</v>
      </c>
      <c r="AW31" s="4">
        <f>'Caracteristica externa'!B27</f>
        <v>238.40828109053797</v>
      </c>
      <c r="AY31" s="13">
        <f t="shared" si="18"/>
        <v>6.209957319629518E-2</v>
      </c>
    </row>
    <row r="32" spans="1:51" x14ac:dyDescent="0.25">
      <c r="A32" s="3">
        <v>2700</v>
      </c>
      <c r="B32" s="4">
        <f>'Caracteristica externa'!$F$3*('Caracteristica externa'!$B$2+'Caracteristica externa'!$D$2*A32/'Caracteristica externa'!$D$3+'Caracteristica externa'!$F$2*((A32/'Caracteristica externa'!$D$3)^2))</f>
        <v>843.19680910224793</v>
      </c>
      <c r="C32" s="15">
        <f>PI()*'Rapoarte de transmitere'!$B$14*Performante!A32/30/'Rapoarte de transmitere'!$B$7/'Rapoarte de transmitere'!$C$23</f>
        <v>4.4795869018530867</v>
      </c>
      <c r="D32" s="15">
        <f t="shared" si="0"/>
        <v>42576.833322182414</v>
      </c>
      <c r="E32" s="15">
        <f t="shared" si="1"/>
        <v>1.4912114106509309</v>
      </c>
      <c r="F32" s="15">
        <f>9.81*(E32-'Viteza maxima'!$B$2)/Performante!$B$1</f>
        <v>3.2696184379456885</v>
      </c>
      <c r="G32" s="15">
        <f t="shared" si="2"/>
        <v>0.30584608540080999</v>
      </c>
      <c r="I32" s="3">
        <v>2700</v>
      </c>
      <c r="J32" s="4">
        <f>'Caracteristica externa'!$F$3*('Caracteristica externa'!$B$2+'Caracteristica externa'!$D$2*I32/'Caracteristica externa'!$D$3+'Caracteristica externa'!$F$2*((I32/'Caracteristica externa'!$D$3)^2))</f>
        <v>843.19680910224793</v>
      </c>
      <c r="K32" s="15">
        <f>PI()*'Rapoarte de transmitere'!$B$14*Performante!I32/30/'Rapoarte de transmitere'!$B$7/'Rapoarte de transmitere'!$B$27</f>
        <v>6.71161995218241</v>
      </c>
      <c r="L32" s="15">
        <f t="shared" si="3"/>
        <v>28417.375571215416</v>
      </c>
      <c r="M32" s="15">
        <f t="shared" si="4"/>
        <v>0.99101171425204737</v>
      </c>
      <c r="N32" s="15">
        <f>9.81*(M32-'Viteza maxima'!$B$2)/Performante!$B$2</f>
        <v>3.7824163246733487</v>
      </c>
      <c r="O32" s="15">
        <f t="shared" si="5"/>
        <v>0.26438126164928727</v>
      </c>
      <c r="Q32" s="3">
        <v>2700</v>
      </c>
      <c r="R32" s="4">
        <f>'Caracteristica externa'!$F$3*('Caracteristica externa'!$B$2+'Caracteristica externa'!$D$2*Q32/'Caracteristica externa'!$D$3+'Caracteristica externa'!$F$2*((Q32/'Caracteristica externa'!$D$3)^2))</f>
        <v>843.19680910224793</v>
      </c>
      <c r="S32" s="15">
        <f>PI()*'Rapoarte de transmitere'!$B$14*Performante!Q32/30/'Rapoarte de transmitere'!$B$7/'Rapoarte de transmitere'!$B$28</f>
        <v>10.055802771433843</v>
      </c>
      <c r="T32" s="15">
        <f t="shared" si="6"/>
        <v>18966.822361934108</v>
      </c>
      <c r="U32" s="15">
        <f t="shared" si="7"/>
        <v>0.65183350558343611</v>
      </c>
      <c r="V32" s="15">
        <f>9.81*(U32-'Viteza maxima'!$B$2)/Performante!$B$3</f>
        <v>3.70396752941283</v>
      </c>
      <c r="W32" s="15">
        <f t="shared" si="8"/>
        <v>0.26998076847572272</v>
      </c>
      <c r="Y32" s="3">
        <v>2700</v>
      </c>
      <c r="Z32" s="4">
        <f>'Caracteristica externa'!$F$3*('Caracteristica externa'!$B$2+'Caracteristica externa'!$D$2*Y32/'Caracteristica externa'!$D$3+'Caracteristica externa'!$F$2*((Y32/'Caracteristica externa'!$D$3)^2))</f>
        <v>843.19680910224793</v>
      </c>
      <c r="AA32" s="15">
        <f>PI()*'Rapoarte de transmitere'!$B$14*Performante!Y32/30/'Rapoarte de transmitere'!$B$7/'Rapoarte de transmitere'!$B$29</f>
        <v>15.06628356468482</v>
      </c>
      <c r="AB32" s="15">
        <f t="shared" si="9"/>
        <v>12659.168669803295</v>
      </c>
      <c r="AC32" s="15">
        <f t="shared" si="10"/>
        <v>0.41349703096367879</v>
      </c>
      <c r="AD32" s="15">
        <f>9.81*(AC32-'Viteza maxima'!$B$2)/Performante!$B$4</f>
        <v>2.9790980014609709</v>
      </c>
      <c r="AE32" s="15">
        <f t="shared" si="11"/>
        <v>0.33567207238888846</v>
      </c>
      <c r="AG32" s="3">
        <v>2700</v>
      </c>
      <c r="AH32" s="4">
        <f>'Caracteristica externa'!$F$3*('Caracteristica externa'!$B$2+'Caracteristica externa'!$D$2*AG32/'Caracteristica externa'!$D$3+'Caracteristica externa'!$F$2*((AG32/'Caracteristica externa'!$D$3)^2))</f>
        <v>843.19680910224793</v>
      </c>
      <c r="AI32" s="15">
        <f>PI()*'Rapoarte de transmitere'!$B$14*Performante!AG32/30/'Rapoarte de transmitere'!$B$7/'Rapoarte de transmitere'!$B$30</f>
        <v>22.573324637623671</v>
      </c>
      <c r="AJ32" s="15">
        <f t="shared" si="12"/>
        <v>8449.2040022558449</v>
      </c>
      <c r="AK32" s="15">
        <f t="shared" si="13"/>
        <v>0.22758294486833172</v>
      </c>
      <c r="AL32" s="15">
        <f>9.81*(AK32-'Viteza maxima'!$B$2)/Performante!$B$5</f>
        <v>1.8119589313230502</v>
      </c>
      <c r="AM32" s="15">
        <f t="shared" si="14"/>
        <v>0.55188888816029802</v>
      </c>
      <c r="AN32" s="4"/>
      <c r="AP32" s="3">
        <v>2700</v>
      </c>
      <c r="AQ32" s="4">
        <f>'Caracteristica externa'!$F$3*('Caracteristica externa'!$B$2+'Caracteristica externa'!$D$2*AP32/'Caracteristica externa'!$D$3+'Caracteristica externa'!$F$2*((AP32/'Caracteristica externa'!$D$3)^2))</f>
        <v>843.19680910224793</v>
      </c>
      <c r="AR32" s="15">
        <f>PI()*'Rapoarte de transmitere'!$B$14*Performante!AP32/30/'Rapoarte de transmitere'!$B$7/'Rapoarte de transmitere'!$B$31</f>
        <v>33.820881108990832</v>
      </c>
      <c r="AS32" s="15">
        <f t="shared" si="15"/>
        <v>5639.3156718122364</v>
      </c>
      <c r="AT32" s="15">
        <f t="shared" si="16"/>
        <v>4.3247706651065462E-2</v>
      </c>
      <c r="AU32" s="15">
        <f>9.81*(AT32-'Viteza maxima'!$B$2)/Performante!$B$6</f>
        <v>0.23366037947825685</v>
      </c>
      <c r="AV32" s="15">
        <f t="shared" si="17"/>
        <v>4.2797157234483327</v>
      </c>
      <c r="AW32" s="4">
        <f>'Caracteristica externa'!B28</f>
        <v>241.03274745805729</v>
      </c>
      <c r="AY32" s="13">
        <f t="shared" si="18"/>
        <v>4.5425924040835876E-2</v>
      </c>
    </row>
    <row r="33" spans="1:51" x14ac:dyDescent="0.25">
      <c r="A33" s="38">
        <v>2850</v>
      </c>
      <c r="B33" s="39">
        <f>'Caracteristica externa'!$F$3*('Caracteristica externa'!$B$2+'Caracteristica externa'!$D$2*A33/'Caracteristica externa'!$D$3+'Caracteristica externa'!$F$2*((A33/'Caracteristica externa'!$D$3)^2))</f>
        <v>810.85255217344582</v>
      </c>
      <c r="C33" s="40">
        <f>PI()*'Rapoarte de transmitere'!$B$14*Performante!A33/30/'Rapoarte de transmitere'!$B$7/'Rapoarte de transmitere'!$C$23</f>
        <v>4.7284528408449251</v>
      </c>
      <c r="D33" s="40">
        <f t="shared" si="0"/>
        <v>40943.625011475364</v>
      </c>
      <c r="E33" s="40">
        <f t="shared" si="1"/>
        <v>1.4335960875993361</v>
      </c>
      <c r="F33" s="40">
        <f>9.81*(E33-'Viteza maxima'!$B$2)/Performante!$B$1</f>
        <v>3.1417480446024433</v>
      </c>
      <c r="G33" s="40">
        <f t="shared" si="2"/>
        <v>0.31829414256118044</v>
      </c>
      <c r="I33" s="38">
        <v>2850</v>
      </c>
      <c r="J33" s="39">
        <f>'Caracteristica externa'!$F$3*('Caracteristica externa'!$B$2+'Caracteristica externa'!$D$2*I33/'Caracteristica externa'!$D$3+'Caracteristica externa'!$F$2*((I33/'Caracteristica externa'!$D$3)^2))</f>
        <v>810.85255217344582</v>
      </c>
      <c r="K33" s="40">
        <f>PI()*'Rapoarte de transmitere'!$B$14*Performante!I33/30/'Rapoarte de transmitere'!$B$7/'Rapoarte de transmitere'!$B$27</f>
        <v>7.0844877273036548</v>
      </c>
      <c r="L33" s="40">
        <f t="shared" si="3"/>
        <v>27327.311084732995</v>
      </c>
      <c r="M33" s="40">
        <f t="shared" si="4"/>
        <v>0.95206846787166077</v>
      </c>
      <c r="N33" s="40">
        <f>9.81*(M33-'Viteza maxima'!$B$2)/Performante!$B$2</f>
        <v>3.6310311268515738</v>
      </c>
      <c r="O33" s="40">
        <f t="shared" si="5"/>
        <v>0.2754038632731548</v>
      </c>
      <c r="Q33" s="38">
        <v>2850</v>
      </c>
      <c r="R33" s="39">
        <f>'Caracteristica externa'!$F$3*('Caracteristica externa'!$B$2+'Caracteristica externa'!$D$2*Q33/'Caracteristica externa'!$D$3+'Caracteristica externa'!$F$2*((Q33/'Caracteristica externa'!$D$3)^2))</f>
        <v>810.85255217344582</v>
      </c>
      <c r="S33" s="40">
        <f>PI()*'Rapoarte de transmitere'!$B$14*Performante!Q33/30/'Rapoarte de transmitere'!$B$7/'Rapoarte de transmitere'!$B$28</f>
        <v>10.614458480957946</v>
      </c>
      <c r="T33" s="40">
        <f t="shared" si="6"/>
        <v>18239.272436489646</v>
      </c>
      <c r="U33" s="40">
        <f t="shared" si="7"/>
        <v>0.62474446815676998</v>
      </c>
      <c r="V33" s="40">
        <f>9.81*(U33-'Viteza maxima'!$B$2)/Performante!$B$3</f>
        <v>3.5456658395407215</v>
      </c>
      <c r="W33" s="40">
        <f t="shared" si="8"/>
        <v>0.28203447399023152</v>
      </c>
      <c r="Y33" s="38">
        <v>2850</v>
      </c>
      <c r="Z33" s="39">
        <f>'Caracteristica externa'!$F$3*('Caracteristica externa'!$B$2+'Caracteristica externa'!$D$2*Y33/'Caracteristica externa'!$D$3+'Caracteristica externa'!$F$2*((Y33/'Caracteristica externa'!$D$3)^2))</f>
        <v>810.85255217344582</v>
      </c>
      <c r="AA33" s="40">
        <f>PI()*'Rapoarte de transmitere'!$B$14*Performante!Y33/30/'Rapoarte de transmitere'!$B$7/'Rapoarte de transmitere'!$B$29</f>
        <v>15.903299318278421</v>
      </c>
      <c r="AB33" s="40">
        <f t="shared" si="9"/>
        <v>12173.574559933379</v>
      </c>
      <c r="AC33" s="40">
        <f t="shared" si="10"/>
        <v>0.39295456689292119</v>
      </c>
      <c r="AD33" s="40">
        <f>9.81*(AC33-'Viteza maxima'!$B$2)/Performante!$B$4</f>
        <v>2.8243610278124938</v>
      </c>
      <c r="AE33" s="40">
        <f t="shared" si="11"/>
        <v>0.35406238443054627</v>
      </c>
      <c r="AG33" s="38">
        <v>2850</v>
      </c>
      <c r="AH33" s="39">
        <f>'Caracteristica externa'!$F$3*('Caracteristica externa'!$B$2+'Caracteristica externa'!$D$2*AG33/'Caracteristica externa'!$D$3+'Caracteristica externa'!$F$2*((AG33/'Caracteristica externa'!$D$3)^2))</f>
        <v>810.85255217344582</v>
      </c>
      <c r="AI33" s="40">
        <f>PI()*'Rapoarte de transmitere'!$B$14*Performante!AG33/30/'Rapoarte de transmitere'!$B$7/'Rapoarte de transmitere'!$B$30</f>
        <v>23.827398228602764</v>
      </c>
      <c r="AJ33" s="40">
        <f t="shared" si="12"/>
        <v>8125.1002792071404</v>
      </c>
      <c r="AK33" s="40">
        <f t="shared" si="13"/>
        <v>0.20834491812070438</v>
      </c>
      <c r="AL33" s="40">
        <f>9.81*(AK33-'Viteza maxima'!$B$2)/Performante!$B$5</f>
        <v>1.6456356915752046</v>
      </c>
      <c r="AM33" s="40">
        <f t="shared" si="14"/>
        <v>0.60766790919732583</v>
      </c>
      <c r="AN33" s="4"/>
      <c r="AP33" s="38">
        <v>2850</v>
      </c>
      <c r="AQ33" s="39">
        <f>'Caracteristica externa'!$F$3*('Caracteristica externa'!$B$2+'Caracteristica externa'!$D$2*AP33/'Caracteristica externa'!$D$3+'Caracteristica externa'!$F$2*((AP33/'Caracteristica externa'!$D$3)^2))</f>
        <v>810.85255217344582</v>
      </c>
      <c r="AR33" s="40">
        <f>PI()*'Rapoarte de transmitere'!$B$14*Performante!AP33/30/'Rapoarte de transmitere'!$B$7/'Rapoarte de transmitere'!$B$31</f>
        <v>35.69981894837921</v>
      </c>
      <c r="AS33" s="40">
        <f t="shared" si="15"/>
        <v>5422.9966902616343</v>
      </c>
      <c r="AT33" s="40">
        <f t="shared" si="16"/>
        <v>1.8000000000004276E-2</v>
      </c>
      <c r="AU33" s="40">
        <f>9.81*(AT33-'Viteza maxima'!$B$2)/Performante!$B$6</f>
        <v>3.9590088283164059E-14</v>
      </c>
      <c r="AV33" s="40">
        <f t="shared" si="17"/>
        <v>25258847437964.832</v>
      </c>
      <c r="AW33" s="39">
        <f>'Caracteristica externa'!B29</f>
        <v>242</v>
      </c>
      <c r="AY33" s="13">
        <f t="shared" si="18"/>
        <v>1.8000000000004245E-2</v>
      </c>
    </row>
    <row r="34" spans="1:51" x14ac:dyDescent="0.25">
      <c r="A34" s="44"/>
      <c r="B34" s="45"/>
      <c r="C34" s="46"/>
      <c r="D34" s="46"/>
      <c r="E34" s="46"/>
      <c r="F34" s="46"/>
      <c r="G34" s="46"/>
      <c r="H34" s="43"/>
      <c r="I34" s="44"/>
      <c r="J34" s="45"/>
      <c r="K34" s="46"/>
      <c r="L34" s="46"/>
      <c r="M34" s="46"/>
      <c r="N34" s="46"/>
      <c r="O34" s="46"/>
      <c r="P34" s="43"/>
      <c r="Q34" s="44"/>
      <c r="R34" s="45"/>
      <c r="S34" s="46"/>
      <c r="T34" s="46"/>
      <c r="U34" s="46"/>
      <c r="V34" s="46"/>
      <c r="W34" s="46"/>
      <c r="X34" s="43"/>
      <c r="Y34" s="44"/>
      <c r="Z34" s="45"/>
      <c r="AA34" s="46"/>
      <c r="AB34" s="46"/>
      <c r="AC34" s="46"/>
      <c r="AD34" s="46"/>
      <c r="AE34" s="46"/>
      <c r="AF34" s="43"/>
      <c r="AG34" s="44"/>
      <c r="AH34" s="45"/>
      <c r="AI34" s="46"/>
      <c r="AJ34" s="46"/>
      <c r="AK34" s="46"/>
      <c r="AL34" s="46"/>
      <c r="AM34" s="46"/>
      <c r="AN34" s="10"/>
      <c r="AP34" s="29">
        <f>3135</f>
        <v>3135</v>
      </c>
      <c r="AQ34" s="30">
        <f>'Caracteristica externa'!$F$3*('Caracteristica externa'!$B$2+'Caracteristica externa'!$D$2*AP34/'Caracteristica externa'!$D$3+'Caracteristica externa'!$F$2*((AP34/'Caracteristica externa'!$D$3)^2))</f>
        <v>739.49752758218256</v>
      </c>
      <c r="AR34" s="37">
        <f>PI()*'Rapoarte de transmitere'!$B$14*Performante!AP34/30/'Rapoarte de transmitere'!$B$7/'Rapoarte de transmitere'!$B$31</f>
        <v>39.269800843217126</v>
      </c>
      <c r="AS34" s="37">
        <f t="shared" si="15"/>
        <v>4945.7729815186112</v>
      </c>
      <c r="AT34" s="37">
        <f t="shared" si="16"/>
        <v>-3.4923614515712853E-2</v>
      </c>
      <c r="AU34" s="37">
        <f>9.81*(AT34-'Viteza maxima'!$B$2)/Performante!$B$6</f>
        <v>-0.48979307396145588</v>
      </c>
      <c r="AV34" s="37">
        <f>1/AU34</f>
        <v>-2.0416785233649399</v>
      </c>
      <c r="AW34" s="4">
        <f>'Caracteristica externa'!B30</f>
        <v>-4.0847481342784146E-13</v>
      </c>
    </row>
    <row r="35" spans="1:51" x14ac:dyDescent="0.25">
      <c r="A35" s="18"/>
      <c r="B35" s="22"/>
      <c r="C35" s="41"/>
      <c r="D35" s="41"/>
      <c r="E35" s="41"/>
      <c r="F35" s="41"/>
      <c r="G35" s="41"/>
      <c r="I35" s="18"/>
      <c r="J35" s="22"/>
      <c r="K35" s="41"/>
      <c r="L35" s="41"/>
      <c r="M35" s="41"/>
      <c r="N35" s="41"/>
      <c r="O35" s="41"/>
      <c r="Q35" s="18"/>
      <c r="R35" s="22"/>
      <c r="S35" s="41"/>
      <c r="T35" s="41"/>
      <c r="U35" s="41"/>
      <c r="V35" s="41"/>
      <c r="W35" s="41"/>
      <c r="Y35" s="18"/>
      <c r="Z35" s="22"/>
      <c r="AA35" s="41"/>
      <c r="AB35" s="41"/>
      <c r="AC35" s="41"/>
      <c r="AD35" s="41"/>
      <c r="AE35" s="41"/>
      <c r="AG35" s="18"/>
      <c r="AH35" s="22"/>
      <c r="AI35" s="41"/>
      <c r="AJ35" s="41"/>
      <c r="AK35" s="41"/>
      <c r="AL35" s="41"/>
      <c r="AM35" s="41"/>
      <c r="AN35" s="10"/>
      <c r="AP35" s="18"/>
      <c r="AQ35" s="22"/>
      <c r="AR35" s="41"/>
      <c r="AS35" s="41"/>
      <c r="AT35" s="41"/>
      <c r="AU35" s="41"/>
      <c r="AV35" s="41"/>
      <c r="AW35" s="22"/>
    </row>
    <row r="36" spans="1:51" x14ac:dyDescent="0.25">
      <c r="A36" s="18"/>
      <c r="B36" s="22"/>
      <c r="C36" s="41"/>
      <c r="D36" s="41"/>
      <c r="E36" s="41"/>
      <c r="F36" s="41"/>
      <c r="G36" s="41"/>
      <c r="I36" s="18"/>
      <c r="J36" s="22"/>
      <c r="K36" s="41"/>
      <c r="L36" s="41"/>
      <c r="M36" s="41"/>
      <c r="N36" s="41"/>
      <c r="O36" s="41"/>
      <c r="Q36" s="18"/>
      <c r="R36" s="22"/>
      <c r="S36" s="41"/>
      <c r="T36" s="41"/>
      <c r="U36" s="41"/>
      <c r="V36" s="41"/>
      <c r="W36" s="41"/>
      <c r="Y36" s="18"/>
      <c r="Z36" s="22"/>
      <c r="AA36" s="41"/>
      <c r="AB36" s="41"/>
      <c r="AC36" s="41"/>
      <c r="AD36" s="41"/>
      <c r="AE36" s="41"/>
      <c r="AG36" s="18"/>
      <c r="AH36" s="22"/>
      <c r="AI36" s="41"/>
      <c r="AJ36" s="41"/>
      <c r="AK36" s="41"/>
      <c r="AL36" s="41"/>
      <c r="AM36" s="41"/>
      <c r="AN36" s="10"/>
    </row>
    <row r="37" spans="1:51" x14ac:dyDescent="0.25">
      <c r="A37" s="18"/>
      <c r="B37" s="22"/>
      <c r="C37" s="41"/>
      <c r="D37" s="41"/>
      <c r="E37" s="41"/>
      <c r="F37" s="41"/>
      <c r="G37" s="41"/>
      <c r="I37" s="18"/>
      <c r="J37" s="22"/>
      <c r="K37" s="41"/>
      <c r="L37" s="41"/>
      <c r="M37" s="41"/>
      <c r="N37" s="41"/>
      <c r="O37" s="41"/>
      <c r="Q37" s="18"/>
      <c r="R37" s="22"/>
      <c r="S37" s="41"/>
      <c r="T37" s="41"/>
      <c r="U37" s="41"/>
      <c r="V37" s="41"/>
      <c r="W37" s="41"/>
      <c r="Y37" s="18"/>
      <c r="Z37" s="22"/>
      <c r="AA37" s="41"/>
      <c r="AB37" s="41"/>
      <c r="AC37" s="41"/>
      <c r="AD37" s="41"/>
      <c r="AE37" s="41"/>
      <c r="AG37" s="18"/>
      <c r="AH37" s="22"/>
      <c r="AI37" s="41"/>
      <c r="AJ37" s="41"/>
      <c r="AK37" s="41"/>
      <c r="AL37" s="41"/>
      <c r="AM37" s="41"/>
      <c r="AN37" s="10"/>
      <c r="AW37" s="10"/>
    </row>
    <row r="38" spans="1:51" x14ac:dyDescent="0.25">
      <c r="A38" s="18"/>
      <c r="B38" s="22"/>
      <c r="C38" s="41"/>
      <c r="D38" s="41"/>
      <c r="E38" s="41"/>
      <c r="F38" s="41"/>
      <c r="G38" s="41"/>
      <c r="I38" s="18"/>
      <c r="J38" s="22"/>
      <c r="K38" s="41"/>
      <c r="L38" s="41"/>
      <c r="M38" s="41"/>
      <c r="N38" s="41"/>
      <c r="O38" s="41"/>
      <c r="Q38" s="18"/>
      <c r="R38" s="22"/>
      <c r="S38" s="41"/>
      <c r="T38" s="41"/>
      <c r="U38" s="41"/>
      <c r="V38" s="41"/>
      <c r="W38" s="41"/>
      <c r="Y38" s="18"/>
      <c r="Z38" s="22"/>
      <c r="AA38" s="41"/>
      <c r="AB38" s="41"/>
      <c r="AC38" s="41"/>
      <c r="AD38" s="41"/>
      <c r="AE38" s="41"/>
      <c r="AG38" s="18"/>
      <c r="AH38" s="22"/>
      <c r="AI38" s="41"/>
      <c r="AJ38" s="41"/>
      <c r="AK38" s="41"/>
      <c r="AL38" s="41"/>
      <c r="AM38" s="41"/>
      <c r="AN38" s="10"/>
    </row>
    <row r="39" spans="1:51" x14ac:dyDescent="0.25">
      <c r="A39" s="18"/>
      <c r="B39" s="22"/>
      <c r="C39" s="41"/>
      <c r="D39" s="41"/>
      <c r="E39" s="41"/>
      <c r="F39" s="41"/>
      <c r="G39" s="41"/>
      <c r="I39" s="18"/>
      <c r="J39" s="22"/>
      <c r="K39" s="41"/>
      <c r="L39" s="41"/>
      <c r="M39" s="41"/>
      <c r="N39" s="41"/>
      <c r="O39" s="41"/>
      <c r="Q39" s="18"/>
      <c r="R39" s="22"/>
      <c r="S39" s="41"/>
      <c r="T39" s="41"/>
      <c r="U39" s="41"/>
      <c r="V39" s="41"/>
      <c r="W39" s="41"/>
      <c r="Y39" s="18"/>
      <c r="Z39" s="22"/>
      <c r="AA39" s="41"/>
      <c r="AB39" s="41"/>
      <c r="AC39" s="41"/>
      <c r="AD39" s="41"/>
      <c r="AE39" s="41"/>
      <c r="AG39" s="18"/>
      <c r="AH39" s="22"/>
      <c r="AI39" s="41"/>
      <c r="AJ39" s="41"/>
      <c r="AK39" s="41"/>
      <c r="AL39" s="41"/>
      <c r="AM39" s="41"/>
      <c r="AN39" s="10"/>
      <c r="AP39" s="10"/>
    </row>
    <row r="40" spans="1:51" x14ac:dyDescent="0.25">
      <c r="A40" s="18"/>
      <c r="B40" s="22"/>
      <c r="C40" s="41"/>
      <c r="D40" s="41"/>
      <c r="E40" s="41"/>
      <c r="F40" s="41"/>
      <c r="G40" s="41"/>
      <c r="I40" s="18"/>
      <c r="J40" s="22"/>
      <c r="K40" s="41"/>
      <c r="L40" s="41"/>
      <c r="M40" s="41"/>
      <c r="N40" s="41"/>
      <c r="O40" s="41"/>
      <c r="Q40" s="18"/>
      <c r="R40" s="22"/>
      <c r="S40" s="41"/>
      <c r="T40" s="41"/>
      <c r="U40" s="41"/>
      <c r="V40" s="41"/>
      <c r="W40" s="41"/>
      <c r="Y40" s="18"/>
      <c r="Z40" s="22"/>
      <c r="AA40" s="41"/>
      <c r="AB40" s="41"/>
      <c r="AC40" s="41"/>
      <c r="AD40" s="41"/>
      <c r="AE40" s="41"/>
      <c r="AG40" s="18"/>
      <c r="AH40" s="22"/>
      <c r="AI40" s="41"/>
      <c r="AJ40" s="41"/>
      <c r="AK40" s="41"/>
      <c r="AL40" s="41"/>
      <c r="AM40" s="41"/>
      <c r="AN40" s="10"/>
      <c r="AR40" s="10"/>
    </row>
    <row r="41" spans="1:51" x14ac:dyDescent="0.25">
      <c r="A41" s="18"/>
      <c r="B41" s="22"/>
      <c r="C41" s="41"/>
      <c r="D41" s="41"/>
      <c r="E41" s="41"/>
      <c r="F41" s="41"/>
      <c r="G41" s="41"/>
      <c r="I41" s="18"/>
      <c r="J41" s="22"/>
      <c r="K41" s="41"/>
      <c r="L41" s="41"/>
      <c r="M41" s="41"/>
      <c r="N41" s="41"/>
      <c r="O41" s="41"/>
      <c r="Q41" s="18"/>
      <c r="R41" s="22"/>
      <c r="S41" s="41"/>
      <c r="T41" s="41"/>
      <c r="U41" s="41"/>
      <c r="V41" s="41"/>
      <c r="W41" s="41"/>
      <c r="Y41" s="18"/>
      <c r="Z41" s="22"/>
      <c r="AA41" s="41"/>
      <c r="AB41" s="41"/>
      <c r="AC41" s="41"/>
      <c r="AD41" s="41"/>
      <c r="AE41" s="41"/>
      <c r="AG41" s="18"/>
      <c r="AH41" s="22"/>
      <c r="AI41" s="41"/>
      <c r="AJ41" s="41"/>
      <c r="AK41" s="41"/>
      <c r="AL41" s="41"/>
      <c r="AM41" s="41"/>
      <c r="AN41" s="10"/>
      <c r="AR41" s="10"/>
    </row>
    <row r="42" spans="1:51" x14ac:dyDescent="0.25">
      <c r="A42" s="18"/>
      <c r="B42" s="22"/>
      <c r="C42" s="41"/>
      <c r="D42" s="41"/>
      <c r="E42" s="41"/>
      <c r="F42" s="41"/>
      <c r="G42" s="41"/>
      <c r="I42" s="18"/>
      <c r="J42" s="22"/>
      <c r="K42" s="41"/>
      <c r="L42" s="41"/>
      <c r="M42" s="41"/>
      <c r="N42" s="41"/>
      <c r="O42" s="41"/>
      <c r="Q42" s="18"/>
      <c r="R42" s="22"/>
      <c r="S42" s="41"/>
      <c r="T42" s="41"/>
      <c r="U42" s="41"/>
      <c r="V42" s="41"/>
      <c r="W42" s="41"/>
      <c r="Y42" s="18"/>
      <c r="Z42" s="22"/>
      <c r="AA42" s="41"/>
      <c r="AB42" s="41"/>
      <c r="AC42" s="41"/>
      <c r="AD42" s="41"/>
      <c r="AE42" s="41"/>
      <c r="AG42" s="18"/>
      <c r="AH42" s="22"/>
      <c r="AI42" s="41"/>
      <c r="AJ42" s="41"/>
      <c r="AK42" s="41"/>
      <c r="AL42" s="41"/>
      <c r="AM42" s="41"/>
      <c r="AN42" s="10"/>
      <c r="AR42" s="10"/>
    </row>
    <row r="43" spans="1:51" x14ac:dyDescent="0.25">
      <c r="A43" s="18"/>
      <c r="B43" s="22"/>
      <c r="C43" s="41"/>
      <c r="D43" s="41"/>
      <c r="E43" s="41"/>
      <c r="F43" s="41"/>
      <c r="G43" s="41"/>
      <c r="I43" s="18"/>
      <c r="J43" s="22"/>
      <c r="K43" s="41"/>
      <c r="L43" s="41"/>
      <c r="M43" s="41"/>
      <c r="N43" s="41"/>
      <c r="O43" s="41"/>
      <c r="Q43" s="18"/>
      <c r="R43" s="22"/>
      <c r="S43" s="41"/>
      <c r="T43" s="41"/>
      <c r="U43" s="41"/>
      <c r="V43" s="41"/>
      <c r="W43" s="41"/>
      <c r="Y43" s="18"/>
      <c r="Z43" s="22"/>
      <c r="AA43" s="41"/>
      <c r="AB43" s="41"/>
      <c r="AC43" s="41"/>
      <c r="AD43" s="41"/>
      <c r="AE43" s="41"/>
      <c r="AG43" s="18"/>
      <c r="AH43" s="22"/>
      <c r="AI43" s="41"/>
      <c r="AJ43" s="41"/>
      <c r="AK43" s="41"/>
      <c r="AL43" s="41"/>
      <c r="AM43" s="41"/>
      <c r="AN43" s="10"/>
      <c r="AR43" s="10"/>
    </row>
    <row r="44" spans="1:51" x14ac:dyDescent="0.25">
      <c r="A44" s="18"/>
      <c r="B44" s="22"/>
      <c r="C44" s="41"/>
      <c r="D44" s="41"/>
      <c r="E44" s="41"/>
      <c r="F44" s="41"/>
      <c r="G44" s="41"/>
      <c r="I44" s="18"/>
      <c r="J44" s="22"/>
      <c r="K44" s="41"/>
      <c r="L44" s="41"/>
      <c r="M44" s="41"/>
      <c r="N44" s="41"/>
      <c r="O44" s="41"/>
      <c r="Q44" s="18"/>
      <c r="R44" s="22"/>
      <c r="S44" s="41"/>
      <c r="T44" s="41"/>
      <c r="U44" s="41"/>
      <c r="V44" s="41"/>
      <c r="W44" s="41"/>
      <c r="Y44" s="18"/>
      <c r="Z44" s="22"/>
      <c r="AA44" s="41"/>
      <c r="AB44" s="41"/>
      <c r="AC44" s="41"/>
      <c r="AD44" s="41"/>
      <c r="AE44" s="41"/>
      <c r="AG44" s="18"/>
      <c r="AH44" s="22"/>
      <c r="AI44" s="41"/>
      <c r="AJ44" s="41"/>
      <c r="AK44" s="41"/>
      <c r="AL44" s="41"/>
      <c r="AM44" s="41"/>
      <c r="AN44" s="10"/>
    </row>
    <row r="45" spans="1:51" x14ac:dyDescent="0.25">
      <c r="A45" s="18"/>
      <c r="B45" s="22"/>
      <c r="C45" s="41"/>
      <c r="D45" s="41"/>
      <c r="E45" s="41"/>
      <c r="F45" s="41"/>
      <c r="G45" s="41"/>
      <c r="I45" s="18"/>
      <c r="J45" s="22"/>
      <c r="K45" s="41"/>
      <c r="L45" s="41"/>
      <c r="M45" s="41"/>
      <c r="N45" s="41"/>
      <c r="O45" s="41"/>
      <c r="Q45" s="18"/>
      <c r="R45" s="22"/>
      <c r="S45" s="41"/>
      <c r="T45" s="41"/>
      <c r="U45" s="41"/>
      <c r="V45" s="41"/>
      <c r="W45" s="41"/>
      <c r="Y45" s="18"/>
      <c r="Z45" s="22"/>
      <c r="AA45" s="41"/>
      <c r="AB45" s="41"/>
      <c r="AC45" s="41"/>
      <c r="AD45" s="41"/>
      <c r="AE45" s="41"/>
      <c r="AG45" s="18"/>
      <c r="AH45" s="22"/>
      <c r="AI45" s="41"/>
      <c r="AJ45" s="41"/>
      <c r="AK45" s="41"/>
      <c r="AL45" s="41"/>
      <c r="AM45" s="41"/>
      <c r="AN45" s="10"/>
    </row>
    <row r="46" spans="1:51" x14ac:dyDescent="0.25">
      <c r="A46" s="18"/>
      <c r="B46" s="22"/>
      <c r="C46" s="41"/>
      <c r="D46" s="41"/>
      <c r="E46" s="41"/>
      <c r="F46" s="41"/>
      <c r="G46" s="41"/>
      <c r="I46" s="18"/>
      <c r="J46" s="22"/>
      <c r="K46" s="41"/>
      <c r="L46" s="41"/>
      <c r="M46" s="41"/>
      <c r="N46" s="41"/>
      <c r="O46" s="41"/>
      <c r="Q46" s="18"/>
      <c r="R46" s="22"/>
      <c r="S46" s="41"/>
      <c r="T46" s="41"/>
      <c r="U46" s="41"/>
      <c r="V46" s="41"/>
      <c r="W46" s="41"/>
      <c r="Y46" s="18"/>
      <c r="Z46" s="22"/>
      <c r="AA46" s="41"/>
      <c r="AB46" s="41"/>
      <c r="AC46" s="41"/>
      <c r="AD46" s="41"/>
      <c r="AE46" s="41"/>
      <c r="AG46" s="18"/>
      <c r="AH46" s="22"/>
      <c r="AI46" s="41"/>
      <c r="AJ46" s="41"/>
      <c r="AK46" s="41"/>
      <c r="AL46" s="41"/>
      <c r="AM46" s="41"/>
      <c r="AN46" s="10"/>
    </row>
    <row r="47" spans="1:51" x14ac:dyDescent="0.25">
      <c r="AG47" s="18"/>
      <c r="AH47" s="22"/>
      <c r="AI47" s="41"/>
      <c r="AJ47" s="41"/>
      <c r="AK47" s="41"/>
      <c r="AL47" s="42"/>
      <c r="AM47" s="41"/>
      <c r="AP47" s="18"/>
      <c r="AQ47" s="22"/>
      <c r="AR47" s="41"/>
      <c r="AS47" s="41"/>
      <c r="AT47" s="41"/>
      <c r="AU47" s="42"/>
      <c r="AV47" s="4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9"/>
  <sheetViews>
    <sheetView zoomScale="145" zoomScaleNormal="145" workbookViewId="0">
      <selection activeCell="B8" sqref="B8"/>
    </sheetView>
  </sheetViews>
  <sheetFormatPr defaultRowHeight="15" x14ac:dyDescent="0.25"/>
  <cols>
    <col min="3" max="3" width="9.7109375" customWidth="1"/>
    <col min="4" max="4" width="13.28515625" customWidth="1"/>
    <col min="5" max="5" width="12.140625" customWidth="1"/>
    <col min="10" max="10" width="13" customWidth="1"/>
    <col min="11" max="11" width="12" customWidth="1"/>
    <col min="16" max="16" width="14" customWidth="1"/>
    <col min="17" max="17" width="12.85546875" customWidth="1"/>
  </cols>
  <sheetData>
    <row r="1" spans="1:14" x14ac:dyDescent="0.25">
      <c r="A1" t="s">
        <v>92</v>
      </c>
    </row>
    <row r="2" spans="1:14" ht="12.75" customHeight="1" x14ac:dyDescent="0.25">
      <c r="A2" t="s">
        <v>66</v>
      </c>
      <c r="B2" s="10">
        <v>60</v>
      </c>
      <c r="C2">
        <f>B2*1000/3600</f>
        <v>16.666666666666668</v>
      </c>
      <c r="E2" t="s">
        <v>13</v>
      </c>
      <c r="F2">
        <v>28500</v>
      </c>
    </row>
    <row r="3" spans="1:14" ht="60" customHeight="1" x14ac:dyDescent="0.25">
      <c r="A3" t="s">
        <v>93</v>
      </c>
      <c r="B3">
        <v>9.81</v>
      </c>
      <c r="E3" t="s">
        <v>14</v>
      </c>
      <c r="F3" s="10">
        <f>'Viteza maxima'!B5</f>
        <v>0.61299999999999999</v>
      </c>
      <c r="I3" s="49" t="s">
        <v>128</v>
      </c>
      <c r="J3" s="50"/>
      <c r="K3" s="50"/>
      <c r="L3" s="50"/>
      <c r="M3" s="50"/>
    </row>
    <row r="4" spans="1:14" x14ac:dyDescent="0.25">
      <c r="A4" t="s">
        <v>41</v>
      </c>
      <c r="B4">
        <f>'Rapoarte de transmitere'!B13</f>
        <v>1.7999999999999999E-2</v>
      </c>
      <c r="E4" t="s">
        <v>16</v>
      </c>
      <c r="F4">
        <f>'Viteza maxima'!B8</f>
        <v>6.2847599999999995</v>
      </c>
      <c r="I4" s="47"/>
      <c r="J4" s="47" t="s">
        <v>129</v>
      </c>
      <c r="K4" s="47"/>
      <c r="L4" s="47"/>
      <c r="M4" s="47"/>
    </row>
    <row r="5" spans="1:14" x14ac:dyDescent="0.25">
      <c r="A5" t="s">
        <v>47</v>
      </c>
      <c r="B5">
        <f>'Rapoarte de transmitere'!B20</f>
        <v>0.7</v>
      </c>
      <c r="I5" s="47"/>
      <c r="J5" s="47" t="s">
        <v>130</v>
      </c>
      <c r="K5" s="47"/>
      <c r="L5" s="47"/>
      <c r="M5" s="47"/>
    </row>
    <row r="6" spans="1:14" x14ac:dyDescent="0.25">
      <c r="A6" t="s">
        <v>94</v>
      </c>
      <c r="B6">
        <f>C2^2/(2*B3)*1/B5</f>
        <v>20.225555393751115</v>
      </c>
      <c r="D6" s="47" t="s">
        <v>132</v>
      </c>
      <c r="E6" s="47"/>
      <c r="F6" s="47"/>
      <c r="G6" s="47"/>
      <c r="H6" s="47"/>
      <c r="I6" s="47"/>
      <c r="J6" s="47"/>
      <c r="K6" s="47"/>
      <c r="L6" s="47"/>
      <c r="M6" s="47"/>
    </row>
    <row r="7" spans="1:14" x14ac:dyDescent="0.25">
      <c r="A7" t="s">
        <v>95</v>
      </c>
      <c r="D7" s="47"/>
      <c r="E7" s="47"/>
      <c r="F7" s="47"/>
      <c r="G7" s="47"/>
      <c r="H7" s="47"/>
    </row>
    <row r="8" spans="1:14" x14ac:dyDescent="0.25">
      <c r="A8" t="s">
        <v>96</v>
      </c>
      <c r="B8">
        <f>B3*(B4+B5)</f>
        <v>7.0435800000000004</v>
      </c>
      <c r="D8" s="47" t="s">
        <v>131</v>
      </c>
      <c r="E8" s="47"/>
      <c r="F8" s="47"/>
      <c r="G8" s="47"/>
      <c r="H8" s="47"/>
    </row>
    <row r="9" spans="1:14" x14ac:dyDescent="0.25">
      <c r="A9" t="s">
        <v>97</v>
      </c>
      <c r="D9" s="47"/>
      <c r="E9" s="47"/>
      <c r="F9" s="47"/>
      <c r="G9" s="47"/>
      <c r="H9" s="47"/>
    </row>
    <row r="10" spans="1:14" x14ac:dyDescent="0.25">
      <c r="A10" t="s">
        <v>98</v>
      </c>
      <c r="B10">
        <v>0.8</v>
      </c>
      <c r="D10" s="47" t="s">
        <v>133</v>
      </c>
      <c r="E10" s="47"/>
      <c r="F10" s="47"/>
      <c r="G10" s="47"/>
      <c r="H10" s="47"/>
    </row>
    <row r="11" spans="1:14" x14ac:dyDescent="0.25">
      <c r="A11" t="s">
        <v>99</v>
      </c>
      <c r="B11">
        <v>0.35</v>
      </c>
      <c r="D11" s="47" t="s">
        <v>134</v>
      </c>
      <c r="E11" s="47"/>
      <c r="F11" s="47"/>
      <c r="G11" s="47"/>
      <c r="H11" s="47"/>
    </row>
    <row r="12" spans="1:14" x14ac:dyDescent="0.25">
      <c r="A12" t="s">
        <v>100</v>
      </c>
      <c r="B12">
        <v>0.5</v>
      </c>
      <c r="D12" s="47" t="s">
        <v>135</v>
      </c>
      <c r="E12" s="47"/>
      <c r="F12" s="47"/>
      <c r="G12" s="47"/>
      <c r="H12" s="47"/>
    </row>
    <row r="13" spans="1:14" x14ac:dyDescent="0.25">
      <c r="A13" t="s">
        <v>101</v>
      </c>
      <c r="B13">
        <f>B6+C2*(B10+B11+B12)</f>
        <v>47.725555393751115</v>
      </c>
    </row>
    <row r="16" spans="1:14" x14ac:dyDescent="0.25">
      <c r="A16" t="s">
        <v>102</v>
      </c>
      <c r="B16">
        <v>0.7</v>
      </c>
      <c r="G16" t="s">
        <v>102</v>
      </c>
      <c r="H16">
        <v>0.5</v>
      </c>
      <c r="M16" t="s">
        <v>102</v>
      </c>
      <c r="N16">
        <v>0.3</v>
      </c>
    </row>
    <row r="17" spans="1:17" x14ac:dyDescent="0.25">
      <c r="A17" s="13" t="s">
        <v>103</v>
      </c>
      <c r="B17" s="13" t="s">
        <v>104</v>
      </c>
      <c r="C17" s="13" t="s">
        <v>105</v>
      </c>
      <c r="D17" s="13" t="s">
        <v>106</v>
      </c>
      <c r="E17" s="13" t="s">
        <v>107</v>
      </c>
      <c r="G17" s="13" t="s">
        <v>103</v>
      </c>
      <c r="H17" s="13" t="s">
        <v>104</v>
      </c>
      <c r="I17" s="13" t="s">
        <v>105</v>
      </c>
      <c r="J17" s="13" t="s">
        <v>106</v>
      </c>
      <c r="K17" s="13" t="s">
        <v>107</v>
      </c>
      <c r="M17" s="13" t="s">
        <v>103</v>
      </c>
      <c r="N17" s="13" t="s">
        <v>104</v>
      </c>
      <c r="O17" s="13" t="s">
        <v>105</v>
      </c>
      <c r="P17" s="13" t="s">
        <v>106</v>
      </c>
      <c r="Q17" s="13" t="s">
        <v>107</v>
      </c>
    </row>
    <row r="18" spans="1:17" x14ac:dyDescent="0.25">
      <c r="A18" s="13">
        <v>0</v>
      </c>
      <c r="B18" s="13">
        <f t="shared" ref="B18:B28" si="0">A18^2/(2*$B$3*$B$16)</f>
        <v>0</v>
      </c>
      <c r="C18" s="13">
        <f t="shared" ref="C18:C29" si="1">B18+A18*($B$10+$B$11+$B$12)</f>
        <v>0</v>
      </c>
      <c r="D18" s="13">
        <f t="shared" ref="D18:D29" si="2">$F$2/2/$B$3/$F$3/$F$4*LN(1+$F$3*$F$4*A18^2/$F$2/$B$16)</f>
        <v>0</v>
      </c>
      <c r="E18" s="13">
        <f t="shared" ref="E18:E29" si="3">$D18+$A18*($B$10+$B$11+$B$12)</f>
        <v>0</v>
      </c>
      <c r="G18" s="13">
        <v>0</v>
      </c>
      <c r="H18" s="13">
        <f t="shared" ref="H18:H29" si="4">G18^2/(2*$B$3*$H$16)</f>
        <v>0</v>
      </c>
      <c r="I18" s="13">
        <f t="shared" ref="I18:I29" si="5">H18+G18*($B$10+$B$11+$B$12)</f>
        <v>0</v>
      </c>
      <c r="J18" s="13">
        <f t="shared" ref="J18:J29" si="6">$F$2/2/$B$3/$F$3/$F$4*LN(1+$F$3*$F$4*G18^2/$F$2/$H$16)</f>
        <v>0</v>
      </c>
      <c r="K18" s="13">
        <f t="shared" ref="K18:K29" si="7">$J18+$G18*($B$10+$B$11+$B$12)</f>
        <v>0</v>
      </c>
      <c r="M18" s="13">
        <v>0</v>
      </c>
      <c r="N18" s="13">
        <f t="shared" ref="N18:N29" si="8">M18^2/(2*$B$3*$N$16)</f>
        <v>0</v>
      </c>
      <c r="O18" s="13">
        <f t="shared" ref="O18:O29" si="9">N18+M18*($B$10+$B$11+$B$12)</f>
        <v>0</v>
      </c>
      <c r="P18" s="13">
        <f t="shared" ref="P18:P29" si="10">$F$2/2/$B$3/$F$3/$F$4*LN(1+$F$3*$F$4*M18^2/$F$2/$N$16)</f>
        <v>0</v>
      </c>
      <c r="Q18" s="13">
        <f t="shared" ref="Q18:Q29" si="11">$P18+$M18*($B$10+$B$11+$B$12)</f>
        <v>0</v>
      </c>
    </row>
    <row r="19" spans="1:17" x14ac:dyDescent="0.25">
      <c r="A19" s="13">
        <v>5</v>
      </c>
      <c r="B19" s="13">
        <f t="shared" si="0"/>
        <v>1.8202999854376001</v>
      </c>
      <c r="C19" s="13">
        <f t="shared" si="1"/>
        <v>10.0702999854376</v>
      </c>
      <c r="D19" s="13">
        <f t="shared" si="2"/>
        <v>1.8159200846526797</v>
      </c>
      <c r="E19" s="13">
        <f t="shared" si="3"/>
        <v>10.06592008465268</v>
      </c>
      <c r="G19" s="13">
        <v>5</v>
      </c>
      <c r="H19" s="13">
        <f t="shared" si="4"/>
        <v>2.5484199796126399</v>
      </c>
      <c r="I19" s="13">
        <f t="shared" si="5"/>
        <v>10.798419979612639</v>
      </c>
      <c r="J19" s="13">
        <f t="shared" si="6"/>
        <v>2.5398463658123052</v>
      </c>
      <c r="K19" s="13">
        <f t="shared" si="7"/>
        <v>10.789846365812306</v>
      </c>
      <c r="M19" s="13">
        <v>5</v>
      </c>
      <c r="N19" s="13">
        <f t="shared" si="8"/>
        <v>4.2473666326877337</v>
      </c>
      <c r="O19" s="13">
        <f t="shared" si="9"/>
        <v>12.497366632687733</v>
      </c>
      <c r="P19" s="13">
        <f t="shared" si="10"/>
        <v>4.2236219408672548</v>
      </c>
      <c r="Q19" s="13">
        <f t="shared" si="11"/>
        <v>12.473621940867254</v>
      </c>
    </row>
    <row r="20" spans="1:17" x14ac:dyDescent="0.25">
      <c r="A20" s="13">
        <v>10</v>
      </c>
      <c r="B20" s="13">
        <f t="shared" si="0"/>
        <v>7.2811999417504003</v>
      </c>
      <c r="C20" s="13">
        <f t="shared" si="1"/>
        <v>23.781199941750401</v>
      </c>
      <c r="D20" s="13">
        <f t="shared" si="2"/>
        <v>7.2117882572590588</v>
      </c>
      <c r="E20" s="13">
        <f t="shared" si="3"/>
        <v>23.711788257259059</v>
      </c>
      <c r="G20" s="13">
        <v>10</v>
      </c>
      <c r="H20" s="13">
        <f t="shared" si="4"/>
        <v>10.19367991845056</v>
      </c>
      <c r="I20" s="13">
        <f t="shared" si="5"/>
        <v>26.69367991845056</v>
      </c>
      <c r="J20" s="13">
        <f t="shared" si="6"/>
        <v>10.058318620553713</v>
      </c>
      <c r="K20" s="13">
        <f t="shared" si="7"/>
        <v>26.558318620553713</v>
      </c>
      <c r="M20" s="13">
        <v>10</v>
      </c>
      <c r="N20" s="13">
        <f t="shared" si="8"/>
        <v>16.989466530750935</v>
      </c>
      <c r="O20" s="13">
        <f t="shared" si="9"/>
        <v>33.489466530750931</v>
      </c>
      <c r="P20" s="13">
        <f t="shared" si="10"/>
        <v>16.617824006838358</v>
      </c>
      <c r="Q20" s="13">
        <f t="shared" si="11"/>
        <v>33.117824006838362</v>
      </c>
    </row>
    <row r="21" spans="1:17" x14ac:dyDescent="0.25">
      <c r="A21" s="13">
        <v>15</v>
      </c>
      <c r="B21" s="13">
        <f t="shared" si="0"/>
        <v>16.382699868938403</v>
      </c>
      <c r="C21" s="13">
        <f t="shared" si="1"/>
        <v>41.132699868938403</v>
      </c>
      <c r="D21" s="13">
        <f t="shared" si="2"/>
        <v>16.036771432757714</v>
      </c>
      <c r="E21" s="13">
        <f t="shared" si="3"/>
        <v>40.786771432757718</v>
      </c>
      <c r="G21" s="13">
        <v>15</v>
      </c>
      <c r="H21" s="13">
        <f t="shared" si="4"/>
        <v>22.935779816513762</v>
      </c>
      <c r="I21" s="13">
        <f t="shared" si="5"/>
        <v>47.685779816513758</v>
      </c>
      <c r="J21" s="13">
        <f t="shared" si="6"/>
        <v>22.265248350414669</v>
      </c>
      <c r="K21" s="13">
        <f t="shared" si="7"/>
        <v>47.015248350414666</v>
      </c>
      <c r="M21" s="13">
        <v>15</v>
      </c>
      <c r="N21" s="13">
        <f t="shared" si="8"/>
        <v>38.226299694189599</v>
      </c>
      <c r="O21" s="13">
        <f t="shared" si="9"/>
        <v>62.976299694189599</v>
      </c>
      <c r="P21" s="13">
        <f t="shared" si="10"/>
        <v>36.410305670544773</v>
      </c>
      <c r="Q21" s="13">
        <f t="shared" si="11"/>
        <v>61.160305670544773</v>
      </c>
    </row>
    <row r="22" spans="1:17" x14ac:dyDescent="0.25">
      <c r="A22" s="13">
        <v>20</v>
      </c>
      <c r="B22" s="13">
        <f t="shared" si="0"/>
        <v>29.124799767001601</v>
      </c>
      <c r="C22" s="13">
        <f t="shared" si="1"/>
        <v>62.124799767001605</v>
      </c>
      <c r="D22" s="13">
        <f t="shared" si="2"/>
        <v>28.054702945497933</v>
      </c>
      <c r="E22" s="13">
        <f t="shared" si="3"/>
        <v>61.054702945497937</v>
      </c>
      <c r="G22" s="13">
        <v>20</v>
      </c>
      <c r="H22" s="13">
        <f t="shared" si="4"/>
        <v>40.774719673802238</v>
      </c>
      <c r="I22" s="13">
        <f t="shared" si="5"/>
        <v>73.774719673802238</v>
      </c>
      <c r="J22" s="13">
        <f t="shared" si="6"/>
        <v>38.717071005934301</v>
      </c>
      <c r="K22" s="13">
        <f t="shared" si="7"/>
        <v>71.717071005934301</v>
      </c>
      <c r="M22" s="13">
        <v>20</v>
      </c>
      <c r="N22" s="13">
        <f t="shared" si="8"/>
        <v>67.95786612300374</v>
      </c>
      <c r="O22" s="13">
        <f t="shared" si="9"/>
        <v>100.95786612300374</v>
      </c>
      <c r="P22" s="13">
        <f t="shared" si="10"/>
        <v>62.482496265264587</v>
      </c>
      <c r="Q22" s="13">
        <f t="shared" si="11"/>
        <v>95.482496265264587</v>
      </c>
    </row>
    <row r="23" spans="1:17" x14ac:dyDescent="0.25">
      <c r="A23" s="13">
        <v>22.22222</v>
      </c>
      <c r="B23" s="13">
        <f t="shared" si="0"/>
        <v>35.956535730915974</v>
      </c>
      <c r="C23" s="13">
        <f t="shared" si="1"/>
        <v>72.623198730915973</v>
      </c>
      <c r="D23" s="13">
        <f t="shared" si="2"/>
        <v>34.343822558589906</v>
      </c>
      <c r="E23" s="13">
        <f t="shared" si="3"/>
        <v>71.010485558589906</v>
      </c>
      <c r="G23" s="13">
        <v>22.22222</v>
      </c>
      <c r="H23" s="13">
        <f t="shared" si="4"/>
        <v>50.339150023282365</v>
      </c>
      <c r="I23" s="13">
        <f t="shared" si="5"/>
        <v>87.005813023282371</v>
      </c>
      <c r="J23" s="13">
        <f t="shared" si="6"/>
        <v>47.250817343713543</v>
      </c>
      <c r="K23" s="13">
        <f t="shared" si="7"/>
        <v>83.917480343713549</v>
      </c>
      <c r="M23" s="13">
        <v>22.22222</v>
      </c>
      <c r="N23" s="13">
        <f t="shared" si="8"/>
        <v>83.898583372137267</v>
      </c>
      <c r="O23" s="13">
        <f t="shared" si="9"/>
        <v>120.56524637213727</v>
      </c>
      <c r="P23" s="13">
        <f t="shared" si="10"/>
        <v>75.752587994368085</v>
      </c>
      <c r="Q23" s="13">
        <f t="shared" si="11"/>
        <v>112.41925099436808</v>
      </c>
    </row>
    <row r="24" spans="1:17" x14ac:dyDescent="0.25">
      <c r="A24" s="13">
        <v>25</v>
      </c>
      <c r="B24" s="13">
        <f t="shared" si="0"/>
        <v>45.50749963594</v>
      </c>
      <c r="C24" s="13">
        <f t="shared" si="1"/>
        <v>86.757499635940007</v>
      </c>
      <c r="D24" s="13">
        <f t="shared" si="2"/>
        <v>42.96397808316356</v>
      </c>
      <c r="E24" s="13">
        <f t="shared" si="3"/>
        <v>84.213978083163568</v>
      </c>
      <c r="G24" s="13">
        <v>25</v>
      </c>
      <c r="H24" s="13">
        <f t="shared" si="4"/>
        <v>63.710499490316003</v>
      </c>
      <c r="I24" s="13">
        <f t="shared" si="5"/>
        <v>104.96049949031601</v>
      </c>
      <c r="J24" s="13">
        <f t="shared" si="6"/>
        <v>58.86647048111724</v>
      </c>
      <c r="K24" s="13">
        <f t="shared" si="7"/>
        <v>100.11647048111723</v>
      </c>
      <c r="M24" s="13">
        <v>25</v>
      </c>
      <c r="N24" s="13">
        <f t="shared" si="8"/>
        <v>106.18416581719333</v>
      </c>
      <c r="O24" s="13">
        <f t="shared" si="9"/>
        <v>147.43416581719333</v>
      </c>
      <c r="P24" s="13">
        <f t="shared" si="10"/>
        <v>93.554927642206621</v>
      </c>
      <c r="Q24" s="13">
        <f t="shared" si="11"/>
        <v>134.80492764220662</v>
      </c>
    </row>
    <row r="25" spans="1:17" x14ac:dyDescent="0.25">
      <c r="A25" s="13">
        <v>30</v>
      </c>
      <c r="B25" s="13">
        <f t="shared" si="0"/>
        <v>65.530799475753611</v>
      </c>
      <c r="C25" s="13">
        <f t="shared" si="1"/>
        <v>115.03079947575361</v>
      </c>
      <c r="D25" s="13">
        <f t="shared" si="2"/>
        <v>60.420444147227627</v>
      </c>
      <c r="E25" s="13">
        <f t="shared" si="3"/>
        <v>109.92044414722763</v>
      </c>
      <c r="G25" s="13">
        <v>30</v>
      </c>
      <c r="H25" s="13">
        <f t="shared" si="4"/>
        <v>91.743119266055047</v>
      </c>
      <c r="I25" s="13">
        <f t="shared" si="5"/>
        <v>141.24311926605503</v>
      </c>
      <c r="J25" s="13">
        <f t="shared" si="6"/>
        <v>82.115321928838824</v>
      </c>
      <c r="K25" s="13">
        <f t="shared" si="7"/>
        <v>131.61532192883882</v>
      </c>
      <c r="M25" s="13">
        <v>30</v>
      </c>
      <c r="N25" s="13">
        <f t="shared" si="8"/>
        <v>152.9051987767584</v>
      </c>
      <c r="O25" s="13">
        <f t="shared" si="9"/>
        <v>202.4051987767584</v>
      </c>
      <c r="P25" s="13">
        <f t="shared" si="10"/>
        <v>128.35324863245415</v>
      </c>
      <c r="Q25" s="13">
        <f t="shared" si="11"/>
        <v>177.85324863245415</v>
      </c>
    </row>
    <row r="26" spans="1:17" x14ac:dyDescent="0.25">
      <c r="A26" s="13">
        <v>35</v>
      </c>
      <c r="B26" s="13">
        <f t="shared" si="0"/>
        <v>89.1946992864424</v>
      </c>
      <c r="C26" s="13">
        <f t="shared" si="1"/>
        <v>146.94469928644241</v>
      </c>
      <c r="D26" s="13">
        <f t="shared" si="2"/>
        <v>80.060040001760868</v>
      </c>
      <c r="E26" s="13">
        <f t="shared" si="3"/>
        <v>137.81004000176085</v>
      </c>
      <c r="G26" s="13">
        <v>35</v>
      </c>
      <c r="H26" s="13">
        <f t="shared" si="4"/>
        <v>124.87257900101936</v>
      </c>
      <c r="I26" s="13">
        <f t="shared" si="5"/>
        <v>182.62257900101935</v>
      </c>
      <c r="J26" s="13">
        <f t="shared" si="6"/>
        <v>107.86189567149694</v>
      </c>
      <c r="K26" s="13">
        <f t="shared" si="7"/>
        <v>165.61189567149694</v>
      </c>
      <c r="M26" s="13">
        <v>35</v>
      </c>
      <c r="N26" s="13">
        <f t="shared" si="8"/>
        <v>208.12096500169895</v>
      </c>
      <c r="O26" s="13">
        <f t="shared" si="9"/>
        <v>265.87096500169895</v>
      </c>
      <c r="P26" s="13">
        <f t="shared" si="10"/>
        <v>165.72320713211249</v>
      </c>
      <c r="Q26" s="13">
        <f t="shared" si="11"/>
        <v>223.47320713211249</v>
      </c>
    </row>
    <row r="27" spans="1:17" x14ac:dyDescent="0.25">
      <c r="A27" s="13">
        <v>40</v>
      </c>
      <c r="B27" s="13">
        <f t="shared" si="0"/>
        <v>116.4991990680064</v>
      </c>
      <c r="C27" s="13">
        <f t="shared" si="1"/>
        <v>182.49919906800642</v>
      </c>
      <c r="D27" s="13">
        <f t="shared" si="2"/>
        <v>101.51866535087936</v>
      </c>
      <c r="E27" s="13">
        <f t="shared" si="3"/>
        <v>167.51866535087936</v>
      </c>
      <c r="G27" s="13">
        <v>40</v>
      </c>
      <c r="H27" s="13">
        <f t="shared" si="4"/>
        <v>163.09887869520895</v>
      </c>
      <c r="I27" s="13">
        <f t="shared" si="5"/>
        <v>229.09887869520895</v>
      </c>
      <c r="J27" s="13">
        <f t="shared" si="6"/>
        <v>135.53691880204369</v>
      </c>
      <c r="K27" s="13">
        <f t="shared" si="7"/>
        <v>201.53691880204369</v>
      </c>
      <c r="M27" s="13">
        <v>40</v>
      </c>
      <c r="N27" s="13">
        <f t="shared" si="8"/>
        <v>271.83146449201496</v>
      </c>
      <c r="O27" s="13">
        <f t="shared" si="9"/>
        <v>337.83146449201496</v>
      </c>
      <c r="P27" s="13">
        <f t="shared" si="10"/>
        <v>204.68973940178171</v>
      </c>
      <c r="Q27" s="13">
        <f t="shared" si="11"/>
        <v>270.68973940178171</v>
      </c>
    </row>
    <row r="28" spans="1:17" x14ac:dyDescent="0.25">
      <c r="A28" s="13">
        <v>45</v>
      </c>
      <c r="B28" s="13">
        <f t="shared" si="0"/>
        <v>147.4442988204456</v>
      </c>
      <c r="C28" s="13">
        <f t="shared" si="1"/>
        <v>221.6942988204456</v>
      </c>
      <c r="D28" s="13">
        <f t="shared" si="2"/>
        <v>124.44780282467673</v>
      </c>
      <c r="E28" s="13">
        <f t="shared" si="3"/>
        <v>198.69780282467673</v>
      </c>
      <c r="G28" s="13">
        <v>45</v>
      </c>
      <c r="H28" s="13">
        <f t="shared" si="4"/>
        <v>206.42201834862385</v>
      </c>
      <c r="I28" s="13">
        <f t="shared" si="5"/>
        <v>280.67201834862385</v>
      </c>
      <c r="J28" s="13">
        <f t="shared" si="6"/>
        <v>164.62691491403456</v>
      </c>
      <c r="K28" s="13">
        <f t="shared" si="7"/>
        <v>238.87691491403456</v>
      </c>
      <c r="M28" s="13">
        <v>45</v>
      </c>
      <c r="N28" s="13">
        <f t="shared" si="8"/>
        <v>344.0366972477064</v>
      </c>
      <c r="O28" s="13">
        <f t="shared" si="9"/>
        <v>418.2866972477064</v>
      </c>
      <c r="P28" s="13">
        <f t="shared" si="10"/>
        <v>244.47193532944752</v>
      </c>
      <c r="Q28" s="13">
        <f t="shared" si="11"/>
        <v>318.72193532944755</v>
      </c>
    </row>
    <row r="29" spans="1:17" x14ac:dyDescent="0.25">
      <c r="A29" s="13">
        <v>47.14</v>
      </c>
      <c r="B29" s="13">
        <f>A29^2/(2*$B$3*$B$16)</f>
        <v>161.80133974078927</v>
      </c>
      <c r="C29" s="13">
        <f t="shared" si="1"/>
        <v>239.58233974078928</v>
      </c>
      <c r="D29" s="13">
        <f t="shared" si="2"/>
        <v>134.63008574768301</v>
      </c>
      <c r="E29" s="13">
        <f t="shared" si="3"/>
        <v>212.41108574768299</v>
      </c>
      <c r="G29" s="13">
        <v>47.14</v>
      </c>
      <c r="H29" s="13">
        <f t="shared" si="4"/>
        <v>226.52187563710498</v>
      </c>
      <c r="I29" s="13">
        <f t="shared" si="5"/>
        <v>304.30287563710499</v>
      </c>
      <c r="J29" s="13">
        <f t="shared" si="6"/>
        <v>177.39705977293571</v>
      </c>
      <c r="K29" s="13">
        <f t="shared" si="7"/>
        <v>255.17805977293568</v>
      </c>
      <c r="M29" s="13">
        <v>47.14</v>
      </c>
      <c r="N29" s="13">
        <f t="shared" si="8"/>
        <v>377.53645939517497</v>
      </c>
      <c r="O29" s="13">
        <f t="shared" si="9"/>
        <v>455.31745939517498</v>
      </c>
      <c r="P29" s="13">
        <f t="shared" si="10"/>
        <v>261.59391604236652</v>
      </c>
      <c r="Q29" s="13">
        <f t="shared" si="11"/>
        <v>339.37491604236652</v>
      </c>
    </row>
  </sheetData>
  <mergeCells count="1">
    <mergeCell ref="I3:M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Caracteristica externa</vt:lpstr>
      <vt:lpstr>Viteza maxima</vt:lpstr>
      <vt:lpstr>razele rotilor</vt:lpstr>
      <vt:lpstr>Rapoarte de transmitere</vt:lpstr>
      <vt:lpstr>Diagrama de viteze</vt:lpstr>
      <vt:lpstr>Performante</vt:lpstr>
      <vt:lpstr>Capacitatea de franare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2024-12-04T15:50:16Z</dcterms:modified>
  <cp:category/>
  <cp:contentStatus/>
</cp:coreProperties>
</file>