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g Daddy B\OneDrive\GitHub\Mediavest_Scraper_bot\"/>
    </mc:Choice>
  </mc:AlternateContent>
  <bookViews>
    <workbookView xWindow="0" yWindow="0" windowWidth="17895" windowHeight="80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12" i="1" l="1"/>
  <c r="J112" i="1"/>
  <c r="I112" i="1"/>
  <c r="K111" i="1"/>
  <c r="J111" i="1"/>
  <c r="I111" i="1"/>
  <c r="I109" i="1"/>
  <c r="I108" i="1"/>
  <c r="M108" i="1" s="1"/>
  <c r="B108" i="1"/>
  <c r="B115" i="1" s="1"/>
  <c r="B129" i="1" s="1"/>
  <c r="M103" i="1"/>
  <c r="L103" i="1"/>
  <c r="L108" i="1" s="1"/>
  <c r="K103" i="1"/>
  <c r="J103" i="1"/>
  <c r="I103" i="1"/>
  <c r="M102" i="1"/>
  <c r="M112" i="1" s="1"/>
  <c r="L102" i="1"/>
  <c r="L112" i="1" s="1"/>
  <c r="E86" i="1"/>
  <c r="D86" i="1"/>
  <c r="C84" i="1"/>
  <c r="B84" i="1"/>
  <c r="B51" i="1" s="1"/>
  <c r="C79" i="1"/>
  <c r="B79" i="1"/>
  <c r="D71" i="1"/>
  <c r="E70" i="1"/>
  <c r="P68" i="1"/>
  <c r="E67" i="1"/>
  <c r="D67" i="1"/>
  <c r="E66" i="1"/>
  <c r="D66" i="1"/>
  <c r="C61" i="1"/>
  <c r="B61" i="1"/>
  <c r="P61" i="1" s="1"/>
  <c r="B59" i="1"/>
  <c r="D70" i="1" s="1"/>
  <c r="E61" i="1" s="1"/>
  <c r="D52" i="1"/>
  <c r="B52" i="1"/>
  <c r="F52" i="1" s="1"/>
  <c r="B50" i="1"/>
  <c r="S45" i="1"/>
  <c r="L45" i="1"/>
  <c r="E45" i="1"/>
  <c r="E52" i="1" s="1"/>
  <c r="E32" i="1"/>
  <c r="B32" i="1"/>
  <c r="J22" i="1"/>
  <c r="H22" i="1"/>
  <c r="F22" i="1"/>
  <c r="J21" i="1"/>
  <c r="H21" i="1"/>
  <c r="F21" i="1"/>
  <c r="C9" i="1"/>
  <c r="P59" i="1" l="1"/>
  <c r="P47" i="1"/>
  <c r="P50" i="1"/>
  <c r="B130" i="1"/>
  <c r="B131" i="1" s="1"/>
  <c r="B135" i="1" s="1"/>
  <c r="B20" i="1" s="1"/>
  <c r="B21" i="1" s="1"/>
  <c r="D51" i="1"/>
  <c r="C51" i="1"/>
  <c r="F51" i="1"/>
  <c r="E51" i="1"/>
  <c r="D41" i="1"/>
  <c r="P66" i="1" s="1"/>
  <c r="E59" i="1"/>
  <c r="B41" i="1"/>
  <c r="J108" i="1"/>
  <c r="B54" i="1"/>
  <c r="B53" i="1"/>
  <c r="C52" i="1"/>
  <c r="K108" i="1"/>
  <c r="L111" i="1"/>
  <c r="I106" i="1"/>
  <c r="E60" i="1"/>
  <c r="E62" i="1" s="1"/>
  <c r="M111" i="1"/>
  <c r="B47" i="1"/>
  <c r="F50" i="1"/>
  <c r="I61" i="1"/>
  <c r="C50" i="1"/>
  <c r="D50" i="1"/>
  <c r="E50" i="1"/>
  <c r="P67" i="1" l="1"/>
  <c r="P52" i="1"/>
  <c r="I50" i="1"/>
  <c r="C8" i="1"/>
  <c r="I59" i="1"/>
  <c r="I47" i="1"/>
  <c r="F53" i="1"/>
  <c r="F54" i="1"/>
  <c r="D47" i="1"/>
  <c r="B48" i="1"/>
  <c r="C47" i="1"/>
  <c r="B49" i="1"/>
  <c r="E47" i="1"/>
  <c r="F47" i="1"/>
  <c r="C53" i="1"/>
  <c r="C54" i="1"/>
  <c r="L106" i="1"/>
  <c r="K106" i="1"/>
  <c r="J106" i="1"/>
  <c r="M106" i="1"/>
  <c r="I110" i="1"/>
  <c r="I113" i="1" s="1"/>
  <c r="I107" i="1"/>
  <c r="C41" i="1"/>
  <c r="I66" i="1" s="1"/>
  <c r="P53" i="1"/>
  <c r="Q50" i="1"/>
  <c r="P54" i="1"/>
  <c r="T50" i="1"/>
  <c r="S50" i="1"/>
  <c r="R50" i="1"/>
  <c r="S47" i="1"/>
  <c r="T47" i="1"/>
  <c r="P49" i="1"/>
  <c r="R47" i="1"/>
  <c r="Q47" i="1"/>
  <c r="P48" i="1"/>
  <c r="P70" i="1"/>
  <c r="P84" i="1" s="1"/>
  <c r="P51" i="1" s="1"/>
  <c r="P62" i="1"/>
  <c r="D53" i="1"/>
  <c r="D54" i="1"/>
  <c r="E53" i="1"/>
  <c r="E54" i="1"/>
  <c r="I52" i="1" l="1"/>
  <c r="I67" i="1"/>
  <c r="P79" i="1"/>
  <c r="P71" i="1"/>
  <c r="K47" i="1"/>
  <c r="L47" i="1"/>
  <c r="M47" i="1"/>
  <c r="J47" i="1"/>
  <c r="I48" i="1"/>
  <c r="I49" i="1"/>
  <c r="T48" i="1"/>
  <c r="S48" i="1"/>
  <c r="Q48" i="1"/>
  <c r="R48" i="1"/>
  <c r="R51" i="1"/>
  <c r="R54" i="1" s="1"/>
  <c r="T51" i="1"/>
  <c r="T54" i="1" s="1"/>
  <c r="Q51" i="1"/>
  <c r="Q54" i="1" s="1"/>
  <c r="S51" i="1"/>
  <c r="S54" i="1" s="1"/>
  <c r="F49" i="1"/>
  <c r="E49" i="1"/>
  <c r="D49" i="1"/>
  <c r="C49" i="1"/>
  <c r="K107" i="1"/>
  <c r="J107" i="1"/>
  <c r="L107" i="1"/>
  <c r="M107" i="1"/>
  <c r="I70" i="1"/>
  <c r="I62" i="1"/>
  <c r="J59" i="1"/>
  <c r="E48" i="1"/>
  <c r="C48" i="1"/>
  <c r="D48" i="1"/>
  <c r="F48" i="1"/>
  <c r="B11" i="1"/>
  <c r="C11" i="1" s="1"/>
  <c r="B13" i="1"/>
  <c r="C13" i="1" s="1"/>
  <c r="B12" i="1"/>
  <c r="C12" i="1" s="1"/>
  <c r="I53" i="1"/>
  <c r="K50" i="1"/>
  <c r="C7" i="1"/>
  <c r="J50" i="1"/>
  <c r="M50" i="1"/>
  <c r="L50" i="1"/>
  <c r="R52" i="1"/>
  <c r="R53" i="1" s="1"/>
  <c r="Q52" i="1"/>
  <c r="Q53" i="1" s="1"/>
  <c r="T52" i="1"/>
  <c r="T53" i="1" s="1"/>
  <c r="S52" i="1"/>
  <c r="S53" i="1" s="1"/>
  <c r="T49" i="1"/>
  <c r="S49" i="1"/>
  <c r="Q49" i="1"/>
  <c r="R49" i="1"/>
  <c r="J49" i="1" l="1"/>
  <c r="L49" i="1"/>
  <c r="M49" i="1"/>
  <c r="K49" i="1"/>
  <c r="I79" i="1"/>
  <c r="I71" i="1"/>
  <c r="K48" i="1"/>
  <c r="J48" i="1"/>
  <c r="M48" i="1"/>
  <c r="L48" i="1"/>
  <c r="D30" i="1"/>
  <c r="P85" i="1"/>
  <c r="D31" i="1"/>
  <c r="L109" i="1"/>
  <c r="L110" i="1" s="1"/>
  <c r="L113" i="1" s="1"/>
  <c r="K109" i="1"/>
  <c r="K110" i="1" s="1"/>
  <c r="K113" i="1" s="1"/>
  <c r="J109" i="1"/>
  <c r="J110" i="1" s="1"/>
  <c r="J113" i="1" s="1"/>
  <c r="I84" i="1"/>
  <c r="I51" i="1" s="1"/>
  <c r="M109" i="1"/>
  <c r="M110" i="1" s="1"/>
  <c r="M113" i="1" s="1"/>
  <c r="K52" i="1"/>
  <c r="K53" i="1" s="1"/>
  <c r="J52" i="1"/>
  <c r="J53" i="1" s="1"/>
  <c r="L52" i="1"/>
  <c r="L53" i="1" s="1"/>
  <c r="M52" i="1"/>
  <c r="M53" i="1" s="1"/>
  <c r="D32" i="1" l="1"/>
  <c r="P86" i="1"/>
  <c r="P87" i="1" s="1"/>
  <c r="P91" i="1" s="1"/>
  <c r="L115" i="1"/>
  <c r="L116" i="1" s="1"/>
  <c r="L114" i="1"/>
  <c r="C30" i="1"/>
  <c r="B22" i="1" s="1"/>
  <c r="I85" i="1"/>
  <c r="C31" i="1"/>
  <c r="B23" i="1" s="1"/>
  <c r="M115" i="1"/>
  <c r="M116" i="1" s="1"/>
  <c r="M114" i="1"/>
  <c r="J51" i="1"/>
  <c r="J54" i="1" s="1"/>
  <c r="K51" i="1"/>
  <c r="K54" i="1" s="1"/>
  <c r="M51" i="1"/>
  <c r="M54" i="1" s="1"/>
  <c r="L51" i="1"/>
  <c r="L54" i="1" s="1"/>
  <c r="I54" i="1"/>
  <c r="I86" i="1" l="1"/>
  <c r="I87" i="1"/>
  <c r="I91" i="1" s="1"/>
  <c r="C6" i="1" s="1"/>
  <c r="C32" i="1"/>
  <c r="B24" i="1" s="1"/>
</calcChain>
</file>

<file path=xl/sharedStrings.xml><?xml version="1.0" encoding="utf-8"?>
<sst xmlns="http://schemas.openxmlformats.org/spreadsheetml/2006/main" count="301" uniqueCount="137">
  <si>
    <t># Kostnader</t>
  </si>
  <si>
    <t># AWS</t>
  </si>
  <si>
    <t>Ukjent pr dags dato</t>
  </si>
  <si>
    <t># __________________ Vekst i Mediavest AS som skyldes ProSpector __________________</t>
  </si>
  <si>
    <t>vekst års-res</t>
  </si>
  <si>
    <t>vekst i produktivitet</t>
  </si>
  <si>
    <t>est verdi av prospector 1</t>
  </si>
  <si>
    <t>Målt i ant ansatte, basert på est innt økning delt på innt pr ansatt i dag</t>
  </si>
  <si>
    <t>est verdi av prospector 2</t>
  </si>
  <si>
    <t>Målt i ant ansatte, basert på ant ansatte ganger est ringetid %</t>
  </si>
  <si>
    <t>(avhengig om admin er inkl i ant ansatte eller ikke)</t>
  </si>
  <si>
    <t>gjsn verdi i kr</t>
  </si>
  <si>
    <t>Basert på innt uten før mva pr ansatt</t>
  </si>
  <si>
    <t>Basert på tot kostnad pr ansatt</t>
  </si>
  <si>
    <t>Basert på gjsn lønn pr ansatt</t>
  </si>
  <si>
    <t>Pris som tilbys</t>
  </si>
  <si>
    <r>
      <rPr>
        <b/>
        <sz val="10"/>
        <color theme="1"/>
        <rFont val="Consolas"/>
        <family val="3"/>
      </rPr>
      <t>Engangsbeløp</t>
    </r>
    <r>
      <rPr>
        <sz val="10"/>
        <color theme="1"/>
        <rFont val="Consolas"/>
        <family val="3"/>
      </rPr>
      <t xml:space="preserve"> i første periode</t>
    </r>
  </si>
  <si>
    <r>
      <rPr>
        <sz val="10"/>
        <color theme="1"/>
        <rFont val="Consolas"/>
        <family val="3"/>
      </rPr>
      <t xml:space="preserve">Gjsn lønn 1 ansatt, </t>
    </r>
    <r>
      <rPr>
        <b/>
        <sz val="10"/>
        <color theme="1"/>
        <rFont val="Consolas"/>
        <family val="3"/>
      </rPr>
      <t>pr mnd</t>
    </r>
  </si>
  <si>
    <t>19.43% - 27.65%</t>
  </si>
  <si>
    <t>mindre enn nasjonalt gjsn-lønn</t>
  </si>
  <si>
    <t>endring i resultatet etter tilbud:</t>
  </si>
  <si>
    <t>endring</t>
  </si>
  <si>
    <t>gjsn lønn</t>
  </si>
  <si>
    <t>pr mnd</t>
  </si>
  <si>
    <t>pr anno</t>
  </si>
  <si>
    <t>mitt tilbud</t>
  </si>
  <si>
    <t>% diff fra gjsn</t>
  </si>
  <si>
    <t>alt tilbud</t>
  </si>
  <si>
    <t xml:space="preserve">vekst i kr </t>
  </si>
  <si>
    <t>alle sekt. menn</t>
  </si>
  <si>
    <t>vekst i Totalrentabilitet i %</t>
  </si>
  <si>
    <t>priv. sekt. alder</t>
  </si>
  <si>
    <t>Vekst i resultat av driften i %</t>
  </si>
  <si>
    <t>vekst i EK rentabilitet f.s i %</t>
  </si>
  <si>
    <t>est tid prospecting</t>
  </si>
  <si>
    <t>est tid ringing</t>
  </si>
  <si>
    <t># __________________ Mediavest AS _________________________________________</t>
  </si>
  <si>
    <t>pr dags dato</t>
  </si>
  <si>
    <t>variant 1</t>
  </si>
  <si>
    <t>variant 2</t>
  </si>
  <si>
    <t>aga</t>
  </si>
  <si>
    <t>alt aga. (fp)</t>
  </si>
  <si>
    <t>Totalrentabilitet i %</t>
  </si>
  <si>
    <t>aga. inkl (fp)</t>
  </si>
  <si>
    <t>(aga + aga av fp)</t>
  </si>
  <si>
    <t>Resultat av driften i %</t>
  </si>
  <si>
    <t>fp</t>
  </si>
  <si>
    <t>Egenkapitalens rentabilitet før skatt i %</t>
  </si>
  <si>
    <t>gjsn ek</t>
  </si>
  <si>
    <t>aga &amp; fp</t>
  </si>
  <si>
    <t>Likviditetsgrad</t>
  </si>
  <si>
    <t>skatt</t>
  </si>
  <si>
    <t>Egenkapitalandel i %</t>
  </si>
  <si>
    <t>mva</t>
  </si>
  <si>
    <t>Gjeldsgrad</t>
  </si>
  <si>
    <t>ansatte</t>
  </si>
  <si>
    <t>admin</t>
  </si>
  <si>
    <t>est. ringe_suksessrate</t>
  </si>
  <si>
    <t>est provisjon</t>
  </si>
  <si>
    <t>Verdivurdering av arbeid pr dags dato (50% ytelse)</t>
  </si>
  <si>
    <t>Verdivurdering av arbeid ved 100% ytelse (samme antall ansatte)</t>
  </si>
  <si>
    <t>Verdivurdering av arbeid ved 100% ytelse (økt ant ansatte)</t>
  </si>
  <si>
    <t>pr år</t>
  </si>
  <si>
    <t>pr arb. mnd</t>
  </si>
  <si>
    <t>pr arb. dag</t>
  </si>
  <si>
    <t>pr arb. time</t>
  </si>
  <si>
    <t>pr 5 år</t>
  </si>
  <si>
    <t>frekvens variabel</t>
  </si>
  <si>
    <t>gjsn_prod_pris</t>
  </si>
  <si>
    <t xml:space="preserve">ant_kontrakter </t>
  </si>
  <si>
    <t>kontrakter_pr_ansatt</t>
  </si>
  <si>
    <t>est_ant_ringt</t>
  </si>
  <si>
    <t>innt_pr_ansatt</t>
  </si>
  <si>
    <t>kost_pr_ansatt</t>
  </si>
  <si>
    <t>lønn_pr_ansatt</t>
  </si>
  <si>
    <t>arb_res_pr_ansatt</t>
  </si>
  <si>
    <t>simpel_res_pr_ansatt</t>
  </si>
  <si>
    <t>Årsresultat</t>
  </si>
  <si>
    <t>utregninger</t>
  </si>
  <si>
    <t>Periode</t>
  </si>
  <si>
    <t># 2021</t>
  </si>
  <si>
    <t># 2020</t>
  </si>
  <si>
    <t>Sum salgsinntekter</t>
  </si>
  <si>
    <t>Annen driftsinntekt</t>
  </si>
  <si>
    <t>salgs innt u/mva</t>
  </si>
  <si>
    <t>Sum driftsinntekter</t>
  </si>
  <si>
    <t>manglende kost</t>
  </si>
  <si>
    <t>Varekostnad</t>
  </si>
  <si>
    <t>Beholdningsendringer</t>
  </si>
  <si>
    <t>Lønnskostnader</t>
  </si>
  <si>
    <t>Herav kun lønn</t>
  </si>
  <si>
    <t>Ordinære avskrivninger</t>
  </si>
  <si>
    <t>Nedskrivning</t>
  </si>
  <si>
    <t>Andre driftskostnader</t>
  </si>
  <si>
    <t>Driftsresultat</t>
  </si>
  <si>
    <t>Inntekt på invest. annet foretak i sm konsern</t>
  </si>
  <si>
    <t>Inntekt på investering i datterselskap</t>
  </si>
  <si>
    <t>Sum annen renteinntekt</t>
  </si>
  <si>
    <t>Inntekt på invest. i tilknyttet selskap</t>
  </si>
  <si>
    <t>Sum annen finansinntekt</t>
  </si>
  <si>
    <t>Sum finansinntekter</t>
  </si>
  <si>
    <t>-</t>
  </si>
  <si>
    <t>Nedskrivning fin. anleggsmidler</t>
  </si>
  <si>
    <t>total sum inntekter</t>
  </si>
  <si>
    <t>Sum annen rentekostnad</t>
  </si>
  <si>
    <t>Andre finanskostnader</t>
  </si>
  <si>
    <t>Sum annen finanskostnad</t>
  </si>
  <si>
    <t>Sum finanskostnader</t>
  </si>
  <si>
    <t>total sum kostnader</t>
  </si>
  <si>
    <t>Resultat før skatt</t>
  </si>
  <si>
    <t>Sum skatt</t>
  </si>
  <si>
    <t>Ordinært resultat</t>
  </si>
  <si>
    <t>Ekstraordinære inntekter</t>
  </si>
  <si>
    <t>Ekstraordinære kostnader</t>
  </si>
  <si>
    <t>Skatt ekstraordinært</t>
  </si>
  <si>
    <t>Ordinært utbytte</t>
  </si>
  <si>
    <t>Ekstraordinært utbytte</t>
  </si>
  <si>
    <t>Tilleggsutbytte</t>
  </si>
  <si>
    <t>Sum utbytte</t>
  </si>
  <si>
    <t>Konsernbidrag</t>
  </si>
  <si>
    <t>Årsresultat (ENDRING)</t>
  </si>
  <si>
    <t>Regnskaps-Kalkyle</t>
  </si>
  <si>
    <t>per anno</t>
  </si>
  <si>
    <t>pr arb.mnd</t>
  </si>
  <si>
    <t>pr ansatt</t>
  </si>
  <si>
    <t>frekrvens</t>
  </si>
  <si>
    <t>ant ansatte</t>
  </si>
  <si>
    <t>est ant kontrakter</t>
  </si>
  <si>
    <t>gjsn. salgs pris</t>
  </si>
  <si>
    <t>ProSpector abbonoment</t>
  </si>
  <si>
    <t>salgs innt</t>
  </si>
  <si>
    <t>kost eksl. lønn</t>
  </si>
  <si>
    <t>innt - kost, eksl. mva &amp; skatt</t>
  </si>
  <si>
    <t>utbytte</t>
  </si>
  <si>
    <t>ebitda</t>
  </si>
  <si>
    <t>innt - kost - utbytte, eksl. mva &amp; skatt</t>
  </si>
  <si>
    <t>Lønnsbudsjett etter alle finansielle obligasjoner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</si>
</sst>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0.00"/>
    <numFmt numFmtId="165" formatCode="###\ ###\ ###\ ##0"/>
    <numFmt numFmtId="166" formatCode="###\ ###\ ###\ ##0.0"/>
    <numFmt numFmtId="167" formatCode="#,##0.00[$ kr]"/>
    <numFmt numFmtId="168" formatCode="###\ ###\ ###\ ##0.000"/>
    <numFmt numFmtId="169" formatCode="###\ ###\ ###\ ##0.00000"/>
  </numFmts>
  <fonts count="36" x14ac:knownFonts="1">
    <font>
      <sz val="10"/>
      <color rgb="FF000000"/>
      <name val="Arial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7E3794"/>
      <name val="Consolas"/>
      <family val="3"/>
    </font>
    <font>
      <b/>
      <sz val="10"/>
      <color theme="1"/>
      <name val="Consolas"/>
      <family val="3"/>
    </font>
    <font>
      <sz val="10"/>
      <color theme="1"/>
      <name val="Arial"/>
      <family val="2"/>
      <scheme val="minor"/>
    </font>
    <font>
      <b/>
      <sz val="11"/>
      <color theme="1"/>
      <name val="Consolas"/>
      <family val="3"/>
    </font>
    <font>
      <sz val="10"/>
      <name val="Arial"/>
      <family val="2"/>
    </font>
    <font>
      <sz val="11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1"/>
      <color rgb="FF666666"/>
      <name val="Consolas"/>
      <family val="3"/>
    </font>
    <font>
      <i/>
      <sz val="11"/>
      <color rgb="FF666666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Consolas"/>
      <family val="3"/>
    </font>
    <font>
      <i/>
      <sz val="10"/>
      <color rgb="FF666666"/>
      <name val="Arial"/>
      <family val="2"/>
      <scheme val="minor"/>
    </font>
    <font>
      <i/>
      <sz val="10"/>
      <color rgb="FF666666"/>
      <name val="Consolas"/>
      <family val="3"/>
    </font>
    <font>
      <b/>
      <i/>
      <sz val="10"/>
      <color theme="1"/>
      <name val="Consolas"/>
      <family val="3"/>
    </font>
    <font>
      <b/>
      <i/>
      <sz val="10"/>
      <color rgb="FF666666"/>
      <name val="Consolas"/>
      <family val="3"/>
    </font>
    <font>
      <b/>
      <i/>
      <sz val="10"/>
      <color theme="1"/>
      <name val="Arial"/>
      <family val="2"/>
      <scheme val="minor"/>
    </font>
    <font>
      <b/>
      <i/>
      <sz val="10"/>
      <color rgb="FF666666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666666"/>
      <name val="Consolas"/>
      <family val="3"/>
    </font>
    <font>
      <sz val="10"/>
      <color rgb="FF666666"/>
      <name val="Arial"/>
      <family val="2"/>
      <scheme val="minor"/>
    </font>
    <font>
      <sz val="10"/>
      <color rgb="FF6A9955"/>
      <name val="Consolas"/>
      <family val="3"/>
    </font>
    <font>
      <i/>
      <sz val="10"/>
      <color rgb="FFEA4335"/>
      <name val="Consolas"/>
      <family val="3"/>
    </font>
    <font>
      <sz val="10"/>
      <color rgb="FFEA4335"/>
      <name val="Consolas"/>
      <family val="3"/>
    </font>
    <font>
      <sz val="10"/>
      <color theme="5"/>
      <name val="Consolas"/>
      <family val="3"/>
    </font>
    <font>
      <b/>
      <i/>
      <sz val="11"/>
      <color theme="1"/>
      <name val="Consolas"/>
      <family val="3"/>
    </font>
    <font>
      <b/>
      <i/>
      <sz val="11"/>
      <color rgb="FF666666"/>
      <name val="Consolas"/>
      <family val="3"/>
    </font>
    <font>
      <i/>
      <sz val="11"/>
      <color theme="1"/>
      <name val="Consolas"/>
      <family val="3"/>
    </font>
    <font>
      <sz val="11"/>
      <color rgb="FF666666"/>
      <name val="Consolas"/>
      <family val="3"/>
    </font>
    <font>
      <sz val="11"/>
      <color rgb="FF0B5394"/>
      <name val="Consolas"/>
      <family val="3"/>
    </font>
    <font>
      <sz val="11"/>
      <color rgb="FF999999"/>
      <name val="Consolas"/>
      <family val="3"/>
    </font>
    <font>
      <sz val="11"/>
      <color rgb="FF000000"/>
      <name val="Consolas"/>
      <family val="3"/>
    </font>
    <font>
      <b/>
      <i/>
      <sz val="10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10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0" fontId="3" fillId="0" borderId="0" xfId="0" applyNumberFormat="1" applyFont="1" applyAlignment="1"/>
    <xf numFmtId="165" fontId="3" fillId="0" borderId="0" xfId="0" applyNumberFormat="1" applyFont="1" applyAlignment="1"/>
    <xf numFmtId="164" fontId="3" fillId="0" borderId="0" xfId="0" applyNumberFormat="1" applyFont="1" applyAlignment="1"/>
    <xf numFmtId="166" fontId="3" fillId="0" borderId="0" xfId="0" applyNumberFormat="1" applyFont="1" applyAlignment="1"/>
    <xf numFmtId="0" fontId="5" fillId="2" borderId="0" xfId="0" applyFont="1" applyFill="1" applyAlignment="1"/>
    <xf numFmtId="0" fontId="6" fillId="2" borderId="0" xfId="0" applyFont="1" applyFill="1"/>
    <xf numFmtId="164" fontId="3" fillId="2" borderId="0" xfId="0" applyNumberFormat="1" applyFont="1" applyFill="1"/>
    <xf numFmtId="164" fontId="3" fillId="3" borderId="0" xfId="0" applyNumberFormat="1" applyFont="1" applyFill="1" applyAlignment="1">
      <alignment horizontal="right"/>
    </xf>
    <xf numFmtId="167" fontId="3" fillId="3" borderId="0" xfId="0" applyNumberFormat="1" applyFont="1" applyFill="1" applyAlignment="1"/>
    <xf numFmtId="0" fontId="6" fillId="3" borderId="0" xfId="0" applyFont="1" applyFill="1"/>
    <xf numFmtId="164" fontId="3" fillId="3" borderId="0" xfId="0" applyNumberFormat="1" applyFont="1" applyFill="1"/>
    <xf numFmtId="9" fontId="3" fillId="0" borderId="0" xfId="0" applyNumberFormat="1" applyFont="1" applyAlignment="1"/>
    <xf numFmtId="10" fontId="6" fillId="0" borderId="0" xfId="0" applyNumberFormat="1" applyFont="1"/>
    <xf numFmtId="167" fontId="3" fillId="3" borderId="0" xfId="0" applyNumberFormat="1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/>
    <xf numFmtId="10" fontId="1" fillId="5" borderId="0" xfId="0" applyNumberFormat="1" applyFont="1" applyFill="1"/>
    <xf numFmtId="0" fontId="3" fillId="0" borderId="4" xfId="0" applyFont="1" applyBorder="1"/>
    <xf numFmtId="164" fontId="3" fillId="2" borderId="0" xfId="0" applyNumberFormat="1" applyFont="1" applyFill="1" applyAlignment="1"/>
    <xf numFmtId="0" fontId="3" fillId="2" borderId="0" xfId="0" applyFont="1" applyFill="1" applyAlignment="1"/>
    <xf numFmtId="164" fontId="3" fillId="6" borderId="0" xfId="0" applyNumberFormat="1" applyFont="1" applyFill="1" applyAlignment="1"/>
    <xf numFmtId="0" fontId="3" fillId="6" borderId="5" xfId="0" applyFont="1" applyFill="1" applyBorder="1" applyAlignment="1"/>
    <xf numFmtId="167" fontId="1" fillId="5" borderId="0" xfId="0" applyNumberFormat="1" applyFont="1" applyFill="1"/>
    <xf numFmtId="0" fontId="3" fillId="0" borderId="4" xfId="0" applyFont="1" applyBorder="1" applyAlignment="1">
      <alignment horizontal="right"/>
    </xf>
    <xf numFmtId="164" fontId="3" fillId="3" borderId="0" xfId="0" applyNumberFormat="1" applyFont="1" applyFill="1" applyAlignment="1"/>
    <xf numFmtId="10" fontId="3" fillId="3" borderId="0" xfId="0" applyNumberFormat="1" applyFont="1" applyFill="1"/>
    <xf numFmtId="164" fontId="3" fillId="7" borderId="0" xfId="0" applyNumberFormat="1" applyFont="1" applyFill="1" applyAlignment="1">
      <alignment horizontal="right"/>
    </xf>
    <xf numFmtId="10" fontId="9" fillId="7" borderId="5" xfId="0" applyNumberFormat="1" applyFont="1" applyFill="1" applyBorder="1"/>
    <xf numFmtId="164" fontId="3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/>
    <xf numFmtId="164" fontId="3" fillId="0" borderId="7" xfId="0" applyNumberFormat="1" applyFont="1" applyBorder="1"/>
    <xf numFmtId="164" fontId="3" fillId="3" borderId="7" xfId="0" applyNumberFormat="1" applyFont="1" applyFill="1" applyBorder="1" applyAlignment="1"/>
    <xf numFmtId="10" fontId="3" fillId="3" borderId="7" xfId="0" applyNumberFormat="1" applyFont="1" applyFill="1" applyBorder="1"/>
    <xf numFmtId="164" fontId="3" fillId="7" borderId="7" xfId="0" applyNumberFormat="1" applyFont="1" applyFill="1" applyBorder="1" applyAlignment="1">
      <alignment horizontal="right"/>
    </xf>
    <xf numFmtId="10" fontId="9" fillId="7" borderId="8" xfId="0" applyNumberFormat="1" applyFont="1" applyFill="1" applyBorder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0" fontId="9" fillId="0" borderId="0" xfId="0" applyNumberFormat="1" applyFont="1"/>
    <xf numFmtId="9" fontId="1" fillId="5" borderId="0" xfId="0" applyNumberFormat="1" applyFont="1" applyFill="1" applyAlignment="1"/>
    <xf numFmtId="0" fontId="10" fillId="0" borderId="0" xfId="0" applyFont="1" applyAlignment="1"/>
    <xf numFmtId="0" fontId="11" fillId="0" borderId="1" xfId="0" applyFont="1" applyBorder="1" applyAlignment="1"/>
    <xf numFmtId="10" fontId="11" fillId="0" borderId="3" xfId="0" applyNumberFormat="1" applyFont="1" applyBorder="1" applyAlignment="1"/>
    <xf numFmtId="10" fontId="6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166" fontId="2" fillId="0" borderId="0" xfId="0" applyNumberFormat="1" applyFont="1" applyAlignment="1"/>
    <xf numFmtId="0" fontId="12" fillId="0" borderId="4" xfId="0" applyFont="1" applyBorder="1" applyAlignment="1"/>
    <xf numFmtId="10" fontId="12" fillId="0" borderId="5" xfId="0" applyNumberFormat="1" applyFont="1" applyBorder="1"/>
    <xf numFmtId="10" fontId="1" fillId="0" borderId="0" xfId="0" applyNumberFormat="1" applyFont="1" applyAlignment="1"/>
    <xf numFmtId="0" fontId="9" fillId="0" borderId="0" xfId="0" applyFont="1" applyAlignment="1"/>
    <xf numFmtId="0" fontId="11" fillId="0" borderId="4" xfId="0" applyFont="1" applyBorder="1" applyAlignment="1"/>
    <xf numFmtId="10" fontId="12" fillId="0" borderId="5" xfId="0" applyNumberFormat="1" applyFont="1" applyBorder="1" applyAlignment="1"/>
    <xf numFmtId="10" fontId="4" fillId="0" borderId="0" xfId="0" applyNumberFormat="1" applyFont="1"/>
    <xf numFmtId="166" fontId="13" fillId="0" borderId="0" xfId="0" applyNumberFormat="1" applyFont="1" applyAlignment="1"/>
    <xf numFmtId="0" fontId="6" fillId="0" borderId="0" xfId="0" applyFont="1" applyAlignment="1"/>
    <xf numFmtId="0" fontId="1" fillId="0" borderId="4" xfId="0" applyFont="1" applyBorder="1" applyAlignment="1"/>
    <xf numFmtId="10" fontId="1" fillId="0" borderId="5" xfId="0" applyNumberFormat="1" applyFont="1" applyBorder="1"/>
    <xf numFmtId="0" fontId="1" fillId="0" borderId="6" xfId="0" applyFont="1" applyBorder="1" applyAlignment="1"/>
    <xf numFmtId="10" fontId="1" fillId="0" borderId="8" xfId="0" applyNumberFormat="1" applyFont="1" applyBorder="1" applyAlignment="1"/>
    <xf numFmtId="9" fontId="2" fillId="0" borderId="0" xfId="0" applyNumberFormat="1" applyFont="1" applyAlignment="1"/>
    <xf numFmtId="168" fontId="2" fillId="0" borderId="0" xfId="0" applyNumberFormat="1" applyFont="1"/>
    <xf numFmtId="0" fontId="2" fillId="0" borderId="9" xfId="0" applyFont="1" applyBorder="1" applyAlignment="1"/>
    <xf numFmtId="0" fontId="14" fillId="0" borderId="9" xfId="0" applyFont="1" applyBorder="1" applyAlignment="1"/>
    <xf numFmtId="164" fontId="14" fillId="0" borderId="9" xfId="0" applyNumberFormat="1" applyFont="1" applyBorder="1" applyAlignment="1"/>
    <xf numFmtId="0" fontId="6" fillId="0" borderId="9" xfId="0" applyFont="1" applyBorder="1" applyAlignment="1"/>
    <xf numFmtId="0" fontId="12" fillId="0" borderId="2" xfId="0" applyFont="1" applyBorder="1" applyAlignment="1"/>
    <xf numFmtId="0" fontId="15" fillId="0" borderId="2" xfId="0" applyFont="1" applyBorder="1" applyAlignment="1"/>
    <xf numFmtId="0" fontId="11" fillId="0" borderId="10" xfId="0" applyFont="1" applyBorder="1" applyAlignment="1"/>
    <xf numFmtId="164" fontId="16" fillId="0" borderId="10" xfId="0" applyNumberFormat="1" applyFont="1" applyBorder="1" applyAlignment="1"/>
    <xf numFmtId="0" fontId="1" fillId="0" borderId="2" xfId="0" applyFont="1" applyBorder="1" applyAlignment="1"/>
    <xf numFmtId="164" fontId="2" fillId="0" borderId="2" xfId="0" applyNumberFormat="1" applyFont="1" applyBorder="1"/>
    <xf numFmtId="0" fontId="2" fillId="0" borderId="11" xfId="0" applyFont="1" applyBorder="1"/>
    <xf numFmtId="164" fontId="2" fillId="0" borderId="11" xfId="0" applyNumberFormat="1" applyFont="1" applyBorder="1"/>
    <xf numFmtId="0" fontId="19" fillId="0" borderId="0" xfId="0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64" fontId="22" fillId="0" borderId="0" xfId="0" applyNumberFormat="1" applyFont="1"/>
    <xf numFmtId="164" fontId="3" fillId="0" borderId="0" xfId="0" applyNumberFormat="1" applyFont="1" applyAlignment="1"/>
    <xf numFmtId="164" fontId="23" fillId="0" borderId="0" xfId="0" applyNumberFormat="1" applyFont="1" applyAlignment="1"/>
    <xf numFmtId="164" fontId="1" fillId="0" borderId="0" xfId="0" applyNumberFormat="1" applyFont="1"/>
    <xf numFmtId="169" fontId="3" fillId="0" borderId="0" xfId="0" applyNumberFormat="1" applyFont="1" applyAlignment="1"/>
    <xf numFmtId="164" fontId="24" fillId="0" borderId="0" xfId="0" applyNumberFormat="1" applyFont="1" applyAlignment="1"/>
    <xf numFmtId="164" fontId="25" fillId="0" borderId="0" xfId="0" applyNumberFormat="1" applyFont="1" applyAlignment="1"/>
    <xf numFmtId="164" fontId="26" fillId="0" borderId="0" xfId="0" applyNumberFormat="1" applyFont="1" applyAlignment="1"/>
    <xf numFmtId="164" fontId="27" fillId="0" borderId="0" xfId="0" applyNumberFormat="1" applyFont="1" applyAlignment="1"/>
    <xf numFmtId="164" fontId="22" fillId="0" borderId="0" xfId="0" applyNumberFormat="1" applyFont="1" applyAlignment="1"/>
    <xf numFmtId="164" fontId="1" fillId="0" borderId="0" xfId="0" applyNumberFormat="1" applyFont="1" applyAlignment="1"/>
    <xf numFmtId="164" fontId="27" fillId="0" borderId="0" xfId="0" applyNumberFormat="1" applyFont="1"/>
    <xf numFmtId="10" fontId="23" fillId="0" borderId="0" xfId="0" applyNumberFormat="1" applyFont="1"/>
    <xf numFmtId="0" fontId="9" fillId="0" borderId="0" xfId="0" applyFont="1"/>
    <xf numFmtId="164" fontId="3" fillId="9" borderId="0" xfId="0" applyNumberFormat="1" applyFont="1" applyFill="1" applyAlignment="1"/>
    <xf numFmtId="164" fontId="5" fillId="9" borderId="0" xfId="0" applyNumberFormat="1" applyFont="1" applyFill="1" applyAlignment="1"/>
    <xf numFmtId="164" fontId="5" fillId="0" borderId="0" xfId="0" applyNumberFormat="1" applyFont="1" applyAlignment="1"/>
    <xf numFmtId="10" fontId="23" fillId="0" borderId="0" xfId="0" applyNumberFormat="1" applyFont="1" applyAlignment="1"/>
    <xf numFmtId="164" fontId="6" fillId="0" borderId="0" xfId="0" applyNumberFormat="1" applyFont="1"/>
    <xf numFmtId="0" fontId="28" fillId="0" borderId="0" xfId="0" applyFont="1" applyAlignment="1">
      <alignment horizontal="right"/>
    </xf>
    <xf numFmtId="0" fontId="28" fillId="0" borderId="0" xfId="0" applyFont="1" applyAlignment="1"/>
    <xf numFmtId="0" fontId="29" fillId="0" borderId="0" xfId="0" applyFont="1" applyAlignment="1">
      <alignment horizontal="right"/>
    </xf>
    <xf numFmtId="0" fontId="30" fillId="0" borderId="0" xfId="0" applyFont="1" applyAlignment="1"/>
    <xf numFmtId="164" fontId="30" fillId="0" borderId="0" xfId="0" applyNumberFormat="1" applyFont="1" applyAlignment="1"/>
    <xf numFmtId="164" fontId="31" fillId="0" borderId="0" xfId="0" applyNumberFormat="1" applyFont="1"/>
    <xf numFmtId="0" fontId="32" fillId="0" borderId="0" xfId="0" applyFont="1" applyAlignment="1">
      <alignment horizontal="right"/>
    </xf>
    <xf numFmtId="0" fontId="32" fillId="0" borderId="0" xfId="0" applyFont="1" applyAlignment="1"/>
    <xf numFmtId="165" fontId="32" fillId="0" borderId="0" xfId="0" applyNumberFormat="1" applyFont="1" applyAlignment="1"/>
    <xf numFmtId="164" fontId="32" fillId="0" borderId="0" xfId="0" applyNumberFormat="1" applyFont="1" applyAlignment="1">
      <alignment horizontal="right"/>
    </xf>
    <xf numFmtId="165" fontId="32" fillId="0" borderId="0" xfId="0" applyNumberFormat="1" applyFont="1"/>
    <xf numFmtId="164" fontId="31" fillId="0" borderId="0" xfId="0" applyNumberFormat="1" applyFont="1" applyAlignment="1"/>
    <xf numFmtId="164" fontId="3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33" fillId="0" borderId="0" xfId="0" applyNumberFormat="1" applyFont="1" applyAlignment="1"/>
    <xf numFmtId="0" fontId="33" fillId="0" borderId="0" xfId="0" applyFont="1" applyAlignment="1">
      <alignment horizontal="right"/>
    </xf>
    <xf numFmtId="164" fontId="33" fillId="0" borderId="0" xfId="0" applyNumberFormat="1" applyFont="1" applyAlignment="1">
      <alignment horizontal="right"/>
    </xf>
    <xf numFmtId="164" fontId="34" fillId="0" borderId="0" xfId="0" applyNumberFormat="1" applyFont="1" applyAlignment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164" fontId="1" fillId="0" borderId="2" xfId="0" applyNumberFormat="1" applyFont="1" applyBorder="1"/>
    <xf numFmtId="10" fontId="31" fillId="0" borderId="0" xfId="0" applyNumberFormat="1" applyFont="1"/>
    <xf numFmtId="0" fontId="1" fillId="0" borderId="2" xfId="0" applyFont="1" applyBorder="1" applyAlignment="1">
      <alignment horizontal="right"/>
    </xf>
    <xf numFmtId="164" fontId="34" fillId="0" borderId="2" xfId="0" applyNumberFormat="1" applyFont="1" applyBorder="1" applyAlignment="1"/>
    <xf numFmtId="0" fontId="1" fillId="0" borderId="0" xfId="0" applyFont="1" applyAlignment="1">
      <alignment horizontal="right"/>
    </xf>
    <xf numFmtId="164" fontId="35" fillId="0" borderId="0" xfId="0" applyNumberFormat="1" applyFont="1" applyAlignment="1"/>
    <xf numFmtId="164" fontId="17" fillId="0" borderId="0" xfId="0" applyNumberFormat="1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40"/>
  <sheetViews>
    <sheetView tabSelected="1" workbookViewId="0">
      <selection activeCell="F6" sqref="F6"/>
    </sheetView>
  </sheetViews>
  <sheetFormatPr defaultColWidth="12.5703125" defaultRowHeight="15.75" customHeight="1" x14ac:dyDescent="0.2"/>
  <cols>
    <col min="1" max="1" width="36.28515625" customWidth="1"/>
    <col min="2" max="2" width="14.42578125" customWidth="1"/>
    <col min="3" max="3" width="15.28515625" customWidth="1"/>
    <col min="4" max="4" width="16.42578125" customWidth="1"/>
    <col min="5" max="5" width="10.85546875" customWidth="1"/>
    <col min="6" max="6" width="12.140625" customWidth="1"/>
    <col min="7" max="7" width="11.140625" customWidth="1"/>
    <col min="8" max="8" width="16.42578125" customWidth="1"/>
    <col min="9" max="9" width="11.85546875" customWidth="1"/>
    <col min="10" max="11" width="15" customWidth="1"/>
    <col min="12" max="12" width="14.42578125" customWidth="1"/>
    <col min="14" max="14" width="5.140625" customWidth="1"/>
    <col min="15" max="15" width="18" customWidth="1"/>
  </cols>
  <sheetData>
    <row r="1" spans="1:9" ht="15.75" customHeight="1" x14ac:dyDescent="0.25">
      <c r="A1" s="1" t="s">
        <v>0</v>
      </c>
      <c r="B1" s="2"/>
      <c r="C1" s="2"/>
      <c r="D1" s="2"/>
      <c r="E1" s="2"/>
      <c r="F1" s="2"/>
      <c r="G1" s="3"/>
    </row>
    <row r="2" spans="1:9" ht="15.75" customHeight="1" x14ac:dyDescent="0.25">
      <c r="A2" s="1" t="s">
        <v>1</v>
      </c>
      <c r="B2" s="4" t="s">
        <v>2</v>
      </c>
      <c r="C2" s="2"/>
      <c r="D2" s="2"/>
      <c r="E2" s="2"/>
      <c r="F2" s="2"/>
      <c r="G2" s="3"/>
    </row>
    <row r="3" spans="1:9" ht="15.75" customHeight="1" x14ac:dyDescent="0.25">
      <c r="A3" s="1"/>
      <c r="B3" s="4"/>
      <c r="C3" s="2"/>
      <c r="D3" s="2"/>
      <c r="E3" s="2"/>
      <c r="F3" s="2"/>
      <c r="G3" s="3"/>
    </row>
    <row r="4" spans="1:9" ht="15.75" customHeight="1" x14ac:dyDescent="0.25">
      <c r="A4" s="5"/>
      <c r="B4" s="2"/>
      <c r="C4" s="2"/>
      <c r="D4" s="2"/>
      <c r="E4" s="2"/>
      <c r="F4" s="2"/>
      <c r="G4" s="3"/>
    </row>
    <row r="5" spans="1:9" ht="15.75" customHeight="1" x14ac:dyDescent="0.25">
      <c r="A5" s="1" t="s">
        <v>3</v>
      </c>
      <c r="B5" s="6"/>
      <c r="C5" s="4"/>
      <c r="D5" s="4"/>
      <c r="E5" s="2"/>
      <c r="F5" s="2"/>
      <c r="G5" s="3"/>
    </row>
    <row r="6" spans="1:9" x14ac:dyDescent="0.2">
      <c r="A6" s="7" t="s">
        <v>4</v>
      </c>
      <c r="B6" s="8"/>
      <c r="C6" s="9">
        <f>(I91-B91)/B91</f>
        <v>1.2909788654060066</v>
      </c>
      <c r="D6" s="10"/>
      <c r="E6" s="11"/>
      <c r="F6" s="11"/>
      <c r="G6" s="8"/>
    </row>
    <row r="7" spans="1:9" x14ac:dyDescent="0.2">
      <c r="A7" s="7" t="s">
        <v>5</v>
      </c>
      <c r="B7" s="8"/>
      <c r="C7" s="12">
        <f>(I50-B50)/B50</f>
        <v>1</v>
      </c>
      <c r="D7" s="11"/>
      <c r="E7" s="11"/>
      <c r="F7" s="11"/>
      <c r="G7" s="8"/>
    </row>
    <row r="8" spans="1:9" x14ac:dyDescent="0.2">
      <c r="A8" s="7" t="s">
        <v>6</v>
      </c>
      <c r="B8" s="7">
        <v>12</v>
      </c>
      <c r="C8" s="13">
        <f>I61/B50*0.5</f>
        <v>15</v>
      </c>
      <c r="D8" s="14" t="s">
        <v>7</v>
      </c>
      <c r="E8" s="11"/>
      <c r="F8" s="11"/>
      <c r="G8" s="8"/>
    </row>
    <row r="9" spans="1:9" x14ac:dyDescent="0.2">
      <c r="A9" s="7" t="s">
        <v>8</v>
      </c>
      <c r="B9" s="7">
        <v>6</v>
      </c>
      <c r="C9" s="15">
        <f>B36*0.5</f>
        <v>7.5</v>
      </c>
      <c r="D9" s="14" t="s">
        <v>9</v>
      </c>
      <c r="E9" s="11"/>
      <c r="F9" s="11"/>
      <c r="G9" s="8"/>
    </row>
    <row r="10" spans="1:9" x14ac:dyDescent="0.2">
      <c r="A10" s="8"/>
      <c r="B10" s="8"/>
      <c r="C10" s="8"/>
      <c r="D10" s="7" t="s">
        <v>10</v>
      </c>
      <c r="E10" s="11"/>
      <c r="F10" s="11"/>
      <c r="G10" s="8"/>
    </row>
    <row r="11" spans="1:9" x14ac:dyDescent="0.2">
      <c r="A11" s="7" t="s">
        <v>11</v>
      </c>
      <c r="B11" s="8">
        <f>(B8+C8+B9+C9)/4</f>
        <v>10.125</v>
      </c>
      <c r="C11" s="11">
        <f t="shared" ref="C11:C13" si="0">B50*B11</f>
        <v>8247600</v>
      </c>
      <c r="D11" s="7" t="s">
        <v>12</v>
      </c>
      <c r="E11" s="11"/>
      <c r="F11" s="11"/>
      <c r="G11" s="8"/>
    </row>
    <row r="12" spans="1:9" x14ac:dyDescent="0.2">
      <c r="A12" s="7" t="s">
        <v>11</v>
      </c>
      <c r="B12" s="8">
        <f>(B8+C8+B9+C9)/4</f>
        <v>10.125</v>
      </c>
      <c r="C12" s="11">
        <f t="shared" si="0"/>
        <v>5386500</v>
      </c>
      <c r="D12" s="7" t="s">
        <v>13</v>
      </c>
      <c r="E12" s="11"/>
      <c r="F12" s="11"/>
      <c r="G12" s="8"/>
    </row>
    <row r="13" spans="1:9" x14ac:dyDescent="0.2">
      <c r="A13" s="7" t="s">
        <v>11</v>
      </c>
      <c r="B13" s="8">
        <f>(B8+C8+B9+C9)/4</f>
        <v>10.125</v>
      </c>
      <c r="C13" s="11">
        <f t="shared" si="0"/>
        <v>3934575</v>
      </c>
      <c r="D13" s="7" t="s">
        <v>14</v>
      </c>
      <c r="E13" s="11"/>
      <c r="F13" s="11"/>
      <c r="G13" s="8"/>
    </row>
    <row r="14" spans="1:9" x14ac:dyDescent="0.2">
      <c r="A14" s="7"/>
      <c r="D14" s="11"/>
      <c r="E14" s="11"/>
      <c r="F14" s="11"/>
      <c r="G14" s="8"/>
    </row>
    <row r="15" spans="1:9" x14ac:dyDescent="0.2">
      <c r="A15" s="16" t="s">
        <v>15</v>
      </c>
      <c r="B15" s="17"/>
      <c r="C15" s="17"/>
      <c r="D15" s="17"/>
      <c r="E15" s="18"/>
      <c r="F15" s="11"/>
      <c r="G15" s="7"/>
    </row>
    <row r="16" spans="1:9" x14ac:dyDescent="0.2">
      <c r="A16" s="19" t="s">
        <v>16</v>
      </c>
      <c r="B16" s="20">
        <v>38000</v>
      </c>
      <c r="C16" s="21"/>
      <c r="D16" s="21"/>
      <c r="E16" s="22"/>
      <c r="F16" s="11"/>
      <c r="G16" s="23"/>
      <c r="H16" s="24"/>
      <c r="I16" s="24"/>
    </row>
    <row r="17" spans="1:11" x14ac:dyDescent="0.2">
      <c r="A17" s="19" t="s">
        <v>17</v>
      </c>
      <c r="B17" s="25">
        <v>38860</v>
      </c>
      <c r="C17" s="26" t="s">
        <v>18</v>
      </c>
      <c r="D17" s="27" t="s">
        <v>19</v>
      </c>
      <c r="E17" s="22"/>
      <c r="F17" s="11"/>
      <c r="G17" s="8"/>
    </row>
    <row r="18" spans="1:11" x14ac:dyDescent="0.2">
      <c r="B18" s="11"/>
      <c r="C18" s="11"/>
      <c r="D18" s="11"/>
      <c r="E18" s="11"/>
      <c r="F18" s="11"/>
      <c r="G18" s="8"/>
      <c r="H18" s="24"/>
    </row>
    <row r="19" spans="1:11" ht="15.75" customHeight="1" x14ac:dyDescent="0.25">
      <c r="A19" s="28" t="s">
        <v>20</v>
      </c>
      <c r="B19" s="29" t="s">
        <v>21</v>
      </c>
      <c r="D19" s="144" t="s">
        <v>22</v>
      </c>
      <c r="E19" s="145"/>
      <c r="F19" s="145"/>
      <c r="G19" s="145"/>
      <c r="H19" s="145"/>
      <c r="I19" s="145"/>
      <c r="J19" s="146"/>
    </row>
    <row r="20" spans="1:11" ht="15.75" customHeight="1" x14ac:dyDescent="0.25">
      <c r="A20" s="30" t="s">
        <v>4</v>
      </c>
      <c r="B20" s="31">
        <f>(B135-B91)/B91</f>
        <v>0.90194660734149057</v>
      </c>
      <c r="D20" s="32"/>
      <c r="E20" s="7" t="s">
        <v>23</v>
      </c>
      <c r="F20" s="14" t="s">
        <v>24</v>
      </c>
      <c r="G20" s="33" t="s">
        <v>25</v>
      </c>
      <c r="H20" s="34" t="s">
        <v>26</v>
      </c>
      <c r="I20" s="35" t="s">
        <v>27</v>
      </c>
      <c r="J20" s="36" t="s">
        <v>26</v>
      </c>
    </row>
    <row r="21" spans="1:11" ht="15.75" customHeight="1" x14ac:dyDescent="0.25">
      <c r="A21" s="30" t="s">
        <v>28</v>
      </c>
      <c r="B21" s="37">
        <f>B20*B91</f>
        <v>810850</v>
      </c>
      <c r="D21" s="38" t="s">
        <v>29</v>
      </c>
      <c r="E21" s="14">
        <v>53710</v>
      </c>
      <c r="F21" s="11">
        <f t="shared" ref="F21:F22" si="1">E21*12</f>
        <v>644520</v>
      </c>
      <c r="G21" s="39">
        <v>38860</v>
      </c>
      <c r="H21" s="40">
        <f t="shared" ref="H21:H22" si="2">-(E21-G21)/E21</f>
        <v>-0.27648482591696144</v>
      </c>
      <c r="I21" s="41">
        <v>34926.592592592584</v>
      </c>
      <c r="J21" s="42">
        <f t="shared" ref="J21:J22" si="3">-(E21-I21)/E21</f>
        <v>-0.34971899846224941</v>
      </c>
    </row>
    <row r="22" spans="1:11" ht="15.75" customHeight="1" x14ac:dyDescent="0.25">
      <c r="A22" s="30" t="s">
        <v>30</v>
      </c>
      <c r="B22" s="31">
        <f t="shared" ref="B22:B24" si="4">C30-B30</f>
        <v>0.62778002018163481</v>
      </c>
      <c r="D22" s="43" t="s">
        <v>31</v>
      </c>
      <c r="E22" s="44">
        <v>48230</v>
      </c>
      <c r="F22" s="45">
        <f t="shared" si="1"/>
        <v>578760</v>
      </c>
      <c r="G22" s="46">
        <v>38860</v>
      </c>
      <c r="H22" s="47">
        <f t="shared" si="2"/>
        <v>-0.19427742069251502</v>
      </c>
      <c r="I22" s="48">
        <v>34926.592592592584</v>
      </c>
      <c r="J22" s="49">
        <f t="shared" si="3"/>
        <v>-0.2758326230024345</v>
      </c>
    </row>
    <row r="23" spans="1:11" ht="15.75" customHeight="1" x14ac:dyDescent="0.25">
      <c r="A23" s="30" t="s">
        <v>32</v>
      </c>
      <c r="B23" s="31">
        <f t="shared" si="4"/>
        <v>1.774159755565255E-2</v>
      </c>
      <c r="D23" s="50"/>
    </row>
    <row r="24" spans="1:11" ht="15.75" customHeight="1" x14ac:dyDescent="0.25">
      <c r="A24" s="30" t="s">
        <v>33</v>
      </c>
      <c r="B24" s="31">
        <f t="shared" si="4"/>
        <v>4.632250372578242</v>
      </c>
      <c r="D24" s="14"/>
      <c r="E24" s="14"/>
      <c r="F24" s="11"/>
      <c r="G24" s="14"/>
      <c r="H24" s="9"/>
      <c r="I24" s="51"/>
      <c r="J24" s="52"/>
    </row>
    <row r="25" spans="1:11" ht="15" x14ac:dyDescent="0.25">
      <c r="A25" s="30" t="s">
        <v>34</v>
      </c>
      <c r="B25" s="53">
        <v>-0.5</v>
      </c>
      <c r="D25" s="14"/>
      <c r="E25" s="14"/>
      <c r="F25" s="11"/>
      <c r="G25" s="14"/>
      <c r="H25" s="9"/>
      <c r="I25" s="51"/>
      <c r="J25" s="52"/>
    </row>
    <row r="26" spans="1:11" ht="15" x14ac:dyDescent="0.25">
      <c r="A26" s="30" t="s">
        <v>35</v>
      </c>
      <c r="B26" s="53">
        <v>1</v>
      </c>
      <c r="D26" s="14"/>
      <c r="E26" s="51"/>
      <c r="F26" s="11"/>
      <c r="G26" s="14"/>
      <c r="H26" s="9"/>
      <c r="I26" s="51"/>
      <c r="J26" s="52"/>
    </row>
    <row r="27" spans="1:11" ht="15" x14ac:dyDescent="0.25">
      <c r="A27" s="1"/>
      <c r="B27" s="2"/>
      <c r="C27" s="2"/>
      <c r="D27" s="11"/>
      <c r="E27" s="11"/>
      <c r="F27" s="11"/>
      <c r="G27" s="8"/>
      <c r="H27" s="8"/>
      <c r="I27" s="8"/>
      <c r="J27" s="8"/>
    </row>
    <row r="28" spans="1:11" ht="15" x14ac:dyDescent="0.25">
      <c r="A28" s="1" t="s">
        <v>36</v>
      </c>
      <c r="B28" s="2"/>
      <c r="C28" s="2"/>
      <c r="D28" s="2"/>
      <c r="H28" s="2"/>
      <c r="I28" s="2"/>
      <c r="J28" s="3"/>
    </row>
    <row r="29" spans="1:11" ht="15" x14ac:dyDescent="0.25">
      <c r="B29" s="54" t="s">
        <v>37</v>
      </c>
      <c r="C29" s="54" t="s">
        <v>38</v>
      </c>
      <c r="D29" s="54" t="s">
        <v>39</v>
      </c>
      <c r="E29" s="54"/>
      <c r="H29" s="55" t="s">
        <v>40</v>
      </c>
      <c r="I29" s="56">
        <v>0.14099999999999999</v>
      </c>
      <c r="J29" s="57" t="s">
        <v>41</v>
      </c>
    </row>
    <row r="30" spans="1:11" ht="15" x14ac:dyDescent="0.25">
      <c r="A30" s="58" t="s">
        <v>42</v>
      </c>
      <c r="B30" s="59">
        <v>0.498</v>
      </c>
      <c r="C30" s="59">
        <f>(I71+I77)/ 2477500</f>
        <v>1.1257800201816348</v>
      </c>
      <c r="D30" s="59">
        <f>(P71+P77)/ 2477500</f>
        <v>2.549489404641776</v>
      </c>
      <c r="E30" s="60"/>
      <c r="H30" s="61" t="s">
        <v>43</v>
      </c>
      <c r="I30" s="62">
        <v>0.15538199999999999</v>
      </c>
      <c r="J30" s="63">
        <v>9.9500000000000005E-2</v>
      </c>
      <c r="K30" s="64" t="s">
        <v>44</v>
      </c>
    </row>
    <row r="31" spans="1:11" ht="15" x14ac:dyDescent="0.25">
      <c r="A31" s="1" t="s">
        <v>45</v>
      </c>
      <c r="B31" s="59">
        <v>0.13400000000000001</v>
      </c>
      <c r="C31" s="59">
        <f>I71/I62</f>
        <v>0.15174159755565256</v>
      </c>
      <c r="D31" s="59">
        <f>P71/P62</f>
        <v>0.17209624618070712</v>
      </c>
      <c r="H31" s="65" t="s">
        <v>46</v>
      </c>
      <c r="I31" s="66">
        <v>0.10199999999999999</v>
      </c>
      <c r="J31" s="24"/>
    </row>
    <row r="32" spans="1:11" ht="15" x14ac:dyDescent="0.25">
      <c r="A32" s="1" t="s">
        <v>47</v>
      </c>
      <c r="B32" s="67">
        <f>B85/E32</f>
        <v>3.5529061102831596</v>
      </c>
      <c r="C32" s="59">
        <f>I85/E32</f>
        <v>8.1851564828614016</v>
      </c>
      <c r="D32" s="59">
        <f>P85/E32</f>
        <v>18.698539493293591</v>
      </c>
      <c r="E32" s="68">
        <f>(285000+386000)/2</f>
        <v>335500</v>
      </c>
      <c r="F32" s="69" t="s">
        <v>48</v>
      </c>
      <c r="H32" s="70" t="s">
        <v>49</v>
      </c>
      <c r="I32" s="71">
        <v>0.16589466460799451</v>
      </c>
      <c r="J32" s="52"/>
    </row>
    <row r="33" spans="1:20" ht="15" x14ac:dyDescent="0.25">
      <c r="A33" s="1" t="s">
        <v>50</v>
      </c>
      <c r="B33" s="60">
        <v>1.1000000000000001</v>
      </c>
      <c r="C33" s="60">
        <v>1.1000000000000001</v>
      </c>
      <c r="D33" s="60">
        <v>1.1000000000000001</v>
      </c>
      <c r="E33" s="60"/>
      <c r="H33" s="70" t="s">
        <v>51</v>
      </c>
      <c r="I33" s="71">
        <v>0.24580536912751677</v>
      </c>
      <c r="J33" s="52"/>
    </row>
    <row r="34" spans="1:20" ht="15" x14ac:dyDescent="0.25">
      <c r="A34" s="1" t="s">
        <v>52</v>
      </c>
      <c r="B34" s="60">
        <v>7.3</v>
      </c>
      <c r="C34" s="60">
        <v>7.3</v>
      </c>
      <c r="D34" s="60">
        <v>7.3</v>
      </c>
      <c r="E34" s="60"/>
      <c r="H34" s="72" t="s">
        <v>53</v>
      </c>
      <c r="I34" s="73">
        <v>0.25</v>
      </c>
      <c r="J34" s="52"/>
    </row>
    <row r="35" spans="1:20" ht="15" x14ac:dyDescent="0.25">
      <c r="A35" s="1" t="s">
        <v>54</v>
      </c>
      <c r="B35" s="60">
        <v>12.7</v>
      </c>
      <c r="C35" s="60">
        <v>12.7</v>
      </c>
      <c r="D35" s="60">
        <v>12.7</v>
      </c>
      <c r="E35" s="60"/>
      <c r="F35" s="2"/>
      <c r="G35" s="3"/>
    </row>
    <row r="36" spans="1:20" ht="15" x14ac:dyDescent="0.25">
      <c r="A36" s="1" t="s">
        <v>55</v>
      </c>
      <c r="B36" s="6">
        <v>15</v>
      </c>
      <c r="C36" s="6">
        <v>15</v>
      </c>
      <c r="D36" s="6">
        <v>30</v>
      </c>
      <c r="E36" s="6"/>
      <c r="F36" s="2"/>
      <c r="G36" s="3"/>
    </row>
    <row r="37" spans="1:20" ht="15" x14ac:dyDescent="0.25">
      <c r="A37" s="1" t="s">
        <v>56</v>
      </c>
      <c r="B37" s="6">
        <v>3</v>
      </c>
      <c r="C37" s="6">
        <v>3</v>
      </c>
      <c r="D37" s="6">
        <v>3</v>
      </c>
      <c r="E37" s="6"/>
      <c r="F37" s="2"/>
      <c r="G37" s="3"/>
    </row>
    <row r="38" spans="1:20" ht="15" x14ac:dyDescent="0.25">
      <c r="A38" s="1" t="s">
        <v>57</v>
      </c>
      <c r="B38" s="74">
        <v>0.1</v>
      </c>
      <c r="C38" s="74">
        <v>0.1</v>
      </c>
      <c r="D38" s="74">
        <v>0.1</v>
      </c>
      <c r="E38" s="74"/>
      <c r="F38" s="2"/>
      <c r="G38" s="3"/>
    </row>
    <row r="39" spans="1:20" ht="15" x14ac:dyDescent="0.25">
      <c r="A39" s="1" t="s">
        <v>34</v>
      </c>
      <c r="B39" s="23">
        <v>0.5</v>
      </c>
      <c r="C39" s="23">
        <v>0</v>
      </c>
      <c r="D39" s="23">
        <v>0</v>
      </c>
      <c r="E39" s="23"/>
      <c r="F39" s="2"/>
      <c r="G39" s="3"/>
    </row>
    <row r="40" spans="1:20" ht="15" x14ac:dyDescent="0.25">
      <c r="A40" s="1" t="s">
        <v>35</v>
      </c>
      <c r="B40" s="23">
        <v>0.5</v>
      </c>
      <c r="C40" s="23">
        <v>1</v>
      </c>
      <c r="D40" s="23">
        <v>1</v>
      </c>
      <c r="E40" s="23"/>
      <c r="F40" s="2"/>
      <c r="G40" s="3"/>
      <c r="H40" s="4"/>
      <c r="I40" s="4"/>
      <c r="J40" s="2"/>
    </row>
    <row r="41" spans="1:20" ht="15" x14ac:dyDescent="0.25">
      <c r="A41" s="1" t="s">
        <v>58</v>
      </c>
      <c r="B41" s="23">
        <f t="shared" ref="B41:D41" si="5">B52/B50</f>
        <v>0.47705696202531644</v>
      </c>
      <c r="C41" s="23">
        <f t="shared" si="5"/>
        <v>0.47705696202531644</v>
      </c>
      <c r="D41" s="23">
        <f t="shared" si="5"/>
        <v>0.47705696202531644</v>
      </c>
      <c r="E41" s="23"/>
      <c r="F41" s="2"/>
      <c r="G41" s="3"/>
      <c r="H41" s="4"/>
      <c r="I41" s="4"/>
      <c r="J41" s="75"/>
    </row>
    <row r="42" spans="1:20" ht="15" x14ac:dyDescent="0.25">
      <c r="A42" s="1"/>
      <c r="B42" s="23"/>
      <c r="C42" s="2"/>
      <c r="D42" s="2"/>
      <c r="E42" s="2"/>
      <c r="F42" s="2"/>
      <c r="G42" s="3"/>
    </row>
    <row r="43" spans="1:20" ht="12.75" x14ac:dyDescent="0.2">
      <c r="A43" s="143" t="s">
        <v>59</v>
      </c>
      <c r="B43" s="138"/>
      <c r="C43" s="138"/>
      <c r="D43" s="138"/>
      <c r="E43" s="138"/>
      <c r="F43" s="138"/>
      <c r="G43" s="3"/>
      <c r="H43" s="143" t="s">
        <v>60</v>
      </c>
      <c r="I43" s="138"/>
      <c r="J43" s="138"/>
      <c r="K43" s="138"/>
      <c r="L43" s="138"/>
      <c r="M43" s="138"/>
      <c r="O43" s="143" t="s">
        <v>61</v>
      </c>
      <c r="P43" s="138"/>
      <c r="Q43" s="138"/>
      <c r="R43" s="138"/>
      <c r="S43" s="138"/>
      <c r="T43" s="138"/>
    </row>
    <row r="44" spans="1:20" ht="12.75" x14ac:dyDescent="0.2">
      <c r="A44" s="76"/>
      <c r="B44" s="77" t="s">
        <v>62</v>
      </c>
      <c r="C44" s="78" t="s">
        <v>63</v>
      </c>
      <c r="D44" s="78" t="s">
        <v>64</v>
      </c>
      <c r="E44" s="79" t="s">
        <v>65</v>
      </c>
      <c r="F44" s="78" t="s">
        <v>66</v>
      </c>
      <c r="G44" s="3"/>
      <c r="H44" s="76"/>
      <c r="I44" s="77" t="s">
        <v>62</v>
      </c>
      <c r="J44" s="78" t="s">
        <v>63</v>
      </c>
      <c r="K44" s="78" t="s">
        <v>64</v>
      </c>
      <c r="L44" s="79" t="s">
        <v>65</v>
      </c>
      <c r="M44" s="78" t="s">
        <v>66</v>
      </c>
      <c r="O44" s="76"/>
      <c r="P44" s="77" t="s">
        <v>62</v>
      </c>
      <c r="Q44" s="78" t="s">
        <v>63</v>
      </c>
      <c r="R44" s="78" t="s">
        <v>64</v>
      </c>
      <c r="S44" s="79" t="s">
        <v>65</v>
      </c>
      <c r="T44" s="78" t="s">
        <v>66</v>
      </c>
    </row>
    <row r="45" spans="1:20" ht="14.25" x14ac:dyDescent="0.2">
      <c r="A45" s="80" t="s">
        <v>67</v>
      </c>
      <c r="B45" s="81">
        <v>1</v>
      </c>
      <c r="C45" s="81">
        <v>10</v>
      </c>
      <c r="D45" s="81">
        <v>230</v>
      </c>
      <c r="E45" s="81">
        <f>8*D45</f>
        <v>1840</v>
      </c>
      <c r="F45" s="81">
        <v>5</v>
      </c>
      <c r="G45" s="3"/>
      <c r="H45" s="80" t="s">
        <v>67</v>
      </c>
      <c r="I45" s="81">
        <v>1</v>
      </c>
      <c r="J45" s="81">
        <v>10</v>
      </c>
      <c r="K45" s="81">
        <v>230</v>
      </c>
      <c r="L45" s="81">
        <f>8*K45</f>
        <v>1840</v>
      </c>
      <c r="M45" s="81">
        <v>5</v>
      </c>
      <c r="O45" s="80" t="s">
        <v>67</v>
      </c>
      <c r="P45" s="81">
        <v>1</v>
      </c>
      <c r="Q45" s="81">
        <v>10</v>
      </c>
      <c r="R45" s="81">
        <v>230</v>
      </c>
      <c r="S45" s="81">
        <f>8*R45</f>
        <v>1840</v>
      </c>
      <c r="T45" s="81">
        <v>5</v>
      </c>
    </row>
    <row r="46" spans="1:20" ht="15" x14ac:dyDescent="0.25">
      <c r="A46" s="82" t="s">
        <v>68</v>
      </c>
      <c r="B46" s="83">
        <v>5000</v>
      </c>
      <c r="C46" s="83">
        <v>5000</v>
      </c>
      <c r="D46" s="83">
        <v>5000</v>
      </c>
      <c r="E46" s="83">
        <v>5000</v>
      </c>
      <c r="F46" s="83">
        <v>5000</v>
      </c>
      <c r="G46" s="3"/>
      <c r="H46" s="82" t="s">
        <v>68</v>
      </c>
      <c r="I46" s="83">
        <v>5000</v>
      </c>
      <c r="J46" s="83">
        <v>5000</v>
      </c>
      <c r="K46" s="83">
        <v>5000</v>
      </c>
      <c r="L46" s="83">
        <v>5000</v>
      </c>
      <c r="M46" s="83">
        <v>5000</v>
      </c>
      <c r="O46" s="82" t="s">
        <v>68</v>
      </c>
      <c r="P46" s="83">
        <v>5000</v>
      </c>
      <c r="Q46" s="83">
        <v>5000</v>
      </c>
      <c r="R46" s="83">
        <v>5000</v>
      </c>
      <c r="S46" s="83">
        <v>5000</v>
      </c>
      <c r="T46" s="83">
        <v>5000</v>
      </c>
    </row>
    <row r="47" spans="1:20" ht="15" x14ac:dyDescent="0.25">
      <c r="A47" s="1" t="s">
        <v>69</v>
      </c>
      <c r="B47" s="4">
        <f>B61/B46</f>
        <v>2443.7333333333331</v>
      </c>
      <c r="C47" s="2">
        <f t="shared" ref="C47:E47" si="6">$B47/C$45</f>
        <v>244.37333333333331</v>
      </c>
      <c r="D47" s="2">
        <f t="shared" si="6"/>
        <v>10.624927536231883</v>
      </c>
      <c r="E47" s="2">
        <f t="shared" si="6"/>
        <v>1.3281159420289854</v>
      </c>
      <c r="F47" s="2">
        <f t="shared" ref="F47:F52" si="7">$B47*F$45</f>
        <v>12218.666666666666</v>
      </c>
      <c r="G47" s="3"/>
      <c r="H47" s="1" t="s">
        <v>69</v>
      </c>
      <c r="I47" s="4">
        <f>I61/I46</f>
        <v>4887.4666666666662</v>
      </c>
      <c r="J47" s="2">
        <f t="shared" ref="J47:L47" si="8">$I47/J$45</f>
        <v>488.74666666666661</v>
      </c>
      <c r="K47" s="2">
        <f t="shared" si="8"/>
        <v>21.249855072463767</v>
      </c>
      <c r="L47" s="2">
        <f t="shared" si="8"/>
        <v>2.6562318840579708</v>
      </c>
      <c r="M47" s="2">
        <f t="shared" ref="M47:M52" si="9">$I47*M$45</f>
        <v>24437.333333333332</v>
      </c>
      <c r="O47" s="1" t="s">
        <v>69</v>
      </c>
      <c r="P47" s="4">
        <f>P61/P46</f>
        <v>9774.9333333333325</v>
      </c>
      <c r="Q47" s="2">
        <f t="shared" ref="Q47:S47" si="10">$P47/Q$45</f>
        <v>977.49333333333323</v>
      </c>
      <c r="R47" s="2">
        <f t="shared" si="10"/>
        <v>42.499710144927533</v>
      </c>
      <c r="S47" s="2">
        <f t="shared" si="10"/>
        <v>5.3124637681159417</v>
      </c>
      <c r="T47" s="2">
        <f t="shared" ref="T47:T52" si="11">$P47*T$45</f>
        <v>48874.666666666664</v>
      </c>
    </row>
    <row r="48" spans="1:20" ht="15" x14ac:dyDescent="0.25">
      <c r="A48" s="1" t="s">
        <v>70</v>
      </c>
      <c r="B48" s="4">
        <f>B47/B36</f>
        <v>162.91555555555553</v>
      </c>
      <c r="C48" s="2">
        <f t="shared" ref="C48:E48" si="12">$B48/C$45</f>
        <v>16.291555555555554</v>
      </c>
      <c r="D48" s="2">
        <f t="shared" si="12"/>
        <v>0.70832850241545886</v>
      </c>
      <c r="E48" s="2">
        <f t="shared" si="12"/>
        <v>8.8541062801932358E-2</v>
      </c>
      <c r="F48" s="2">
        <f t="shared" si="7"/>
        <v>814.57777777777767</v>
      </c>
      <c r="G48" s="3"/>
      <c r="H48" s="1" t="s">
        <v>70</v>
      </c>
      <c r="I48" s="4">
        <f>I47/C36</f>
        <v>325.83111111111106</v>
      </c>
      <c r="J48" s="2">
        <f t="shared" ref="J48:L48" si="13">$I48/J$45</f>
        <v>32.583111111111108</v>
      </c>
      <c r="K48" s="2">
        <f t="shared" si="13"/>
        <v>1.4166570048309177</v>
      </c>
      <c r="L48" s="2">
        <f t="shared" si="13"/>
        <v>0.17708212560386472</v>
      </c>
      <c r="M48" s="2">
        <f t="shared" si="9"/>
        <v>1629.1555555555553</v>
      </c>
      <c r="O48" s="1" t="s">
        <v>70</v>
      </c>
      <c r="P48" s="4">
        <f>P47/D36</f>
        <v>325.83111111111106</v>
      </c>
      <c r="Q48" s="2">
        <f t="shared" ref="Q48:S48" si="14">$P48/Q$45</f>
        <v>32.583111111111108</v>
      </c>
      <c r="R48" s="2">
        <f t="shared" si="14"/>
        <v>1.4166570048309177</v>
      </c>
      <c r="S48" s="2">
        <f t="shared" si="14"/>
        <v>0.17708212560386472</v>
      </c>
      <c r="T48" s="2">
        <f t="shared" si="11"/>
        <v>1629.1555555555553</v>
      </c>
    </row>
    <row r="49" spans="1:20" ht="15" x14ac:dyDescent="0.25">
      <c r="A49" s="1" t="s">
        <v>71</v>
      </c>
      <c r="B49" s="2">
        <f>B47*(100*B38)</f>
        <v>24437.333333333332</v>
      </c>
      <c r="C49" s="2">
        <f t="shared" ref="C49:E49" si="15">$B49/C$45</f>
        <v>2443.7333333333331</v>
      </c>
      <c r="D49" s="2">
        <f t="shared" si="15"/>
        <v>106.24927536231884</v>
      </c>
      <c r="E49" s="2">
        <f t="shared" si="15"/>
        <v>13.281159420289855</v>
      </c>
      <c r="F49" s="2">
        <f t="shared" si="7"/>
        <v>122186.66666666666</v>
      </c>
      <c r="G49" s="3"/>
      <c r="H49" s="1" t="s">
        <v>71</v>
      </c>
      <c r="I49" s="2">
        <f>I47*(100*B38)</f>
        <v>48874.666666666664</v>
      </c>
      <c r="J49" s="2">
        <f t="shared" ref="J49:L49" si="16">$I49/J$45</f>
        <v>4887.4666666666662</v>
      </c>
      <c r="K49" s="2">
        <f t="shared" si="16"/>
        <v>212.49855072463768</v>
      </c>
      <c r="L49" s="2">
        <f t="shared" si="16"/>
        <v>26.56231884057971</v>
      </c>
      <c r="M49" s="2">
        <f t="shared" si="9"/>
        <v>244373.33333333331</v>
      </c>
      <c r="O49" s="1" t="s">
        <v>71</v>
      </c>
      <c r="P49" s="2">
        <f>P47*(100*C38)</f>
        <v>97749.333333333328</v>
      </c>
      <c r="Q49" s="2">
        <f t="shared" ref="Q49:S49" si="17">$P49/Q$45</f>
        <v>9774.9333333333325</v>
      </c>
      <c r="R49" s="2">
        <f t="shared" si="17"/>
        <v>424.99710144927536</v>
      </c>
      <c r="S49" s="2">
        <f t="shared" si="17"/>
        <v>53.12463768115942</v>
      </c>
      <c r="T49" s="2">
        <f t="shared" si="11"/>
        <v>488746.66666666663</v>
      </c>
    </row>
    <row r="50" spans="1:20" ht="15" x14ac:dyDescent="0.25">
      <c r="A50" s="1" t="s">
        <v>72</v>
      </c>
      <c r="B50" s="4">
        <f>B61/B36</f>
        <v>814577.77777777775</v>
      </c>
      <c r="C50" s="2">
        <f t="shared" ref="C50:E50" si="18">$B50/C$45</f>
        <v>81457.777777777781</v>
      </c>
      <c r="D50" s="2">
        <f t="shared" si="18"/>
        <v>3541.6425120772947</v>
      </c>
      <c r="E50" s="2">
        <f t="shared" si="18"/>
        <v>442.70531400966183</v>
      </c>
      <c r="F50" s="2">
        <f t="shared" si="7"/>
        <v>4072888.888888889</v>
      </c>
      <c r="G50" s="3"/>
      <c r="H50" s="1" t="s">
        <v>72</v>
      </c>
      <c r="I50" s="4">
        <f>I61/C36</f>
        <v>1629155.5555555555</v>
      </c>
      <c r="J50" s="2">
        <f t="shared" ref="J50:L50" si="19">$I50/J$45</f>
        <v>162915.55555555556</v>
      </c>
      <c r="K50" s="2">
        <f t="shared" si="19"/>
        <v>7083.2850241545893</v>
      </c>
      <c r="L50" s="2">
        <f t="shared" si="19"/>
        <v>885.41062801932367</v>
      </c>
      <c r="M50" s="2">
        <f t="shared" si="9"/>
        <v>8145777.777777778</v>
      </c>
      <c r="O50" s="1" t="s">
        <v>72</v>
      </c>
      <c r="P50" s="4">
        <f>P61/D36</f>
        <v>1629155.5555555555</v>
      </c>
      <c r="Q50" s="2">
        <f t="shared" ref="Q50:S50" si="20">$P50/Q$45</f>
        <v>162915.55555555556</v>
      </c>
      <c r="R50" s="2">
        <f t="shared" si="20"/>
        <v>7083.2850241545893</v>
      </c>
      <c r="S50" s="2">
        <f t="shared" si="20"/>
        <v>885.41062801932367</v>
      </c>
      <c r="T50" s="2">
        <f t="shared" si="11"/>
        <v>8145777.777777778</v>
      </c>
    </row>
    <row r="51" spans="1:20" ht="15" x14ac:dyDescent="0.25">
      <c r="A51" s="1" t="s">
        <v>73</v>
      </c>
      <c r="B51" s="2">
        <f>B84/B36</f>
        <v>532000</v>
      </c>
      <c r="C51" s="2">
        <f t="shared" ref="C51:E51" si="21">$B51/C$45</f>
        <v>53200</v>
      </c>
      <c r="D51" s="2">
        <f t="shared" si="21"/>
        <v>2313.0434782608695</v>
      </c>
      <c r="E51" s="2">
        <f t="shared" si="21"/>
        <v>289.13043478260869</v>
      </c>
      <c r="F51" s="2">
        <f t="shared" si="7"/>
        <v>2660000</v>
      </c>
      <c r="G51" s="3"/>
      <c r="H51" s="1" t="s">
        <v>73</v>
      </c>
      <c r="I51" s="2">
        <f>I84/C36</f>
        <v>1039325.3333333334</v>
      </c>
      <c r="J51" s="2">
        <f t="shared" ref="J51:L51" si="22">$I51/J$45</f>
        <v>103932.53333333334</v>
      </c>
      <c r="K51" s="2">
        <f t="shared" si="22"/>
        <v>4518.8057971014496</v>
      </c>
      <c r="L51" s="2">
        <f t="shared" si="22"/>
        <v>564.8507246376812</v>
      </c>
      <c r="M51" s="2">
        <f t="shared" si="9"/>
        <v>5196626.666666667</v>
      </c>
      <c r="O51" s="1" t="s">
        <v>73</v>
      </c>
      <c r="P51" s="2">
        <f>P84/D36</f>
        <v>1013021.3333333334</v>
      </c>
      <c r="Q51" s="2">
        <f t="shared" ref="Q51:S51" si="23">$P51/Q$45</f>
        <v>101302.13333333333</v>
      </c>
      <c r="R51" s="2">
        <f t="shared" si="23"/>
        <v>4404.4405797101454</v>
      </c>
      <c r="S51" s="2">
        <f t="shared" si="23"/>
        <v>550.55507246376817</v>
      </c>
      <c r="T51" s="2">
        <f t="shared" si="11"/>
        <v>5065106.666666667</v>
      </c>
    </row>
    <row r="52" spans="1:20" ht="15" x14ac:dyDescent="0.25">
      <c r="A52" s="1" t="s">
        <v>74</v>
      </c>
      <c r="B52" s="2">
        <f>B66/B36</f>
        <v>388600</v>
      </c>
      <c r="C52" s="2">
        <f t="shared" ref="C52:E52" si="24">$B52/C$45</f>
        <v>38860</v>
      </c>
      <c r="D52" s="2">
        <f t="shared" si="24"/>
        <v>1689.5652173913043</v>
      </c>
      <c r="E52" s="2">
        <f t="shared" si="24"/>
        <v>211.19565217391303</v>
      </c>
      <c r="F52" s="2">
        <f t="shared" si="7"/>
        <v>1943000</v>
      </c>
      <c r="G52" s="3"/>
      <c r="H52" s="1" t="s">
        <v>74</v>
      </c>
      <c r="I52" s="2">
        <f>I66/C36</f>
        <v>777200</v>
      </c>
      <c r="J52" s="2">
        <f t="shared" ref="J52:L52" si="25">$I52/J$45</f>
        <v>77720</v>
      </c>
      <c r="K52" s="2">
        <f t="shared" si="25"/>
        <v>3379.1304347826085</v>
      </c>
      <c r="L52" s="2">
        <f t="shared" si="25"/>
        <v>422.39130434782606</v>
      </c>
      <c r="M52" s="2">
        <f t="shared" si="9"/>
        <v>3886000</v>
      </c>
      <c r="O52" s="1" t="s">
        <v>74</v>
      </c>
      <c r="P52" s="2">
        <f>P66/D36</f>
        <v>777200</v>
      </c>
      <c r="Q52" s="2">
        <f t="shared" ref="Q52:S52" si="26">$P52/Q$45</f>
        <v>77720</v>
      </c>
      <c r="R52" s="2">
        <f t="shared" si="26"/>
        <v>3379.1304347826085</v>
      </c>
      <c r="S52" s="2">
        <f t="shared" si="26"/>
        <v>422.39130434782606</v>
      </c>
      <c r="T52" s="2">
        <f t="shared" si="11"/>
        <v>3886000</v>
      </c>
    </row>
    <row r="53" spans="1:20" ht="15" x14ac:dyDescent="0.25">
      <c r="A53" s="84" t="s">
        <v>75</v>
      </c>
      <c r="B53" s="85">
        <f t="shared" ref="B53:F53" si="27">B50-B52</f>
        <v>425977.77777777775</v>
      </c>
      <c r="C53" s="85">
        <f t="shared" si="27"/>
        <v>42597.777777777781</v>
      </c>
      <c r="D53" s="85">
        <f t="shared" si="27"/>
        <v>1852.0772946859904</v>
      </c>
      <c r="E53" s="85">
        <f t="shared" si="27"/>
        <v>231.5096618357488</v>
      </c>
      <c r="F53" s="85">
        <f t="shared" si="27"/>
        <v>2129888.888888889</v>
      </c>
      <c r="G53" s="3"/>
      <c r="H53" s="84" t="s">
        <v>75</v>
      </c>
      <c r="I53" s="85">
        <f t="shared" ref="I53:M53" si="28">I50-I52</f>
        <v>851955.5555555555</v>
      </c>
      <c r="J53" s="85">
        <f t="shared" si="28"/>
        <v>85195.555555555562</v>
      </c>
      <c r="K53" s="85">
        <f t="shared" si="28"/>
        <v>3704.1545893719808</v>
      </c>
      <c r="L53" s="85">
        <f t="shared" si="28"/>
        <v>463.0193236714976</v>
      </c>
      <c r="M53" s="85">
        <f t="shared" si="28"/>
        <v>4259777.777777778</v>
      </c>
      <c r="O53" s="84" t="s">
        <v>75</v>
      </c>
      <c r="P53" s="85">
        <f t="shared" ref="P53:T53" si="29">P50-P52</f>
        <v>851955.5555555555</v>
      </c>
      <c r="Q53" s="85">
        <f t="shared" si="29"/>
        <v>85195.555555555562</v>
      </c>
      <c r="R53" s="85">
        <f t="shared" si="29"/>
        <v>3704.1545893719808</v>
      </c>
      <c r="S53" s="85">
        <f t="shared" si="29"/>
        <v>463.0193236714976</v>
      </c>
      <c r="T53" s="85">
        <f t="shared" si="29"/>
        <v>4259777.777777778</v>
      </c>
    </row>
    <row r="54" spans="1:20" ht="15" x14ac:dyDescent="0.25">
      <c r="A54" s="1" t="s">
        <v>76</v>
      </c>
      <c r="B54" s="2">
        <f t="shared" ref="B54:F54" si="30">B50-B51</f>
        <v>282577.77777777775</v>
      </c>
      <c r="C54" s="2">
        <f t="shared" si="30"/>
        <v>28257.777777777781</v>
      </c>
      <c r="D54" s="2">
        <f t="shared" si="30"/>
        <v>1228.5990338164252</v>
      </c>
      <c r="E54" s="2">
        <f t="shared" si="30"/>
        <v>153.57487922705315</v>
      </c>
      <c r="F54" s="2">
        <f t="shared" si="30"/>
        <v>1412888.888888889</v>
      </c>
      <c r="G54" s="3"/>
      <c r="H54" s="1" t="s">
        <v>76</v>
      </c>
      <c r="I54" s="2">
        <f t="shared" ref="I54:M54" si="31">I50-I51</f>
        <v>589830.22222222213</v>
      </c>
      <c r="J54" s="2">
        <f t="shared" si="31"/>
        <v>58983.022222222222</v>
      </c>
      <c r="K54" s="2">
        <f t="shared" si="31"/>
        <v>2564.4792270531398</v>
      </c>
      <c r="L54" s="2">
        <f t="shared" si="31"/>
        <v>320.55990338164247</v>
      </c>
      <c r="M54" s="2">
        <f t="shared" si="31"/>
        <v>2949151.111111111</v>
      </c>
      <c r="O54" s="1" t="s">
        <v>76</v>
      </c>
      <c r="P54" s="2">
        <f t="shared" ref="P54:T54" si="32">P50-P51</f>
        <v>616134.22222222213</v>
      </c>
      <c r="Q54" s="2">
        <f t="shared" si="32"/>
        <v>61613.422222222231</v>
      </c>
      <c r="R54" s="2">
        <f t="shared" si="32"/>
        <v>2678.844444444444</v>
      </c>
      <c r="S54" s="2">
        <f t="shared" si="32"/>
        <v>334.8555555555555</v>
      </c>
      <c r="T54" s="2">
        <f t="shared" si="32"/>
        <v>3080671.111111111</v>
      </c>
    </row>
    <row r="55" spans="1:20" ht="12.75" x14ac:dyDescent="0.2">
      <c r="A55" s="86"/>
      <c r="B55" s="87"/>
      <c r="C55" s="86"/>
      <c r="D55" s="86"/>
      <c r="E55" s="86"/>
      <c r="F55" s="86"/>
      <c r="G55" s="3"/>
      <c r="H55" s="86"/>
      <c r="I55" s="87"/>
      <c r="J55" s="86"/>
      <c r="K55" s="86"/>
      <c r="L55" s="86"/>
      <c r="M55" s="86"/>
      <c r="O55" s="86"/>
      <c r="P55" s="87"/>
      <c r="Q55" s="86"/>
      <c r="R55" s="86"/>
      <c r="S55" s="86"/>
      <c r="T55" s="86"/>
    </row>
    <row r="56" spans="1:20" ht="12.75" x14ac:dyDescent="0.2">
      <c r="A56" s="3"/>
      <c r="B56" s="2"/>
      <c r="C56" s="3"/>
      <c r="D56" s="3"/>
      <c r="E56" s="3"/>
      <c r="F56" s="3"/>
      <c r="G56" s="3"/>
    </row>
    <row r="57" spans="1:20" ht="12.75" x14ac:dyDescent="0.2">
      <c r="A57" s="3"/>
      <c r="B57" s="137" t="s">
        <v>77</v>
      </c>
      <c r="C57" s="138"/>
      <c r="D57" s="139" t="s">
        <v>78</v>
      </c>
      <c r="E57" s="138"/>
      <c r="H57" s="3"/>
      <c r="I57" s="137" t="s">
        <v>77</v>
      </c>
      <c r="J57" s="138"/>
      <c r="K57" s="139"/>
      <c r="L57" s="138"/>
      <c r="O57" s="3"/>
      <c r="P57" s="137" t="s">
        <v>77</v>
      </c>
      <c r="Q57" s="138"/>
      <c r="R57" s="139"/>
      <c r="S57" s="138"/>
    </row>
    <row r="58" spans="1:20" ht="12.75" x14ac:dyDescent="0.2">
      <c r="A58" s="88" t="s">
        <v>79</v>
      </c>
      <c r="B58" s="89" t="s">
        <v>80</v>
      </c>
      <c r="C58" s="89" t="s">
        <v>81</v>
      </c>
      <c r="D58" s="90" t="s">
        <v>80</v>
      </c>
      <c r="E58" s="90" t="s">
        <v>81</v>
      </c>
      <c r="H58" s="88" t="s">
        <v>79</v>
      </c>
      <c r="I58" s="89" t="s">
        <v>80</v>
      </c>
      <c r="J58" s="89"/>
      <c r="K58" s="90"/>
      <c r="L58" s="90"/>
      <c r="O58" s="88" t="s">
        <v>79</v>
      </c>
      <c r="P58" s="89" t="s">
        <v>80</v>
      </c>
      <c r="Q58" s="89"/>
      <c r="R58" s="90"/>
      <c r="S58" s="90"/>
    </row>
    <row r="59" spans="1:20" ht="12.75" x14ac:dyDescent="0.2">
      <c r="A59" s="91" t="s">
        <v>82</v>
      </c>
      <c r="B59" s="14">
        <f>B61*0.75</f>
        <v>9164000</v>
      </c>
      <c r="C59" s="14">
        <v>1631000</v>
      </c>
      <c r="D59" s="92"/>
      <c r="E59" s="92">
        <f>C59/B59</f>
        <v>0.17797904845045831</v>
      </c>
      <c r="H59" s="91" t="s">
        <v>82</v>
      </c>
      <c r="I59" s="14">
        <f>I61*0.75</f>
        <v>18328000</v>
      </c>
      <c r="J59" s="14">
        <f>I59/B59</f>
        <v>2</v>
      </c>
      <c r="K59" s="92"/>
      <c r="L59" s="92"/>
      <c r="O59" s="91" t="s">
        <v>82</v>
      </c>
      <c r="P59" s="14">
        <f>P61*0.75</f>
        <v>36656000</v>
      </c>
      <c r="Q59" s="14">
        <v>4</v>
      </c>
      <c r="R59" s="92"/>
      <c r="S59" s="92"/>
    </row>
    <row r="60" spans="1:20" ht="12.75" x14ac:dyDescent="0.2">
      <c r="A60" s="91" t="s">
        <v>83</v>
      </c>
      <c r="B60" s="14">
        <v>0</v>
      </c>
      <c r="C60" s="14">
        <v>0</v>
      </c>
      <c r="D60" s="92"/>
      <c r="E60" s="92">
        <f>B59/C59</f>
        <v>5.6186388718577556</v>
      </c>
      <c r="H60" s="91" t="s">
        <v>83</v>
      </c>
      <c r="I60" s="14">
        <v>0</v>
      </c>
      <c r="J60" s="93">
        <v>0.02</v>
      </c>
      <c r="K60" s="92"/>
      <c r="L60" s="92"/>
      <c r="O60" s="91" t="s">
        <v>83</v>
      </c>
      <c r="P60" s="14">
        <v>0</v>
      </c>
      <c r="Q60" s="93">
        <v>0.04</v>
      </c>
      <c r="R60" s="92"/>
      <c r="S60" s="92"/>
    </row>
    <row r="61" spans="1:20" ht="15" x14ac:dyDescent="0.25">
      <c r="A61" s="91" t="s">
        <v>84</v>
      </c>
      <c r="B61" s="11">
        <f>B62/(1-$I$34)</f>
        <v>12218666.666666666</v>
      </c>
      <c r="C61" s="11">
        <f>C62/(1-I34)</f>
        <v>2174666.6666666665</v>
      </c>
      <c r="D61" s="92"/>
      <c r="E61" s="94">
        <f>E70-D70</f>
        <v>3.1845081425169952E-2</v>
      </c>
      <c r="F61" s="95"/>
      <c r="H61" s="91" t="s">
        <v>84</v>
      </c>
      <c r="I61" s="11">
        <f>B61*2</f>
        <v>24437333.333333332</v>
      </c>
      <c r="J61" s="96"/>
      <c r="K61" s="92"/>
      <c r="L61" s="94"/>
      <c r="O61" s="91" t="s">
        <v>84</v>
      </c>
      <c r="P61" s="11">
        <f>B61*4</f>
        <v>48874666.666666664</v>
      </c>
      <c r="Q61" s="11"/>
      <c r="R61" s="92"/>
      <c r="S61" s="94"/>
    </row>
    <row r="62" spans="1:20" ht="15" x14ac:dyDescent="0.25">
      <c r="A62" s="91" t="s">
        <v>85</v>
      </c>
      <c r="B62" s="97">
        <v>9164000</v>
      </c>
      <c r="C62" s="97">
        <v>1631000</v>
      </c>
      <c r="D62" s="92"/>
      <c r="E62" s="94">
        <f>E61/E60</f>
        <v>5.6677572898791136E-3</v>
      </c>
      <c r="F62" s="95"/>
      <c r="H62" s="91" t="s">
        <v>85</v>
      </c>
      <c r="I62" s="97">
        <f>I59</f>
        <v>18328000</v>
      </c>
      <c r="J62" s="97"/>
      <c r="K62" s="92"/>
      <c r="L62" s="94"/>
      <c r="O62" s="91" t="s">
        <v>85</v>
      </c>
      <c r="P62" s="97">
        <f>P59</f>
        <v>36656000</v>
      </c>
      <c r="Q62" s="97"/>
      <c r="R62" s="92"/>
      <c r="S62" s="94"/>
    </row>
    <row r="63" spans="1:20" ht="15" x14ac:dyDescent="0.25">
      <c r="A63" s="88" t="s">
        <v>86</v>
      </c>
      <c r="B63" s="98">
        <v>1000</v>
      </c>
      <c r="C63" s="99">
        <v>0</v>
      </c>
      <c r="D63" s="92"/>
      <c r="E63" s="94"/>
      <c r="F63" s="95"/>
      <c r="G63" s="5"/>
      <c r="H63" s="88" t="s">
        <v>86</v>
      </c>
      <c r="I63" s="98">
        <v>1000</v>
      </c>
      <c r="J63" s="99"/>
      <c r="K63" s="92"/>
      <c r="L63" s="94"/>
      <c r="O63" s="88" t="s">
        <v>86</v>
      </c>
      <c r="P63" s="98">
        <v>1000</v>
      </c>
      <c r="Q63" s="99"/>
      <c r="R63" s="92"/>
      <c r="S63" s="94"/>
    </row>
    <row r="64" spans="1:20" ht="15" x14ac:dyDescent="0.25">
      <c r="A64" s="91" t="s">
        <v>87</v>
      </c>
      <c r="B64" s="100">
        <v>12000</v>
      </c>
      <c r="C64" s="100">
        <v>0</v>
      </c>
      <c r="D64" s="92"/>
      <c r="E64" s="101"/>
      <c r="F64" s="64"/>
      <c r="G64" s="102"/>
      <c r="H64" s="91" t="s">
        <v>87</v>
      </c>
      <c r="I64" s="100">
        <v>12000</v>
      </c>
      <c r="J64" s="100"/>
      <c r="K64" s="92"/>
      <c r="L64" s="101"/>
      <c r="O64" s="91" t="s">
        <v>87</v>
      </c>
      <c r="P64" s="100">
        <v>12000</v>
      </c>
      <c r="Q64" s="100"/>
      <c r="R64" s="92"/>
      <c r="S64" s="101"/>
    </row>
    <row r="65" spans="1:19" ht="15" x14ac:dyDescent="0.25">
      <c r="A65" s="91" t="s">
        <v>88</v>
      </c>
      <c r="B65" s="14">
        <v>0</v>
      </c>
      <c r="C65" s="14">
        <v>0</v>
      </c>
      <c r="D65" s="92"/>
      <c r="E65" s="92"/>
      <c r="F65" s="102"/>
      <c r="G65" s="102"/>
      <c r="H65" s="91" t="s">
        <v>88</v>
      </c>
      <c r="I65" s="14">
        <v>0</v>
      </c>
      <c r="J65" s="14"/>
      <c r="K65" s="92"/>
      <c r="L65" s="92"/>
      <c r="O65" s="91" t="s">
        <v>88</v>
      </c>
      <c r="P65" s="14">
        <v>0</v>
      </c>
      <c r="Q65" s="14"/>
      <c r="R65" s="92"/>
      <c r="S65" s="92"/>
    </row>
    <row r="66" spans="1:19" ht="15" x14ac:dyDescent="0.25">
      <c r="A66" s="91" t="s">
        <v>89</v>
      </c>
      <c r="B66" s="99">
        <v>5829000</v>
      </c>
      <c r="C66" s="100">
        <v>735000</v>
      </c>
      <c r="D66" s="92">
        <f t="shared" ref="D66:E66" si="33">B67/B66</f>
        <v>0.83410533539200549</v>
      </c>
      <c r="E66" s="92">
        <f t="shared" si="33"/>
        <v>0.79455782312925172</v>
      </c>
      <c r="F66" s="102"/>
      <c r="G66" s="102"/>
      <c r="H66" s="91" t="s">
        <v>89</v>
      </c>
      <c r="I66" s="100">
        <f>I61*C41</f>
        <v>11658000</v>
      </c>
      <c r="J66" s="100"/>
      <c r="K66" s="92"/>
      <c r="L66" s="92"/>
      <c r="O66" s="91" t="s">
        <v>89</v>
      </c>
      <c r="P66" s="103">
        <f>P61*D41</f>
        <v>23316000</v>
      </c>
      <c r="Q66" s="100"/>
      <c r="R66" s="92"/>
      <c r="S66" s="92"/>
    </row>
    <row r="67" spans="1:19" ht="15" x14ac:dyDescent="0.25">
      <c r="A67" s="91" t="s">
        <v>90</v>
      </c>
      <c r="B67" s="14">
        <v>4862000</v>
      </c>
      <c r="C67" s="14">
        <v>584000</v>
      </c>
      <c r="D67" s="104">
        <f t="shared" ref="D67:E67" si="34">(B66-B67)/B66</f>
        <v>0.16589466460799451</v>
      </c>
      <c r="E67" s="104">
        <f t="shared" si="34"/>
        <v>0.20544217687074831</v>
      </c>
      <c r="F67" s="102"/>
      <c r="G67" s="105"/>
      <c r="H67" s="91" t="s">
        <v>90</v>
      </c>
      <c r="I67" s="14">
        <f>D66*I66</f>
        <v>9724000</v>
      </c>
      <c r="J67" s="14"/>
      <c r="K67" s="104"/>
      <c r="L67" s="104"/>
      <c r="O67" s="91" t="s">
        <v>90</v>
      </c>
      <c r="P67" s="11">
        <f>D66*P66</f>
        <v>19448000</v>
      </c>
      <c r="Q67" s="14"/>
      <c r="R67" s="104"/>
      <c r="S67" s="104"/>
    </row>
    <row r="68" spans="1:19" ht="15" x14ac:dyDescent="0.25">
      <c r="A68" s="91" t="s">
        <v>91</v>
      </c>
      <c r="B68" s="100">
        <v>27000</v>
      </c>
      <c r="C68" s="100">
        <v>0</v>
      </c>
      <c r="D68" s="92"/>
      <c r="E68" s="92"/>
      <c r="F68" s="102"/>
      <c r="G68" s="95"/>
      <c r="H68" s="91" t="s">
        <v>91</v>
      </c>
      <c r="I68" s="100">
        <v>27000</v>
      </c>
      <c r="J68" s="100"/>
      <c r="K68" s="92"/>
      <c r="L68" s="92"/>
      <c r="O68" s="91" t="s">
        <v>91</v>
      </c>
      <c r="P68" s="99">
        <f>27000*2</f>
        <v>54000</v>
      </c>
      <c r="Q68" s="100"/>
      <c r="R68" s="92"/>
      <c r="S68" s="92"/>
    </row>
    <row r="69" spans="1:19" ht="15" x14ac:dyDescent="0.25">
      <c r="A69" s="91" t="s">
        <v>92</v>
      </c>
      <c r="B69" s="14">
        <v>0</v>
      </c>
      <c r="C69" s="14">
        <v>0</v>
      </c>
      <c r="D69" s="92"/>
      <c r="E69" s="92"/>
      <c r="F69" s="102"/>
      <c r="G69" s="95"/>
      <c r="H69" s="91" t="s">
        <v>92</v>
      </c>
      <c r="I69" s="14">
        <v>0</v>
      </c>
      <c r="J69" s="14"/>
      <c r="K69" s="92"/>
      <c r="L69" s="92"/>
      <c r="O69" s="91" t="s">
        <v>92</v>
      </c>
      <c r="P69" s="14">
        <v>0</v>
      </c>
      <c r="Q69" s="14"/>
      <c r="R69" s="92"/>
      <c r="S69" s="92"/>
    </row>
    <row r="70" spans="1:19" ht="15" x14ac:dyDescent="0.25">
      <c r="A70" s="91" t="s">
        <v>93</v>
      </c>
      <c r="B70" s="100">
        <v>2068000</v>
      </c>
      <c r="C70" s="100">
        <v>420000</v>
      </c>
      <c r="D70" s="92">
        <f t="shared" ref="D70:E70" si="35">B70/B59</f>
        <v>0.22566564818856394</v>
      </c>
      <c r="E70" s="92">
        <f t="shared" si="35"/>
        <v>0.25751072961373389</v>
      </c>
      <c r="F70" s="102"/>
      <c r="G70" s="95"/>
      <c r="H70" s="91" t="s">
        <v>93</v>
      </c>
      <c r="I70" s="100">
        <f>I59*J70</f>
        <v>3848880</v>
      </c>
      <c r="J70" s="99">
        <v>0.21</v>
      </c>
      <c r="K70" s="92"/>
      <c r="L70" s="92"/>
      <c r="O70" s="91" t="s">
        <v>93</v>
      </c>
      <c r="P70" s="100">
        <f>P59*Q70</f>
        <v>6964640</v>
      </c>
      <c r="Q70" s="14">
        <v>0.19</v>
      </c>
      <c r="R70" s="92"/>
      <c r="S70" s="92"/>
    </row>
    <row r="71" spans="1:19" ht="15" x14ac:dyDescent="0.25">
      <c r="A71" s="91" t="s">
        <v>94</v>
      </c>
      <c r="B71" s="106">
        <v>1227000</v>
      </c>
      <c r="C71" s="106">
        <v>475000</v>
      </c>
      <c r="D71" s="92">
        <f>B62-B66-B70</f>
        <v>1267000</v>
      </c>
      <c r="E71" s="92"/>
      <c r="F71" s="102"/>
      <c r="G71" s="95"/>
      <c r="H71" s="91" t="s">
        <v>94</v>
      </c>
      <c r="I71" s="106">
        <f>I62-I63-I64-I65-I66-I68-I70</f>
        <v>2781120</v>
      </c>
      <c r="J71" s="14"/>
      <c r="K71" s="92"/>
      <c r="L71" s="92"/>
      <c r="O71" s="91" t="s">
        <v>94</v>
      </c>
      <c r="P71" s="106">
        <f>P62-P63-P64-P65-P66-P68-P70</f>
        <v>6308360</v>
      </c>
      <c r="R71" s="92"/>
      <c r="S71" s="92"/>
    </row>
    <row r="72" spans="1:19" ht="12.75" x14ac:dyDescent="0.2">
      <c r="A72" s="91" t="s">
        <v>95</v>
      </c>
      <c r="B72" s="14">
        <v>0</v>
      </c>
      <c r="C72" s="14">
        <v>0</v>
      </c>
      <c r="D72" s="92"/>
      <c r="E72" s="92"/>
      <c r="F72" s="2"/>
      <c r="G72" s="2"/>
      <c r="H72" s="91" t="s">
        <v>95</v>
      </c>
      <c r="I72" s="14">
        <v>0</v>
      </c>
      <c r="J72" s="14"/>
      <c r="K72" s="92"/>
      <c r="L72" s="92"/>
      <c r="O72" s="91" t="s">
        <v>95</v>
      </c>
      <c r="P72" s="14">
        <v>0</v>
      </c>
      <c r="Q72" s="14"/>
      <c r="R72" s="92"/>
      <c r="S72" s="92"/>
    </row>
    <row r="73" spans="1:19" ht="12.75" x14ac:dyDescent="0.2">
      <c r="A73" s="91" t="s">
        <v>96</v>
      </c>
      <c r="B73" s="14">
        <v>0</v>
      </c>
      <c r="C73" s="14">
        <v>0</v>
      </c>
      <c r="D73" s="92"/>
      <c r="E73" s="92"/>
      <c r="F73" s="2"/>
      <c r="G73" s="2"/>
      <c r="H73" s="91" t="s">
        <v>96</v>
      </c>
      <c r="I73" s="14">
        <v>0</v>
      </c>
      <c r="J73" s="14"/>
      <c r="K73" s="92"/>
      <c r="L73" s="92"/>
      <c r="O73" s="91" t="s">
        <v>96</v>
      </c>
      <c r="P73" s="14">
        <v>0</v>
      </c>
      <c r="Q73" s="14"/>
      <c r="R73" s="92"/>
      <c r="S73" s="92"/>
    </row>
    <row r="74" spans="1:19" ht="12.75" x14ac:dyDescent="0.2">
      <c r="A74" s="91" t="s">
        <v>97</v>
      </c>
      <c r="B74" s="97">
        <v>8000</v>
      </c>
      <c r="C74" s="14">
        <v>0</v>
      </c>
      <c r="D74" s="92"/>
      <c r="E74" s="92"/>
      <c r="F74" s="3"/>
      <c r="G74" s="3"/>
      <c r="H74" s="91" t="s">
        <v>97</v>
      </c>
      <c r="I74" s="97">
        <v>8000</v>
      </c>
      <c r="J74" s="14"/>
      <c r="K74" s="92"/>
      <c r="L74" s="92"/>
      <c r="O74" s="91" t="s">
        <v>97</v>
      </c>
      <c r="P74" s="97">
        <v>8000</v>
      </c>
      <c r="Q74" s="14"/>
      <c r="R74" s="92"/>
      <c r="S74" s="92"/>
    </row>
    <row r="75" spans="1:19" ht="12.75" x14ac:dyDescent="0.2">
      <c r="A75" s="91" t="s">
        <v>98</v>
      </c>
      <c r="B75" s="14">
        <v>0</v>
      </c>
      <c r="C75" s="14">
        <v>0</v>
      </c>
      <c r="D75" s="92"/>
      <c r="E75" s="92"/>
      <c r="F75" s="3"/>
      <c r="G75" s="3"/>
      <c r="H75" s="91" t="s">
        <v>98</v>
      </c>
      <c r="I75" s="14">
        <v>0</v>
      </c>
      <c r="J75" s="14"/>
      <c r="K75" s="92"/>
      <c r="L75" s="92"/>
      <c r="O75" s="91" t="s">
        <v>98</v>
      </c>
      <c r="P75" s="14">
        <v>0</v>
      </c>
      <c r="Q75" s="14"/>
      <c r="R75" s="92"/>
      <c r="S75" s="92"/>
    </row>
    <row r="76" spans="1:19" ht="12.75" x14ac:dyDescent="0.2">
      <c r="A76" s="91" t="s">
        <v>99</v>
      </c>
      <c r="B76" s="14">
        <v>0</v>
      </c>
      <c r="C76" s="14">
        <v>0</v>
      </c>
      <c r="D76" s="92"/>
      <c r="E76" s="92"/>
      <c r="F76" s="3"/>
      <c r="G76" s="3"/>
      <c r="H76" s="91" t="s">
        <v>99</v>
      </c>
      <c r="I76" s="14">
        <v>0</v>
      </c>
      <c r="J76" s="14"/>
      <c r="K76" s="92"/>
      <c r="L76" s="92"/>
      <c r="O76" s="91" t="s">
        <v>99</v>
      </c>
      <c r="P76" s="14">
        <v>0</v>
      </c>
      <c r="Q76" s="14"/>
      <c r="R76" s="92"/>
      <c r="S76" s="92"/>
    </row>
    <row r="77" spans="1:19" ht="12.75" x14ac:dyDescent="0.2">
      <c r="A77" s="91" t="s">
        <v>100</v>
      </c>
      <c r="B77" s="97">
        <v>8000</v>
      </c>
      <c r="C77" s="97">
        <v>0</v>
      </c>
      <c r="D77" s="92"/>
      <c r="E77" s="92"/>
      <c r="F77" s="3"/>
      <c r="G77" s="3"/>
      <c r="H77" s="91" t="s">
        <v>100</v>
      </c>
      <c r="I77" s="97">
        <v>8000</v>
      </c>
      <c r="J77" s="97"/>
      <c r="K77" s="92"/>
      <c r="L77" s="92"/>
      <c r="O77" s="91" t="s">
        <v>100</v>
      </c>
      <c r="P77" s="97">
        <v>8000</v>
      </c>
      <c r="Q77" s="97"/>
      <c r="R77" s="92"/>
      <c r="S77" s="92"/>
    </row>
    <row r="78" spans="1:19" ht="12.75" x14ac:dyDescent="0.2">
      <c r="A78" s="91" t="s">
        <v>101</v>
      </c>
      <c r="B78" s="14">
        <v>0</v>
      </c>
      <c r="C78" s="14">
        <v>0</v>
      </c>
      <c r="D78" s="92"/>
      <c r="E78" s="92"/>
      <c r="G78" s="2"/>
      <c r="H78" s="91" t="s">
        <v>102</v>
      </c>
      <c r="I78" s="14">
        <v>0</v>
      </c>
      <c r="J78" s="14"/>
      <c r="K78" s="92"/>
      <c r="L78" s="92"/>
      <c r="O78" s="91" t="s">
        <v>102</v>
      </c>
      <c r="P78" s="14">
        <v>0</v>
      </c>
      <c r="Q78" s="14"/>
      <c r="R78" s="92"/>
      <c r="S78" s="92"/>
    </row>
    <row r="79" spans="1:19" ht="12.75" x14ac:dyDescent="0.2">
      <c r="A79" s="88" t="s">
        <v>103</v>
      </c>
      <c r="B79" s="107">
        <f t="shared" ref="B79:C79" si="36">B62+B77</f>
        <v>9172000</v>
      </c>
      <c r="C79" s="107">
        <f t="shared" si="36"/>
        <v>1631000</v>
      </c>
      <c r="D79" s="92"/>
      <c r="E79" s="92"/>
      <c r="G79" s="2"/>
      <c r="H79" s="88" t="s">
        <v>103</v>
      </c>
      <c r="I79" s="107">
        <f>I62+I77</f>
        <v>18336000</v>
      </c>
      <c r="J79" s="108"/>
      <c r="K79" s="92"/>
      <c r="L79" s="92"/>
      <c r="O79" s="88" t="s">
        <v>103</v>
      </c>
      <c r="P79" s="107">
        <f>P62+P77</f>
        <v>36664000</v>
      </c>
      <c r="Q79" s="108"/>
      <c r="R79" s="92"/>
      <c r="S79" s="92"/>
    </row>
    <row r="80" spans="1:19" ht="12.75" x14ac:dyDescent="0.2">
      <c r="A80" s="91" t="s">
        <v>104</v>
      </c>
      <c r="B80" s="100">
        <v>41000</v>
      </c>
      <c r="C80" s="100">
        <v>8000</v>
      </c>
      <c r="D80" s="92"/>
      <c r="E80" s="92"/>
      <c r="G80" s="2"/>
      <c r="H80" s="91" t="s">
        <v>104</v>
      </c>
      <c r="I80" s="100">
        <v>41000</v>
      </c>
      <c r="J80" s="100"/>
      <c r="K80" s="92"/>
      <c r="L80" s="92"/>
      <c r="O80" s="91" t="s">
        <v>104</v>
      </c>
      <c r="P80" s="100">
        <v>41000</v>
      </c>
      <c r="Q80" s="100"/>
      <c r="R80" s="92"/>
      <c r="S80" s="92"/>
    </row>
    <row r="81" spans="1:19" ht="12.75" x14ac:dyDescent="0.2">
      <c r="A81" s="91" t="s">
        <v>105</v>
      </c>
      <c r="B81" s="100">
        <v>2000</v>
      </c>
      <c r="C81" s="14">
        <v>0</v>
      </c>
      <c r="D81" s="92"/>
      <c r="E81" s="92"/>
      <c r="G81" s="14"/>
      <c r="H81" s="91" t="s">
        <v>105</v>
      </c>
      <c r="I81" s="100">
        <v>2000</v>
      </c>
      <c r="J81" s="14"/>
      <c r="K81" s="92"/>
      <c r="L81" s="92"/>
      <c r="O81" s="91" t="s">
        <v>105</v>
      </c>
      <c r="P81" s="100">
        <v>2000</v>
      </c>
      <c r="Q81" s="14"/>
      <c r="R81" s="92"/>
      <c r="S81" s="92"/>
    </row>
    <row r="82" spans="1:19" ht="12.75" x14ac:dyDescent="0.2">
      <c r="A82" s="91" t="s">
        <v>106</v>
      </c>
      <c r="B82" s="100">
        <v>2000</v>
      </c>
      <c r="C82" s="100">
        <v>0</v>
      </c>
      <c r="D82" s="92"/>
      <c r="E82" s="92"/>
      <c r="G82" s="14"/>
      <c r="H82" s="91" t="s">
        <v>106</v>
      </c>
      <c r="I82" s="100">
        <v>2000</v>
      </c>
      <c r="J82" s="100"/>
      <c r="K82" s="92"/>
      <c r="L82" s="92"/>
      <c r="O82" s="91" t="s">
        <v>106</v>
      </c>
      <c r="P82" s="100">
        <v>2000</v>
      </c>
      <c r="Q82" s="100"/>
      <c r="R82" s="92"/>
      <c r="S82" s="92"/>
    </row>
    <row r="83" spans="1:19" ht="12.75" x14ac:dyDescent="0.2">
      <c r="A83" s="91" t="s">
        <v>107</v>
      </c>
      <c r="B83" s="100">
        <v>43000</v>
      </c>
      <c r="C83" s="14">
        <v>8000</v>
      </c>
      <c r="D83" s="92"/>
      <c r="E83" s="92"/>
      <c r="G83" s="2"/>
      <c r="H83" s="91" t="s">
        <v>107</v>
      </c>
      <c r="I83" s="100">
        <v>43000</v>
      </c>
      <c r="J83" s="14"/>
      <c r="K83" s="92"/>
      <c r="L83" s="92"/>
      <c r="O83" s="91" t="s">
        <v>107</v>
      </c>
      <c r="P83" s="100">
        <v>43000</v>
      </c>
      <c r="Q83" s="14"/>
      <c r="R83" s="92"/>
      <c r="S83" s="92"/>
    </row>
    <row r="84" spans="1:19" ht="12.75" x14ac:dyDescent="0.2">
      <c r="A84" s="88" t="s">
        <v>108</v>
      </c>
      <c r="B84" s="107">
        <f>B82+B80+B70+B64+B66+B68+B63</f>
        <v>7980000</v>
      </c>
      <c r="C84" s="107">
        <f>C82+C80+C70+C64+C66+C68</f>
        <v>1163000</v>
      </c>
      <c r="D84" s="92"/>
      <c r="E84" s="92"/>
      <c r="H84" s="88" t="s">
        <v>108</v>
      </c>
      <c r="I84" s="107">
        <f>I82+I80+I70+I64+I66+I68+I63</f>
        <v>15589880</v>
      </c>
      <c r="J84" s="108"/>
      <c r="K84" s="92"/>
      <c r="L84" s="92"/>
      <c r="O84" s="88" t="s">
        <v>108</v>
      </c>
      <c r="P84" s="107">
        <f>P82+P80+P70+P64+P66+P68+P63</f>
        <v>30390640</v>
      </c>
      <c r="Q84" s="108"/>
      <c r="R84" s="92"/>
      <c r="S84" s="92"/>
    </row>
    <row r="85" spans="1:19" ht="12.75" x14ac:dyDescent="0.2">
      <c r="A85" s="91" t="s">
        <v>109</v>
      </c>
      <c r="B85" s="107">
        <v>1192000</v>
      </c>
      <c r="C85" s="107">
        <v>467000</v>
      </c>
      <c r="D85" s="92"/>
      <c r="E85" s="92"/>
      <c r="G85" s="2"/>
      <c r="H85" s="91" t="s">
        <v>109</v>
      </c>
      <c r="I85" s="107">
        <f>I71-I83+I77</f>
        <v>2746120</v>
      </c>
      <c r="J85" s="108"/>
      <c r="K85" s="92"/>
      <c r="L85" s="92"/>
      <c r="O85" s="91" t="s">
        <v>109</v>
      </c>
      <c r="P85" s="107">
        <f>P71-P83+P77</f>
        <v>6273360</v>
      </c>
      <c r="Q85" s="108"/>
      <c r="R85" s="92"/>
      <c r="S85" s="92"/>
    </row>
    <row r="86" spans="1:19" ht="12.75" x14ac:dyDescent="0.2">
      <c r="A86" s="91" t="s">
        <v>110</v>
      </c>
      <c r="B86" s="100">
        <v>293000</v>
      </c>
      <c r="C86" s="100">
        <v>106000</v>
      </c>
      <c r="D86" s="104">
        <f t="shared" ref="D86:E86" si="37">B86/B85</f>
        <v>0.24580536912751677</v>
      </c>
      <c r="E86" s="104">
        <f t="shared" si="37"/>
        <v>0.22698072805139186</v>
      </c>
      <c r="G86" s="2"/>
      <c r="H86" s="91" t="s">
        <v>110</v>
      </c>
      <c r="I86" s="99">
        <f>I85*J86</f>
        <v>686530</v>
      </c>
      <c r="J86" s="109">
        <v>0.25</v>
      </c>
      <c r="L86" s="104"/>
      <c r="O86" s="91" t="s">
        <v>110</v>
      </c>
      <c r="P86" s="99">
        <f>P85*Q86</f>
        <v>1568340</v>
      </c>
      <c r="Q86" s="109">
        <v>0.25</v>
      </c>
      <c r="S86" s="104"/>
    </row>
    <row r="87" spans="1:19" ht="12.75" x14ac:dyDescent="0.2">
      <c r="A87" s="91" t="s">
        <v>111</v>
      </c>
      <c r="B87" s="14">
        <v>899000</v>
      </c>
      <c r="C87" s="14">
        <v>362000</v>
      </c>
      <c r="D87" s="92"/>
      <c r="E87" s="92"/>
      <c r="G87" s="2"/>
      <c r="H87" s="91" t="s">
        <v>111</v>
      </c>
      <c r="I87" s="14">
        <f>I85-I86</f>
        <v>2059590</v>
      </c>
      <c r="J87" s="14"/>
      <c r="K87" s="92"/>
      <c r="L87" s="92"/>
      <c r="O87" s="91" t="s">
        <v>111</v>
      </c>
      <c r="P87" s="14">
        <f>P85-P86</f>
        <v>4705020</v>
      </c>
      <c r="Q87" s="14"/>
      <c r="R87" s="92"/>
      <c r="S87" s="92"/>
    </row>
    <row r="88" spans="1:19" ht="12.75" x14ac:dyDescent="0.2">
      <c r="A88" s="91" t="s">
        <v>112</v>
      </c>
      <c r="B88" s="14">
        <v>0</v>
      </c>
      <c r="C88" s="14">
        <v>0</v>
      </c>
      <c r="D88" s="92"/>
      <c r="E88" s="92"/>
      <c r="G88" s="2"/>
      <c r="H88" s="91" t="s">
        <v>112</v>
      </c>
      <c r="I88" s="14">
        <v>0</v>
      </c>
      <c r="J88" s="14"/>
      <c r="K88" s="92"/>
      <c r="L88" s="92"/>
      <c r="O88" s="91" t="s">
        <v>112</v>
      </c>
      <c r="P88" s="14">
        <v>0</v>
      </c>
      <c r="Q88" s="14"/>
      <c r="R88" s="92"/>
      <c r="S88" s="92"/>
    </row>
    <row r="89" spans="1:19" ht="12.75" x14ac:dyDescent="0.2">
      <c r="A89" s="91" t="s">
        <v>113</v>
      </c>
      <c r="B89" s="14">
        <v>0</v>
      </c>
      <c r="C89" s="14">
        <v>0</v>
      </c>
      <c r="D89" s="92"/>
      <c r="E89" s="92"/>
      <c r="G89" s="2"/>
      <c r="H89" s="91" t="s">
        <v>113</v>
      </c>
      <c r="I89" s="14">
        <v>0</v>
      </c>
      <c r="J89" s="14"/>
      <c r="K89" s="92"/>
      <c r="L89" s="92"/>
      <c r="O89" s="91" t="s">
        <v>113</v>
      </c>
      <c r="P89" s="14">
        <v>0</v>
      </c>
      <c r="Q89" s="14"/>
      <c r="R89" s="92"/>
      <c r="S89" s="92"/>
    </row>
    <row r="90" spans="1:19" ht="12.75" x14ac:dyDescent="0.2">
      <c r="A90" s="91" t="s">
        <v>114</v>
      </c>
      <c r="B90" s="14">
        <v>0</v>
      </c>
      <c r="C90" s="14">
        <v>0</v>
      </c>
      <c r="D90" s="92"/>
      <c r="E90" s="92"/>
      <c r="G90" s="2"/>
      <c r="H90" s="91" t="s">
        <v>114</v>
      </c>
      <c r="I90" s="14">
        <v>0</v>
      </c>
      <c r="J90" s="14"/>
      <c r="K90" s="92"/>
      <c r="L90" s="92"/>
      <c r="O90" s="91" t="s">
        <v>114</v>
      </c>
      <c r="P90" s="14">
        <v>0</v>
      </c>
      <c r="Q90" s="14"/>
      <c r="R90" s="92"/>
      <c r="S90" s="92"/>
    </row>
    <row r="91" spans="1:19" ht="12.75" x14ac:dyDescent="0.2">
      <c r="A91" s="91" t="s">
        <v>77</v>
      </c>
      <c r="B91" s="106">
        <v>899000</v>
      </c>
      <c r="C91" s="106">
        <v>362000</v>
      </c>
      <c r="D91" s="92"/>
      <c r="E91" s="92"/>
      <c r="F91" s="110"/>
      <c r="G91" s="110"/>
      <c r="H91" s="91" t="s">
        <v>77</v>
      </c>
      <c r="I91" s="106">
        <f>I87+I88-I89-I90</f>
        <v>2059590</v>
      </c>
      <c r="J91" s="14"/>
      <c r="K91" s="92"/>
      <c r="L91" s="92"/>
      <c r="O91" s="91" t="s">
        <v>77</v>
      </c>
      <c r="P91" s="106">
        <f>P87+P88-P89-P90</f>
        <v>4705020</v>
      </c>
      <c r="Q91" s="14"/>
      <c r="R91" s="92"/>
      <c r="S91" s="92"/>
    </row>
    <row r="92" spans="1:19" ht="12.75" x14ac:dyDescent="0.2">
      <c r="A92" s="91" t="s">
        <v>115</v>
      </c>
      <c r="B92" s="100">
        <v>1000000</v>
      </c>
      <c r="C92" s="14">
        <v>0</v>
      </c>
      <c r="D92" s="92"/>
      <c r="E92" s="92"/>
      <c r="H92" s="91" t="s">
        <v>115</v>
      </c>
      <c r="I92" s="100">
        <v>1000000</v>
      </c>
      <c r="J92" s="14"/>
      <c r="K92" s="92"/>
      <c r="L92" s="92"/>
      <c r="O92" s="91" t="s">
        <v>115</v>
      </c>
      <c r="P92" s="100">
        <v>1000000</v>
      </c>
      <c r="Q92" s="14"/>
      <c r="R92" s="92"/>
      <c r="S92" s="92"/>
    </row>
    <row r="93" spans="1:19" ht="12.75" x14ac:dyDescent="0.2">
      <c r="A93" s="91" t="s">
        <v>116</v>
      </c>
      <c r="B93" s="14">
        <v>0</v>
      </c>
      <c r="C93" s="14">
        <v>0</v>
      </c>
      <c r="D93" s="92"/>
      <c r="E93" s="92"/>
      <c r="G93" s="3"/>
      <c r="H93" s="91" t="s">
        <v>116</v>
      </c>
      <c r="I93" s="14">
        <v>0</v>
      </c>
      <c r="J93" s="14"/>
      <c r="K93" s="92"/>
      <c r="L93" s="92"/>
      <c r="O93" s="91" t="s">
        <v>116</v>
      </c>
      <c r="P93" s="14">
        <v>0</v>
      </c>
      <c r="Q93" s="14"/>
      <c r="R93" s="92"/>
      <c r="S93" s="92"/>
    </row>
    <row r="94" spans="1:19" ht="12.75" x14ac:dyDescent="0.2">
      <c r="A94" s="91" t="s">
        <v>117</v>
      </c>
      <c r="B94" s="14">
        <v>0</v>
      </c>
      <c r="C94" s="14">
        <v>0</v>
      </c>
      <c r="D94" s="92"/>
      <c r="E94" s="92"/>
      <c r="G94" s="3"/>
      <c r="H94" s="91" t="s">
        <v>117</v>
      </c>
      <c r="I94" s="14">
        <v>0</v>
      </c>
      <c r="J94" s="14"/>
      <c r="K94" s="92"/>
      <c r="L94" s="92"/>
      <c r="O94" s="91" t="s">
        <v>117</v>
      </c>
      <c r="P94" s="14">
        <v>0</v>
      </c>
      <c r="Q94" s="14"/>
      <c r="R94" s="92"/>
      <c r="S94" s="92"/>
    </row>
    <row r="95" spans="1:19" ht="12.75" x14ac:dyDescent="0.2">
      <c r="A95" s="91" t="s">
        <v>118</v>
      </c>
      <c r="B95" s="100">
        <v>1000000</v>
      </c>
      <c r="C95" s="100">
        <v>0</v>
      </c>
      <c r="D95" s="92"/>
      <c r="E95" s="92"/>
      <c r="G95" s="3"/>
      <c r="H95" s="91" t="s">
        <v>118</v>
      </c>
      <c r="I95" s="100">
        <v>1000000</v>
      </c>
      <c r="J95" s="100"/>
      <c r="K95" s="92"/>
      <c r="L95" s="92"/>
      <c r="O95" s="91" t="s">
        <v>118</v>
      </c>
      <c r="P95" s="100">
        <v>1000000</v>
      </c>
      <c r="Q95" s="100"/>
      <c r="R95" s="92"/>
      <c r="S95" s="92"/>
    </row>
    <row r="96" spans="1:19" ht="12.75" x14ac:dyDescent="0.2">
      <c r="A96" s="91" t="s">
        <v>119</v>
      </c>
      <c r="B96" s="14">
        <v>0</v>
      </c>
      <c r="C96" s="14">
        <v>0</v>
      </c>
      <c r="D96" s="92"/>
      <c r="E96" s="92"/>
      <c r="G96" s="3"/>
      <c r="H96" s="91" t="s">
        <v>119</v>
      </c>
      <c r="I96" s="14">
        <v>0</v>
      </c>
      <c r="J96" s="14"/>
      <c r="K96" s="92"/>
      <c r="L96" s="92"/>
      <c r="O96" s="91" t="s">
        <v>119</v>
      </c>
      <c r="P96" s="14">
        <v>0</v>
      </c>
      <c r="Q96" s="14"/>
      <c r="R96" s="92"/>
      <c r="S96" s="92"/>
    </row>
    <row r="97" spans="1:24" ht="12.75" x14ac:dyDescent="0.2">
      <c r="B97" s="11"/>
      <c r="C97" s="11"/>
      <c r="D97" s="11"/>
      <c r="E97" s="11"/>
      <c r="G97" s="3"/>
    </row>
    <row r="98" spans="1:24" ht="12.75" x14ac:dyDescent="0.2">
      <c r="B98" s="11"/>
      <c r="C98" s="11"/>
      <c r="D98" s="11"/>
      <c r="E98" s="11"/>
      <c r="G98" s="3"/>
    </row>
    <row r="99" spans="1:24" ht="15" x14ac:dyDescent="0.25">
      <c r="B99" s="11"/>
      <c r="C99" s="11"/>
      <c r="D99" s="95"/>
      <c r="E99" s="9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5" x14ac:dyDescent="0.25">
      <c r="A100" s="5"/>
      <c r="B100" s="140" t="s">
        <v>120</v>
      </c>
      <c r="C100" s="138"/>
      <c r="D100" s="141"/>
      <c r="E100" s="138"/>
      <c r="F100" s="95"/>
      <c r="G100" s="5"/>
      <c r="H100" s="142" t="s">
        <v>121</v>
      </c>
      <c r="I100" s="138"/>
      <c r="J100" s="138"/>
      <c r="K100" s="138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5" x14ac:dyDescent="0.25">
      <c r="A101" s="111" t="s">
        <v>79</v>
      </c>
      <c r="B101" s="112" t="s">
        <v>80</v>
      </c>
      <c r="C101" s="112"/>
      <c r="D101" s="113"/>
      <c r="E101" s="113"/>
      <c r="F101" s="5"/>
      <c r="G101" s="5"/>
      <c r="H101" s="5"/>
      <c r="I101" s="114" t="s">
        <v>122</v>
      </c>
      <c r="J101" s="115" t="s">
        <v>123</v>
      </c>
      <c r="K101" s="115" t="s">
        <v>64</v>
      </c>
      <c r="L101" s="114" t="s">
        <v>124</v>
      </c>
      <c r="M101" s="114" t="s">
        <v>124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5" x14ac:dyDescent="0.25">
      <c r="A102" s="91" t="s">
        <v>82</v>
      </c>
      <c r="B102" s="14">
        <v>18328000</v>
      </c>
      <c r="C102" s="14">
        <v>2</v>
      </c>
      <c r="D102" s="116"/>
      <c r="E102" s="116"/>
      <c r="F102" s="5"/>
      <c r="G102" s="5"/>
      <c r="H102" s="117" t="s">
        <v>125</v>
      </c>
      <c r="I102" s="118">
        <v>1</v>
      </c>
      <c r="J102" s="118">
        <v>8</v>
      </c>
      <c r="K102" s="118">
        <v>230</v>
      </c>
      <c r="L102" s="119">
        <f t="shared" ref="L102:M102" si="38">L103</f>
        <v>15</v>
      </c>
      <c r="M102" s="119">
        <f t="shared" si="38"/>
        <v>15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5" x14ac:dyDescent="0.25">
      <c r="A103" s="91" t="s">
        <v>83</v>
      </c>
      <c r="B103" s="14">
        <v>0</v>
      </c>
      <c r="C103" s="93">
        <v>0.02</v>
      </c>
      <c r="D103" s="116"/>
      <c r="E103" s="116"/>
      <c r="F103" s="5"/>
      <c r="G103" s="5"/>
      <c r="H103" s="120" t="s">
        <v>126</v>
      </c>
      <c r="I103" s="121">
        <f t="shared" ref="I103:M103" si="39">$B$36</f>
        <v>15</v>
      </c>
      <c r="J103" s="121">
        <f t="shared" si="39"/>
        <v>15</v>
      </c>
      <c r="K103" s="121">
        <f t="shared" si="39"/>
        <v>15</v>
      </c>
      <c r="L103" s="121">
        <f t="shared" si="39"/>
        <v>15</v>
      </c>
      <c r="M103" s="121">
        <f t="shared" si="39"/>
        <v>15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5" x14ac:dyDescent="0.25">
      <c r="A104" s="91" t="s">
        <v>84</v>
      </c>
      <c r="B104" s="11">
        <v>24437333.333333332</v>
      </c>
      <c r="C104" s="96"/>
      <c r="D104" s="116"/>
      <c r="E104" s="122"/>
      <c r="F104" s="5"/>
      <c r="G104" s="5"/>
      <c r="H104" s="120" t="s">
        <v>127</v>
      </c>
      <c r="I104" s="123">
        <v>2443.7399999999998</v>
      </c>
      <c r="J104" s="123">
        <v>2443.7399999999998</v>
      </c>
      <c r="K104" s="123">
        <v>2443.7399999999998</v>
      </c>
      <c r="L104" s="123">
        <v>2443.7399999999998</v>
      </c>
      <c r="M104" s="123">
        <v>2443.7399999999998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5" x14ac:dyDescent="0.25">
      <c r="A105" s="91" t="s">
        <v>85</v>
      </c>
      <c r="B105" s="97">
        <v>18328000</v>
      </c>
      <c r="C105" s="97"/>
      <c r="D105" s="116"/>
      <c r="E105" s="122"/>
      <c r="F105" s="5"/>
      <c r="G105" s="5"/>
      <c r="H105" s="117" t="s">
        <v>128</v>
      </c>
      <c r="I105" s="118">
        <v>5000</v>
      </c>
      <c r="J105" s="118">
        <v>5000</v>
      </c>
      <c r="K105" s="118">
        <v>5000</v>
      </c>
      <c r="L105" s="118">
        <v>5000</v>
      </c>
      <c r="M105" s="118">
        <v>5000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5" x14ac:dyDescent="0.25">
      <c r="A106" s="88" t="s">
        <v>86</v>
      </c>
      <c r="B106" s="98">
        <v>1000</v>
      </c>
      <c r="C106" s="99"/>
      <c r="D106" s="116"/>
      <c r="E106" s="122"/>
      <c r="F106" s="5"/>
      <c r="G106" s="5"/>
      <c r="H106" s="124" t="s">
        <v>84</v>
      </c>
      <c r="I106" s="102">
        <f>B61</f>
        <v>12218666.666666666</v>
      </c>
      <c r="J106" s="102">
        <f t="shared" ref="J106:K106" si="40">$I106/J$102</f>
        <v>1527333.3333333333</v>
      </c>
      <c r="K106" s="102">
        <f t="shared" si="40"/>
        <v>53124.637681159416</v>
      </c>
      <c r="L106" s="102">
        <f t="shared" ref="L106:M106" si="41">$I106/L$103</f>
        <v>814577.77777777775</v>
      </c>
      <c r="M106" s="125">
        <f t="shared" si="41"/>
        <v>814577.77777777775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5" x14ac:dyDescent="0.25">
      <c r="A107" s="91" t="s">
        <v>87</v>
      </c>
      <c r="B107" s="100">
        <v>12000</v>
      </c>
      <c r="C107" s="100"/>
      <c r="D107" s="116"/>
      <c r="E107" s="122"/>
      <c r="F107" s="5"/>
      <c r="G107" s="5"/>
      <c r="H107" s="126" t="s">
        <v>53</v>
      </c>
      <c r="I107" s="125">
        <f>I106-I108</f>
        <v>3054666.666666666</v>
      </c>
      <c r="J107" s="125">
        <f t="shared" ref="J107:K107" si="42">$I107/J$102</f>
        <v>381833.33333333326</v>
      </c>
      <c r="K107" s="125">
        <f t="shared" si="42"/>
        <v>13281.159420289852</v>
      </c>
      <c r="L107" s="125">
        <f t="shared" ref="L107:M107" si="43">$I107/L$103</f>
        <v>203644.44444444441</v>
      </c>
      <c r="M107" s="125">
        <f t="shared" si="43"/>
        <v>203644.44444444441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5" x14ac:dyDescent="0.25">
      <c r="A108" s="91" t="s">
        <v>129</v>
      </c>
      <c r="B108" s="100">
        <f>38860*12</f>
        <v>466320</v>
      </c>
      <c r="C108" s="14"/>
      <c r="D108" s="116"/>
      <c r="E108" s="116"/>
      <c r="F108" s="5"/>
      <c r="G108" s="5"/>
      <c r="H108" s="127" t="s">
        <v>130</v>
      </c>
      <c r="I108" s="125">
        <f>B62</f>
        <v>9164000</v>
      </c>
      <c r="J108" s="125">
        <f t="shared" ref="J108:K108" si="44">$I108/J$102</f>
        <v>1145500</v>
      </c>
      <c r="K108" s="125">
        <f t="shared" si="44"/>
        <v>39843.478260869568</v>
      </c>
      <c r="L108" s="125">
        <f t="shared" ref="L108:M108" si="45">$I108/L$103</f>
        <v>610933.33333333337</v>
      </c>
      <c r="M108" s="128">
        <f t="shared" si="45"/>
        <v>610933.33333333337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" x14ac:dyDescent="0.25">
      <c r="A109" s="91" t="s">
        <v>88</v>
      </c>
      <c r="B109" s="14">
        <v>0</v>
      </c>
      <c r="C109" s="14"/>
      <c r="D109" s="116"/>
      <c r="E109" s="116"/>
      <c r="F109" s="5"/>
      <c r="G109" s="5"/>
      <c r="H109" s="129" t="s">
        <v>131</v>
      </c>
      <c r="I109" s="128">
        <f>($B$63+$B$64+$B$68+$B$70+$B$83)/I$102</f>
        <v>2151000</v>
      </c>
      <c r="J109" s="128">
        <f t="shared" ref="J109:M109" si="46">($I$63+$I$64+$I$68+$I$70+$I$83)/J$102</f>
        <v>491485</v>
      </c>
      <c r="K109" s="128">
        <f t="shared" si="46"/>
        <v>17095.130434782608</v>
      </c>
      <c r="L109" s="128">
        <f t="shared" si="46"/>
        <v>262125.33333333334</v>
      </c>
      <c r="M109" s="128">
        <f t="shared" si="46"/>
        <v>262125.33333333334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5" x14ac:dyDescent="0.25">
      <c r="A110" s="91" t="s">
        <v>89</v>
      </c>
      <c r="B110" s="100">
        <v>11658000</v>
      </c>
      <c r="C110" s="100"/>
      <c r="D110" s="116"/>
      <c r="E110" s="116"/>
      <c r="F110" s="5"/>
      <c r="G110" s="5"/>
      <c r="H110" s="130" t="s">
        <v>132</v>
      </c>
      <c r="I110" s="131">
        <f t="shared" ref="I110:L110" si="47">I106-I109-I111</f>
        <v>9067666.666666666</v>
      </c>
      <c r="J110" s="131">
        <f t="shared" si="47"/>
        <v>910848.33333333326</v>
      </c>
      <c r="K110" s="131">
        <f t="shared" si="47"/>
        <v>31681.681159420288</v>
      </c>
      <c r="L110" s="131">
        <f t="shared" si="47"/>
        <v>485785.77777777769</v>
      </c>
      <c r="M110" s="131">
        <f>M108-M109-M111</f>
        <v>282141.33333333331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5" x14ac:dyDescent="0.25">
      <c r="A111" s="91" t="s">
        <v>90</v>
      </c>
      <c r="B111" s="14">
        <v>9724000</v>
      </c>
      <c r="C111" s="14"/>
      <c r="D111" s="132"/>
      <c r="E111" s="132"/>
      <c r="F111" s="5"/>
      <c r="G111" s="5"/>
      <c r="H111" s="133" t="s">
        <v>133</v>
      </c>
      <c r="I111" s="134">
        <f t="shared" ref="I111:M111" si="48">$I$92/I$102</f>
        <v>1000000</v>
      </c>
      <c r="J111" s="134">
        <f t="shared" si="48"/>
        <v>125000</v>
      </c>
      <c r="K111" s="134">
        <f t="shared" si="48"/>
        <v>4347.826086956522</v>
      </c>
      <c r="L111" s="134">
        <f t="shared" si="48"/>
        <v>66666.666666666672</v>
      </c>
      <c r="M111" s="134">
        <f t="shared" si="48"/>
        <v>66666.666666666672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5" x14ac:dyDescent="0.25">
      <c r="A112" s="91" t="s">
        <v>91</v>
      </c>
      <c r="B112" s="100">
        <v>27000</v>
      </c>
      <c r="C112" s="100"/>
      <c r="D112" s="116"/>
      <c r="E112" s="116"/>
      <c r="F112" s="5"/>
      <c r="G112" s="5"/>
      <c r="H112" s="126" t="s">
        <v>134</v>
      </c>
      <c r="I112" s="125">
        <f t="shared" ref="I112:M112" si="49">($B$63+$B$66+$B$64+$B$70+$B$83+$B$95)/I$102</f>
        <v>8953000</v>
      </c>
      <c r="J112" s="125">
        <f t="shared" si="49"/>
        <v>1119125</v>
      </c>
      <c r="K112" s="125">
        <f t="shared" si="49"/>
        <v>38926.086956521736</v>
      </c>
      <c r="L112" s="125">
        <f t="shared" si="49"/>
        <v>596866.66666666663</v>
      </c>
      <c r="M112" s="125">
        <f t="shared" si="49"/>
        <v>596866.66666666663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5" x14ac:dyDescent="0.25">
      <c r="A113" s="91" t="s">
        <v>92</v>
      </c>
      <c r="B113" s="14">
        <v>0</v>
      </c>
      <c r="C113" s="14"/>
      <c r="D113" s="116"/>
      <c r="E113" s="116"/>
      <c r="F113" s="5"/>
      <c r="G113" s="5"/>
      <c r="H113" s="130" t="s">
        <v>135</v>
      </c>
      <c r="I113" s="131">
        <f t="shared" ref="I113:M113" si="50">I110-I111</f>
        <v>8067666.666666666</v>
      </c>
      <c r="J113" s="131">
        <f t="shared" si="50"/>
        <v>785848.33333333326</v>
      </c>
      <c r="K113" s="131">
        <f t="shared" si="50"/>
        <v>27333.855072463768</v>
      </c>
      <c r="L113" s="131">
        <f t="shared" si="50"/>
        <v>419119.11111111101</v>
      </c>
      <c r="M113" s="131">
        <f t="shared" si="50"/>
        <v>215474.66666666663</v>
      </c>
      <c r="N113" s="1" t="s">
        <v>136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" x14ac:dyDescent="0.25">
      <c r="A114" s="91" t="s">
        <v>93</v>
      </c>
      <c r="B114" s="100">
        <v>3848880</v>
      </c>
      <c r="C114" s="99">
        <v>0.21</v>
      </c>
      <c r="D114" s="116"/>
      <c r="E114" s="116"/>
      <c r="F114" s="5"/>
      <c r="G114" s="5"/>
      <c r="L114" s="128">
        <f t="shared" ref="L114:M114" si="51">L113/12</f>
        <v>34926.592592592584</v>
      </c>
      <c r="M114" s="128">
        <f t="shared" si="51"/>
        <v>17956.222222222219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5" x14ac:dyDescent="0.25">
      <c r="A115" s="91" t="s">
        <v>94</v>
      </c>
      <c r="B115" s="107">
        <f>2781120-B108</f>
        <v>2314800</v>
      </c>
      <c r="C115" s="14"/>
      <c r="D115" s="116"/>
      <c r="E115" s="116"/>
      <c r="F115" s="5"/>
      <c r="G115" s="5"/>
      <c r="H115" s="135"/>
      <c r="I115" s="5"/>
      <c r="J115" s="1"/>
      <c r="K115" s="5"/>
      <c r="L115" s="128">
        <f t="shared" ref="L115:M115" si="52">L113/230</f>
        <v>1822.2570048309174</v>
      </c>
      <c r="M115" s="128">
        <f t="shared" si="52"/>
        <v>936.84637681159404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5" x14ac:dyDescent="0.25">
      <c r="A116" s="91" t="s">
        <v>95</v>
      </c>
      <c r="B116" s="14">
        <v>0</v>
      </c>
      <c r="C116" s="14"/>
      <c r="D116" s="116"/>
      <c r="E116" s="116"/>
      <c r="F116" s="5"/>
      <c r="G116" s="5"/>
      <c r="H116" s="135"/>
      <c r="I116" s="5"/>
      <c r="J116" s="1"/>
      <c r="K116" s="5"/>
      <c r="L116" s="128">
        <f t="shared" ref="L116:M116" si="53">L115/8</f>
        <v>227.78212560386467</v>
      </c>
      <c r="M116" s="128">
        <f t="shared" si="53"/>
        <v>117.10579710144926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5" x14ac:dyDescent="0.25">
      <c r="A117" s="91" t="s">
        <v>96</v>
      </c>
      <c r="B117" s="14">
        <v>0</v>
      </c>
      <c r="C117" s="14"/>
      <c r="D117" s="116"/>
      <c r="E117" s="116"/>
      <c r="F117" s="5"/>
      <c r="G117" s="5"/>
      <c r="H117" s="13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5" x14ac:dyDescent="0.25">
      <c r="A118" s="91" t="s">
        <v>97</v>
      </c>
      <c r="B118" s="97">
        <v>8000</v>
      </c>
      <c r="C118" s="14"/>
      <c r="D118" s="116"/>
      <c r="E118" s="116"/>
      <c r="F118" s="5"/>
      <c r="G118" s="5"/>
      <c r="H118" s="13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5" x14ac:dyDescent="0.25">
      <c r="A119" s="91" t="s">
        <v>98</v>
      </c>
      <c r="B119" s="14">
        <v>0</v>
      </c>
      <c r="C119" s="14"/>
      <c r="D119" s="116"/>
      <c r="E119" s="116"/>
      <c r="F119" s="5"/>
      <c r="G119" s="5"/>
      <c r="H119" s="13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5" x14ac:dyDescent="0.25">
      <c r="A120" s="91" t="s">
        <v>99</v>
      </c>
      <c r="B120" s="14">
        <v>0</v>
      </c>
      <c r="C120" s="14"/>
      <c r="D120" s="116"/>
      <c r="E120" s="116"/>
      <c r="F120" s="5"/>
      <c r="G120" s="5"/>
      <c r="H120" s="13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5" x14ac:dyDescent="0.25">
      <c r="A121" s="91" t="s">
        <v>100</v>
      </c>
      <c r="B121" s="97">
        <v>8000</v>
      </c>
      <c r="C121" s="97"/>
      <c r="D121" s="116"/>
      <c r="E121" s="116"/>
      <c r="F121" s="5"/>
      <c r="G121" s="5"/>
      <c r="H121" s="13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5" x14ac:dyDescent="0.25">
      <c r="A122" s="91" t="s">
        <v>102</v>
      </c>
      <c r="B122" s="14">
        <v>0</v>
      </c>
      <c r="C122" s="14"/>
      <c r="D122" s="116"/>
      <c r="E122" s="116"/>
      <c r="F122" s="5"/>
      <c r="G122" s="5"/>
      <c r="H122" s="13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5" x14ac:dyDescent="0.25">
      <c r="A123" s="88" t="s">
        <v>103</v>
      </c>
      <c r="B123" s="136">
        <v>18336000</v>
      </c>
      <c r="C123" s="108"/>
      <c r="D123" s="116"/>
      <c r="E123" s="11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5" x14ac:dyDescent="0.25">
      <c r="A124" s="91" t="s">
        <v>104</v>
      </c>
      <c r="B124" s="100">
        <v>41000</v>
      </c>
      <c r="C124" s="100"/>
      <c r="D124" s="116"/>
      <c r="E124" s="11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5" x14ac:dyDescent="0.25">
      <c r="A125" s="91" t="s">
        <v>105</v>
      </c>
      <c r="B125" s="100">
        <v>2000</v>
      </c>
      <c r="C125" s="14"/>
      <c r="D125" s="116"/>
      <c r="E125" s="11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2.75" x14ac:dyDescent="0.2">
      <c r="A126" s="91" t="s">
        <v>106</v>
      </c>
      <c r="B126" s="100">
        <v>2000</v>
      </c>
      <c r="C126" s="100"/>
      <c r="D126" s="92"/>
      <c r="E126" s="92"/>
      <c r="F126" s="3"/>
      <c r="G126" s="3"/>
    </row>
    <row r="127" spans="1:24" ht="12.75" x14ac:dyDescent="0.2">
      <c r="A127" s="91" t="s">
        <v>107</v>
      </c>
      <c r="B127" s="100">
        <v>43000</v>
      </c>
      <c r="C127" s="14"/>
      <c r="D127" s="92"/>
      <c r="E127" s="92"/>
      <c r="F127" s="3"/>
      <c r="G127" s="3"/>
    </row>
    <row r="128" spans="1:24" ht="12.75" x14ac:dyDescent="0.2">
      <c r="A128" s="88" t="s">
        <v>108</v>
      </c>
      <c r="B128" s="136">
        <v>15589880</v>
      </c>
      <c r="C128" s="108"/>
      <c r="D128" s="92"/>
      <c r="E128" s="92"/>
      <c r="F128" s="3"/>
      <c r="G128" s="3"/>
    </row>
    <row r="129" spans="1:7" ht="12.75" x14ac:dyDescent="0.2">
      <c r="A129" s="91" t="s">
        <v>109</v>
      </c>
      <c r="B129" s="107">
        <f>B121+B115-B127</f>
        <v>2279800</v>
      </c>
      <c r="C129" s="108"/>
      <c r="D129" s="92"/>
      <c r="E129" s="92"/>
      <c r="F129" s="3"/>
      <c r="G129" s="3"/>
    </row>
    <row r="130" spans="1:7" ht="12.75" x14ac:dyDescent="0.2">
      <c r="A130" s="91" t="s">
        <v>110</v>
      </c>
      <c r="B130" s="99">
        <f>B129*C130</f>
        <v>569950</v>
      </c>
      <c r="C130" s="109">
        <v>0.25</v>
      </c>
      <c r="E130" s="104"/>
      <c r="F130" s="3"/>
      <c r="G130" s="3"/>
    </row>
    <row r="131" spans="1:7" ht="12.75" x14ac:dyDescent="0.2">
      <c r="A131" s="91" t="s">
        <v>111</v>
      </c>
      <c r="B131" s="107">
        <f>B129-B130</f>
        <v>1709850</v>
      </c>
      <c r="C131" s="14"/>
      <c r="D131" s="92"/>
      <c r="E131" s="92"/>
      <c r="F131" s="3"/>
      <c r="G131" s="3"/>
    </row>
    <row r="132" spans="1:7" ht="12.75" x14ac:dyDescent="0.2">
      <c r="A132" s="91" t="s">
        <v>112</v>
      </c>
      <c r="B132" s="14">
        <v>0</v>
      </c>
      <c r="C132" s="14"/>
      <c r="D132" s="92"/>
      <c r="E132" s="92"/>
      <c r="F132" s="3"/>
      <c r="G132" s="3"/>
    </row>
    <row r="133" spans="1:7" ht="12.75" x14ac:dyDescent="0.2">
      <c r="A133" s="91" t="s">
        <v>113</v>
      </c>
      <c r="B133" s="14">
        <v>0</v>
      </c>
      <c r="C133" s="14"/>
      <c r="D133" s="92"/>
      <c r="E133" s="92"/>
      <c r="F133" s="3"/>
      <c r="G133" s="3"/>
    </row>
    <row r="134" spans="1:7" ht="12.75" x14ac:dyDescent="0.2">
      <c r="A134" s="91" t="s">
        <v>114</v>
      </c>
      <c r="B134" s="14">
        <v>0</v>
      </c>
      <c r="C134" s="14"/>
      <c r="D134" s="92"/>
      <c r="E134" s="92"/>
      <c r="F134" s="3"/>
      <c r="G134" s="3"/>
    </row>
    <row r="135" spans="1:7" ht="12.75" x14ac:dyDescent="0.2">
      <c r="A135" s="91" t="s">
        <v>77</v>
      </c>
      <c r="B135" s="107">
        <f>B131+B132-B133-B134</f>
        <v>1709850</v>
      </c>
      <c r="C135" s="14"/>
      <c r="D135" s="92"/>
      <c r="E135" s="92"/>
    </row>
    <row r="136" spans="1:7" ht="12.75" x14ac:dyDescent="0.2">
      <c r="A136" s="91" t="s">
        <v>115</v>
      </c>
      <c r="B136" s="100">
        <v>1000000</v>
      </c>
      <c r="C136" s="14"/>
      <c r="D136" s="92"/>
      <c r="E136" s="92"/>
    </row>
    <row r="137" spans="1:7" ht="12.75" x14ac:dyDescent="0.2">
      <c r="A137" s="91" t="s">
        <v>116</v>
      </c>
      <c r="B137" s="14">
        <v>0</v>
      </c>
      <c r="C137" s="14"/>
      <c r="D137" s="92"/>
      <c r="E137" s="92"/>
    </row>
    <row r="138" spans="1:7" ht="12.75" x14ac:dyDescent="0.2">
      <c r="A138" s="91" t="s">
        <v>117</v>
      </c>
      <c r="B138" s="14">
        <v>0</v>
      </c>
      <c r="C138" s="14"/>
      <c r="D138" s="92"/>
      <c r="E138" s="92"/>
    </row>
    <row r="139" spans="1:7" ht="12.75" x14ac:dyDescent="0.2">
      <c r="A139" s="91" t="s">
        <v>118</v>
      </c>
      <c r="B139" s="100">
        <v>1000000</v>
      </c>
      <c r="C139" s="100"/>
      <c r="D139" s="92"/>
      <c r="E139" s="92"/>
    </row>
    <row r="140" spans="1:7" ht="12.75" x14ac:dyDescent="0.2">
      <c r="A140" s="91" t="s">
        <v>119</v>
      </c>
      <c r="B140" s="14">
        <v>0</v>
      </c>
      <c r="C140" s="14"/>
      <c r="D140" s="92"/>
      <c r="E140" s="92"/>
    </row>
  </sheetData>
  <mergeCells count="13">
    <mergeCell ref="D19:J19"/>
    <mergeCell ref="A43:F43"/>
    <mergeCell ref="H43:M43"/>
    <mergeCell ref="O43:T43"/>
    <mergeCell ref="B57:C57"/>
    <mergeCell ref="D57:E57"/>
    <mergeCell ref="I57:J57"/>
    <mergeCell ref="K57:L57"/>
    <mergeCell ref="P57:Q57"/>
    <mergeCell ref="R57:S57"/>
    <mergeCell ref="B100:C100"/>
    <mergeCell ref="D100:E100"/>
    <mergeCell ref="H100:K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borgerød</dc:creator>
  <cp:lastModifiedBy>Aleksander Borgerød</cp:lastModifiedBy>
  <dcterms:modified xsi:type="dcterms:W3CDTF">2022-10-09T15:05:57Z</dcterms:modified>
</cp:coreProperties>
</file>