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<sst xmlns="http://schemas.openxmlformats.org/spreadsheetml/2006/main" count="273" uniqueCount="112">
  <si>
    <t># Kostnader</t>
  </si>
  <si>
    <t># AWS</t>
  </si>
  <si>
    <t>Ukjent pr dags dato</t>
  </si>
  <si>
    <t># __________________ Vekst i Mediavest AS som skyldes ProSpector __________________</t>
  </si>
  <si>
    <t>vekst års-res</t>
  </si>
  <si>
    <t>vekst i produktivitet</t>
  </si>
  <si>
    <t>est verdi av prospector 1</t>
  </si>
  <si>
    <t>Målt i ant ansatte, basert på est innt økning delt på innt pr ansatt i dag</t>
  </si>
  <si>
    <t>est verdi av prospector 2</t>
  </si>
  <si>
    <t>Målt i ant ansatte, basert på ant ansatte ganger est ringetid %</t>
  </si>
  <si>
    <t>(avhengig om admin er inkl i ant ansatte eller ikke)</t>
  </si>
  <si>
    <t>gjsn verdi i kr</t>
  </si>
  <si>
    <t>Basert på innt uten før mva pr ansatt</t>
  </si>
  <si>
    <t>Basert på tot kostnad pr ansatt</t>
  </si>
  <si>
    <t>Basert på gjsn lønn pr ansatt</t>
  </si>
  <si>
    <t>Pris som tilbys</t>
  </si>
  <si>
    <t>Gjsn lønn for 1 ansatt, pr mnd (abbonoment)</t>
  </si>
  <si>
    <t>Engangsbeløp i første runde</t>
  </si>
  <si>
    <t>endring i resultatet etter tilbud:</t>
  </si>
  <si>
    <t>endring</t>
  </si>
  <si>
    <t xml:space="preserve">vekst i kr </t>
  </si>
  <si>
    <t>vekst i Totalrentabilitet i %</t>
  </si>
  <si>
    <t>Vekst i resultat av driften i %</t>
  </si>
  <si>
    <t>vekst i EK rentabilitet f.s i %</t>
  </si>
  <si>
    <t>est tid prospecting</t>
  </si>
  <si>
    <t>est tid ringing</t>
  </si>
  <si>
    <t># __________________ Mediavest AS _________________________________________</t>
  </si>
  <si>
    <t>pr dags dato</t>
  </si>
  <si>
    <t>variant 1</t>
  </si>
  <si>
    <t>variant 2</t>
  </si>
  <si>
    <t>aga</t>
  </si>
  <si>
    <t>alt aga. (fp)</t>
  </si>
  <si>
    <t>Totalrentabilitet i %</t>
  </si>
  <si>
    <t>aga. inkl (fp)</t>
  </si>
  <si>
    <t>(aga + aga av fp)</t>
  </si>
  <si>
    <t>Resultat av driften i %</t>
  </si>
  <si>
    <t>fp</t>
  </si>
  <si>
    <t>Egenkapitalens rentabilitet før skatt i %</t>
  </si>
  <si>
    <t>gjsn ek</t>
  </si>
  <si>
    <t>aga &amp; fp</t>
  </si>
  <si>
    <t>Likviditetsgrad</t>
  </si>
  <si>
    <t>skatt</t>
  </si>
  <si>
    <t>Egenkapitalandel i %</t>
  </si>
  <si>
    <t>mva</t>
  </si>
  <si>
    <t>Gjeldsgrad</t>
  </si>
  <si>
    <t>ansatte</t>
  </si>
  <si>
    <t>admin</t>
  </si>
  <si>
    <t>est. ringe_suksessrate</t>
  </si>
  <si>
    <t>est provisjon</t>
  </si>
  <si>
    <t>Verdivurdering av arbeid pr dags dato (50% ytelse)</t>
  </si>
  <si>
    <t>Verdivurdering av arbeid ved 100% ytelse (samme antall ansatte)</t>
  </si>
  <si>
    <t>Verdivurdering av arbeid ved 100% ytelse (økt ant ansatte)</t>
  </si>
  <si>
    <t>pr år</t>
  </si>
  <si>
    <t>pr arb. mnd</t>
  </si>
  <si>
    <t>pr arb. dag</t>
  </si>
  <si>
    <t>pr arb. time</t>
  </si>
  <si>
    <t>pr 5 år</t>
  </si>
  <si>
    <t>frekvens variabel</t>
  </si>
  <si>
    <t>gjsn_prod_pris</t>
  </si>
  <si>
    <t xml:space="preserve">ant_kontrakter </t>
  </si>
  <si>
    <t>kontrakter_pr_ansatt</t>
  </si>
  <si>
    <t>est_ant_ringt</t>
  </si>
  <si>
    <t>innt_pr_ansatt</t>
  </si>
  <si>
    <t>kost_pr_ansatt</t>
  </si>
  <si>
    <t>lønn_pr_ansatt</t>
  </si>
  <si>
    <t>arb_res_pr_ansatt</t>
  </si>
  <si>
    <t>simpel_res_pr_ansatt</t>
  </si>
  <si>
    <t>Årsresultat</t>
  </si>
  <si>
    <t>utregninger</t>
  </si>
  <si>
    <t>Periode</t>
  </si>
  <si>
    <t># 2021</t>
  </si>
  <si>
    <t># 2020</t>
  </si>
  <si>
    <t>Sum salgsinntekter</t>
  </si>
  <si>
    <t>Annen driftsinntekt</t>
  </si>
  <si>
    <t>salgs innt u/mva</t>
  </si>
  <si>
    <t>Sum driftsinntekter</t>
  </si>
  <si>
    <t>manglende kost</t>
  </si>
  <si>
    <t>Varekostnad</t>
  </si>
  <si>
    <t>Beholdningsendringer</t>
  </si>
  <si>
    <t>Lønnskostnader</t>
  </si>
  <si>
    <t>Herav kun lønn</t>
  </si>
  <si>
    <t>Ordinære avskrivninger</t>
  </si>
  <si>
    <t>Nedskrivning</t>
  </si>
  <si>
    <t>Andre driftskostnader</t>
  </si>
  <si>
    <t>Driftsresultat</t>
  </si>
  <si>
    <t>Inntekt på invest. annet foretak i sm konsern</t>
  </si>
  <si>
    <t>Inntekt på investering i datterselskap</t>
  </si>
  <si>
    <t>Sum annen renteinntekt</t>
  </si>
  <si>
    <t>Inntekt på invest. i tilknyttet selskap</t>
  </si>
  <si>
    <t>Sum annen finansinntekt</t>
  </si>
  <si>
    <t>Sum finansinntekter</t>
  </si>
  <si>
    <t>Nedskrivning fin. anleggsmidler</t>
  </si>
  <si>
    <t>total sum inntekter</t>
  </si>
  <si>
    <t>Sum annen rentekostnad</t>
  </si>
  <si>
    <t>Andre finanskostnader</t>
  </si>
  <si>
    <t>Sum annen finanskostnad</t>
  </si>
  <si>
    <t>Sum finanskostnader</t>
  </si>
  <si>
    <t>total sum kostnader</t>
  </si>
  <si>
    <t>Resultat før skatt</t>
  </si>
  <si>
    <t>Sum skatt</t>
  </si>
  <si>
    <t>Ordinært resultat</t>
  </si>
  <si>
    <t>Ekstraordinære inntekter</t>
  </si>
  <si>
    <t>Ekstraordinære kostnader</t>
  </si>
  <si>
    <t>Skatt ekstraordinært</t>
  </si>
  <si>
    <t>Ordinært utbytte</t>
  </si>
  <si>
    <t>Ekstraordinært utbytte</t>
  </si>
  <si>
    <t>Tilleggsutbytte</t>
  </si>
  <si>
    <t>Sum utbytte</t>
  </si>
  <si>
    <t>Konsernbidrag</t>
  </si>
  <si>
    <t>ÅRS REGNSKAP</t>
  </si>
  <si>
    <t>Årsresultat (ENDRING)</t>
  </si>
  <si>
    <t>ProSpector abbonoment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</si>
</sst>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## ### ### ##0.00"/>
    <numFmt numFmtId="165" formatCode="### ### ### ##0"/>
    <numFmt numFmtId="166" formatCode="### ### ### ##0.0"/>
    <numFmt numFmtId="167" formatCode="#,##0.00[$ kr]"/>
    <numFmt numFmtId="168" formatCode="### ### ### ##0.000"/>
    <numFmt numFmtId="169" formatCode="### ### ### ##0.00000"/>
  </numFmts>
  <fonts count="28">
    <font>
      <sz val="10.0"/>
      <color rgb="FF000000"/>
      <name val="Arial"/>
      <scheme val="minor"/>
    </font>
    <font>
      <sz val="11.0"/>
      <color theme="1"/>
      <name val="Consolas"/>
    </font>
    <font>
      <color theme="1"/>
      <name val="Consolas"/>
    </font>
    <font>
      <sz val="10.0"/>
      <color theme="1"/>
      <name val="Consolas"/>
    </font>
    <font>
      <sz val="10.0"/>
      <color rgb="FF7E3794"/>
      <name val="Consolas"/>
    </font>
    <font>
      <b/>
      <sz val="11.0"/>
      <color theme="1"/>
      <name val="Consolas"/>
    </font>
    <font>
      <i/>
      <color theme="1"/>
      <name val="Arial"/>
      <scheme val="minor"/>
    </font>
    <font>
      <i/>
      <sz val="11.0"/>
      <color rgb="FF666666"/>
      <name val="Consolas"/>
    </font>
    <font>
      <color theme="1"/>
      <name val="Arial"/>
      <scheme val="minor"/>
    </font>
    <font>
      <i/>
      <sz val="11.0"/>
      <color rgb="FF666666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Consolas"/>
    </font>
    <font>
      <i/>
      <color rgb="FF666666"/>
      <name val="Arial"/>
      <scheme val="minor"/>
    </font>
    <font>
      <i/>
      <color rgb="FF666666"/>
      <name val="Consolas"/>
    </font>
    <font>
      <b/>
      <i/>
      <color theme="1"/>
      <name val="Consolas"/>
    </font>
    <font>
      <b/>
      <i/>
      <color rgb="FF666666"/>
      <name val="Consolas"/>
    </font>
    <font>
      <b/>
      <i/>
      <color theme="1"/>
      <name val="Arial"/>
      <scheme val="minor"/>
    </font>
    <font>
      <b/>
      <i/>
      <color rgb="FF666666"/>
      <name val="Arial"/>
      <scheme val="minor"/>
    </font>
    <font>
      <b/>
      <color theme="1"/>
      <name val="Arial"/>
      <scheme val="minor"/>
    </font>
    <font>
      <sz val="10.0"/>
      <color rgb="FF666666"/>
      <name val="Consolas"/>
    </font>
    <font>
      <color rgb="FF666666"/>
      <name val="Arial"/>
      <scheme val="minor"/>
    </font>
    <font>
      <sz val="10.0"/>
      <color rgb="FF6A9955"/>
      <name val="Consolas"/>
    </font>
    <font>
      <i/>
      <sz val="10.0"/>
      <color rgb="FFEA4335"/>
      <name val="Consolas"/>
    </font>
    <font>
      <sz val="10.0"/>
      <color rgb="FFEA4335"/>
      <name val="Consolas"/>
    </font>
    <font>
      <sz val="10.0"/>
      <color theme="5"/>
      <name val="Consolas"/>
    </font>
    <font>
      <b/>
      <sz val="10.0"/>
      <color theme="1"/>
      <name val="Consolas"/>
    </font>
    <font>
      <b/>
      <i/>
      <sz val="10.0"/>
      <color theme="1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0" xfId="0" applyFont="1" applyNumberFormat="1"/>
    <xf borderId="0" fillId="0" fontId="4" numFmtId="164" xfId="0" applyFont="1" applyNumberFormat="1"/>
    <xf borderId="0" fillId="0" fontId="3" numFmtId="164" xfId="0" applyFont="1" applyNumberFormat="1"/>
    <xf borderId="0" fillId="0" fontId="3" numFmtId="10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Font="1" applyNumberFormat="1"/>
    <xf borderId="0" fillId="0" fontId="3" numFmtId="167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10" xfId="0" applyFont="1" applyNumberFormat="1"/>
    <xf borderId="0" fillId="2" fontId="1" numFmtId="167" xfId="0" applyFont="1" applyNumberFormat="1"/>
    <xf borderId="0" fillId="2" fontId="1" numFmtId="9" xfId="0" applyAlignment="1" applyFont="1" applyNumberForma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2" fillId="0" fontId="7" numFmtId="10" xfId="0" applyAlignment="1" applyBorder="1" applyFont="1" applyNumberFormat="1">
      <alignment readingOrder="0"/>
    </xf>
    <xf borderId="0" fillId="0" fontId="8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3" fillId="0" fontId="9" numFmtId="0" xfId="0" applyAlignment="1" applyBorder="1" applyFont="1">
      <alignment readingOrder="0"/>
    </xf>
    <xf borderId="4" fillId="0" fontId="9" numFmtId="10" xfId="0" applyBorder="1" applyFont="1" applyNumberFormat="1"/>
    <xf borderId="0" fillId="0" fontId="1" numFmtId="10" xfId="0" applyAlignment="1" applyFont="1" applyNumberFormat="1">
      <alignment readingOrder="0"/>
    </xf>
    <xf borderId="0" fillId="0" fontId="10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4" fillId="0" fontId="9" numFmtId="10" xfId="0" applyAlignment="1" applyBorder="1" applyFont="1" applyNumberFormat="1">
      <alignment readingOrder="0"/>
    </xf>
    <xf borderId="0" fillId="0" fontId="8" numFmtId="10" xfId="0" applyFont="1" applyNumberFormat="1"/>
    <xf borderId="0" fillId="0" fontId="4" numFmtId="10" xfId="0" applyFont="1" applyNumberFormat="1"/>
    <xf borderId="0" fillId="0" fontId="11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10" xfId="0" applyBorder="1" applyFont="1" applyNumberFormat="1"/>
    <xf borderId="0" fillId="0" fontId="10" numFmtId="10" xfId="0" applyFont="1" applyNumberFormat="1"/>
    <xf borderId="5" fillId="0" fontId="1" numFmtId="0" xfId="0" applyAlignment="1" applyBorder="1" applyFont="1">
      <alignment readingOrder="0"/>
    </xf>
    <xf borderId="6" fillId="0" fontId="1" numFmtId="10" xfId="0" applyAlignment="1" applyBorder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2" numFmtId="168" xfId="0" applyFont="1" applyNumberFormat="1"/>
    <xf borderId="0" fillId="3" fontId="2" numFmtId="0" xfId="0" applyAlignment="1" applyFill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7" fillId="0" fontId="12" numFmtId="164" xfId="0" applyAlignment="1" applyBorder="1" applyFont="1" applyNumberFormat="1">
      <alignment readingOrder="0"/>
    </xf>
    <xf borderId="7" fillId="0" fontId="8" numFmtId="0" xfId="0" applyAlignment="1" applyBorder="1" applyFont="1">
      <alignment readingOrder="0"/>
    </xf>
    <xf borderId="8" fillId="0" fontId="9" numFmtId="0" xfId="0" applyAlignment="1" applyBorder="1" applyFont="1">
      <alignment readingOrder="0"/>
    </xf>
    <xf borderId="8" fillId="0" fontId="13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9" fillId="0" fontId="14" numFmtId="164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8" fillId="0" fontId="2" numFmtId="164" xfId="0" applyBorder="1" applyFont="1" applyNumberFormat="1"/>
    <xf borderId="10" fillId="0" fontId="2" numFmtId="0" xfId="0" applyBorder="1" applyFont="1"/>
    <xf borderId="10" fillId="0" fontId="2" numFmtId="164" xfId="0" applyBorder="1" applyFont="1" applyNumberFormat="1"/>
    <xf borderId="0" fillId="0" fontId="15" numFmtId="164" xfId="0" applyAlignment="1" applyFont="1" applyNumberForma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righ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right" readingOrder="0"/>
    </xf>
    <xf borderId="0" fillId="0" fontId="19" numFmtId="0" xfId="0" applyAlignment="1" applyFont="1">
      <alignment horizontal="right" readingOrder="0"/>
    </xf>
    <xf borderId="0" fillId="0" fontId="20" numFmtId="164" xfId="0" applyFont="1" applyNumberFormat="1"/>
    <xf borderId="0" fillId="0" fontId="3" numFmtId="164" xfId="0" applyAlignment="1" applyFont="1" applyNumberFormat="1">
      <alignment readingOrder="0"/>
    </xf>
    <xf borderId="0" fillId="0" fontId="2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169" xfId="0" applyAlignment="1" applyFont="1" applyNumberFormat="1">
      <alignment readingOrder="0"/>
    </xf>
    <xf borderId="0" fillId="0" fontId="22" numFmtId="164" xfId="0" applyAlignment="1" applyFont="1" applyNumberFormat="1">
      <alignment readingOrder="0"/>
    </xf>
    <xf borderId="0" fillId="0" fontId="23" numFmtId="164" xfId="0" applyAlignment="1" applyFont="1" applyNumberFormat="1">
      <alignment readingOrder="0"/>
    </xf>
    <xf borderId="0" fillId="0" fontId="24" numFmtId="164" xfId="0" applyAlignment="1" applyFont="1" applyNumberFormat="1">
      <alignment readingOrder="0"/>
    </xf>
    <xf borderId="0" fillId="0" fontId="25" numFmtId="164" xfId="0" applyAlignment="1" applyFont="1" applyNumberFormat="1">
      <alignment readingOrder="0"/>
    </xf>
    <xf borderId="0" fillId="0" fontId="20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5" numFmtId="164" xfId="0" applyFont="1" applyNumberFormat="1"/>
    <xf borderId="0" fillId="0" fontId="21" numFmtId="10" xfId="0" applyFont="1" applyNumberFormat="1"/>
    <xf borderId="0" fillId="0" fontId="10" numFmtId="0" xfId="0" applyFont="1"/>
    <xf borderId="0" fillId="4" fontId="3" numFmtId="164" xfId="0" applyAlignment="1" applyFill="1" applyFont="1" applyNumberFormat="1">
      <alignment readingOrder="0"/>
    </xf>
    <xf borderId="0" fillId="4" fontId="26" numFmtId="164" xfId="0" applyAlignment="1" applyFont="1" applyNumberFormat="1">
      <alignment readingOrder="0"/>
    </xf>
    <xf borderId="0" fillId="0" fontId="26" numFmtId="164" xfId="0" applyAlignment="1" applyFont="1" applyNumberFormat="1">
      <alignment readingOrder="0"/>
    </xf>
    <xf borderId="0" fillId="0" fontId="21" numFmtId="10" xfId="0" applyAlignment="1" applyFont="1" applyNumberFormat="1">
      <alignment readingOrder="0"/>
    </xf>
    <xf borderId="0" fillId="0" fontId="8" numFmtId="164" xfId="0" applyFont="1" applyNumberFormat="1"/>
    <xf borderId="0" fillId="0" fontId="5" numFmtId="0" xfId="0" applyAlignment="1" applyFont="1">
      <alignment readingOrder="0"/>
    </xf>
    <xf borderId="0" fillId="0" fontId="2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16.88"/>
    <col customWidth="1" min="7" max="7" width="4.75"/>
    <col customWidth="1" min="8" max="8" width="21.63"/>
    <col customWidth="1" min="14" max="14" width="5.13"/>
    <col customWidth="1" min="15" max="15" width="18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1" t="s">
        <v>1</v>
      </c>
      <c r="B2" s="4" t="s">
        <v>2</v>
      </c>
      <c r="C2" s="2"/>
      <c r="D2" s="2"/>
      <c r="E2" s="2"/>
      <c r="F2" s="2"/>
      <c r="G2" s="3"/>
    </row>
    <row r="3">
      <c r="A3" s="1"/>
      <c r="B3" s="4"/>
      <c r="C3" s="2"/>
      <c r="D3" s="2"/>
      <c r="E3" s="2"/>
      <c r="F3" s="2"/>
      <c r="G3" s="3"/>
    </row>
    <row r="4">
      <c r="A4" s="5"/>
      <c r="B4" s="2"/>
      <c r="C4" s="2"/>
      <c r="D4" s="2"/>
      <c r="E4" s="2"/>
      <c r="F4" s="2"/>
      <c r="G4" s="3"/>
    </row>
    <row r="5">
      <c r="A5" s="1" t="s">
        <v>3</v>
      </c>
      <c r="B5" s="6"/>
      <c r="C5" s="4"/>
      <c r="D5" s="4"/>
      <c r="E5" s="2"/>
      <c r="F5" s="2"/>
      <c r="G5" s="3"/>
    </row>
    <row r="6">
      <c r="A6" s="7" t="s">
        <v>4</v>
      </c>
      <c r="B6" s="8"/>
      <c r="C6" s="9">
        <f> (I91-B91)/B91</f>
        <v>1.290978865</v>
      </c>
      <c r="D6" s="10"/>
      <c r="E6" s="11"/>
      <c r="F6" s="11"/>
      <c r="G6" s="8"/>
    </row>
    <row r="7">
      <c r="A7" s="7" t="s">
        <v>5</v>
      </c>
      <c r="B7" s="8"/>
      <c r="C7" s="12">
        <f>(I50-B50)/B50</f>
        <v>1</v>
      </c>
      <c r="D7" s="11"/>
      <c r="E7" s="11"/>
      <c r="F7" s="11"/>
      <c r="G7" s="8"/>
    </row>
    <row r="8">
      <c r="A8" s="7" t="s">
        <v>6</v>
      </c>
      <c r="B8" s="7">
        <v>12.0</v>
      </c>
      <c r="C8" s="13">
        <f>I61/B50*0.5</f>
        <v>15</v>
      </c>
      <c r="D8" s="14" t="s">
        <v>7</v>
      </c>
      <c r="E8" s="11"/>
      <c r="F8" s="11"/>
      <c r="G8" s="8"/>
    </row>
    <row r="9">
      <c r="A9" s="7" t="s">
        <v>8</v>
      </c>
      <c r="B9" s="7">
        <v>6.0</v>
      </c>
      <c r="C9" s="15">
        <f>B36*0.5</f>
        <v>7.5</v>
      </c>
      <c r="D9" s="14" t="s">
        <v>9</v>
      </c>
      <c r="E9" s="11"/>
      <c r="F9" s="11"/>
      <c r="G9" s="8"/>
    </row>
    <row r="10">
      <c r="A10" s="8"/>
      <c r="B10" s="8"/>
      <c r="C10" s="8"/>
      <c r="D10" s="7" t="s">
        <v>10</v>
      </c>
      <c r="E10" s="11"/>
      <c r="F10" s="11"/>
      <c r="G10" s="8"/>
    </row>
    <row r="11">
      <c r="A11" s="7" t="s">
        <v>11</v>
      </c>
      <c r="B11" s="8">
        <f>(B8+C8+B9+C9)/4</f>
        <v>10.125</v>
      </c>
      <c r="C11" s="11">
        <f t="shared" ref="C11:C13" si="1">B50*B11</f>
        <v>8247600</v>
      </c>
      <c r="D11" s="7" t="s">
        <v>12</v>
      </c>
      <c r="E11" s="11"/>
      <c r="F11" s="11"/>
      <c r="G11" s="8"/>
    </row>
    <row r="12">
      <c r="A12" s="7" t="s">
        <v>11</v>
      </c>
      <c r="B12" s="8">
        <f>(B8+C8+B9+C9)/4</f>
        <v>10.125</v>
      </c>
      <c r="C12" s="11">
        <f t="shared" si="1"/>
        <v>5386500</v>
      </c>
      <c r="D12" s="7" t="s">
        <v>13</v>
      </c>
      <c r="E12" s="11"/>
      <c r="F12" s="11"/>
      <c r="G12" s="8"/>
    </row>
    <row r="13">
      <c r="A13" s="7" t="s">
        <v>11</v>
      </c>
      <c r="B13" s="8">
        <f>(B8+C8+B9+C9)/4</f>
        <v>10.125</v>
      </c>
      <c r="C13" s="11">
        <f t="shared" si="1"/>
        <v>3934575</v>
      </c>
      <c r="D13" s="7" t="s">
        <v>14</v>
      </c>
      <c r="E13" s="11"/>
      <c r="F13" s="11"/>
      <c r="G13" s="8"/>
    </row>
    <row r="14">
      <c r="A14" s="7"/>
      <c r="B14" s="11"/>
      <c r="C14" s="11"/>
      <c r="D14" s="11"/>
      <c r="E14" s="11"/>
      <c r="F14" s="11"/>
      <c r="G14" s="8"/>
    </row>
    <row r="15">
      <c r="A15" s="7" t="s">
        <v>15</v>
      </c>
      <c r="B15" s="16">
        <v>38860.0</v>
      </c>
      <c r="C15" s="14" t="s">
        <v>16</v>
      </c>
      <c r="D15" s="11"/>
      <c r="E15" s="11"/>
      <c r="F15" s="11"/>
      <c r="G15" s="8"/>
    </row>
    <row r="16">
      <c r="A16" s="7"/>
      <c r="B16" s="17">
        <v>38000.0</v>
      </c>
      <c r="C16" s="14" t="s">
        <v>17</v>
      </c>
      <c r="D16" s="11"/>
      <c r="E16" s="11"/>
      <c r="F16" s="11"/>
      <c r="G16" s="8"/>
    </row>
    <row r="17">
      <c r="A17" s="7"/>
      <c r="B17" s="11"/>
      <c r="C17" s="11"/>
      <c r="D17" s="11"/>
      <c r="E17" s="11"/>
      <c r="F17" s="11"/>
      <c r="G17" s="8"/>
    </row>
    <row r="18">
      <c r="B18" s="11"/>
      <c r="C18" s="11"/>
      <c r="D18" s="11"/>
      <c r="E18" s="11"/>
      <c r="F18" s="11"/>
      <c r="G18" s="8"/>
    </row>
    <row r="19">
      <c r="A19" s="18" t="s">
        <v>18</v>
      </c>
      <c r="B19" s="19" t="s">
        <v>19</v>
      </c>
      <c r="D19" s="11"/>
      <c r="E19" s="11"/>
      <c r="F19" s="11"/>
      <c r="G19" s="8"/>
    </row>
    <row r="20">
      <c r="A20" s="20" t="s">
        <v>4</v>
      </c>
      <c r="B20" s="21">
        <f> (B154-B91)/B91</f>
        <v>0.9019466073</v>
      </c>
      <c r="D20" s="2"/>
      <c r="E20" s="2"/>
      <c r="F20" s="2"/>
      <c r="G20" s="3"/>
    </row>
    <row r="21">
      <c r="A21" s="20" t="s">
        <v>20</v>
      </c>
      <c r="B21" s="22">
        <f>B20*B91</f>
        <v>810850</v>
      </c>
      <c r="D21" s="2"/>
      <c r="E21" s="2"/>
      <c r="F21" s="2"/>
      <c r="G21" s="3"/>
    </row>
    <row r="22">
      <c r="A22" s="20" t="s">
        <v>21</v>
      </c>
      <c r="B22" s="21">
        <f t="shared" ref="B22:B24" si="2">C30-B30</f>
        <v>0.6277800202</v>
      </c>
      <c r="D22" s="2"/>
      <c r="E22" s="2"/>
      <c r="F22" s="2"/>
      <c r="G22" s="3"/>
    </row>
    <row r="23">
      <c r="A23" s="20" t="s">
        <v>22</v>
      </c>
      <c r="B23" s="21">
        <f t="shared" si="2"/>
        <v>0.01774159756</v>
      </c>
      <c r="D23" s="2"/>
      <c r="E23" s="2"/>
      <c r="F23" s="2"/>
      <c r="G23" s="3"/>
    </row>
    <row r="24">
      <c r="A24" s="20" t="s">
        <v>23</v>
      </c>
      <c r="B24" s="21">
        <f t="shared" si="2"/>
        <v>4.632250373</v>
      </c>
      <c r="D24" s="2"/>
      <c r="E24" s="2"/>
      <c r="F24" s="2"/>
      <c r="G24" s="3"/>
    </row>
    <row r="25">
      <c r="A25" s="20" t="s">
        <v>24</v>
      </c>
      <c r="B25" s="23">
        <v>-0.5</v>
      </c>
      <c r="D25" s="2"/>
      <c r="E25" s="2"/>
      <c r="F25" s="2"/>
      <c r="G25" s="3"/>
    </row>
    <row r="26">
      <c r="A26" s="20" t="s">
        <v>25</v>
      </c>
      <c r="B26" s="23">
        <v>1.0</v>
      </c>
      <c r="D26" s="2"/>
      <c r="E26" s="2"/>
      <c r="F26" s="2"/>
      <c r="G26" s="3"/>
    </row>
    <row r="27">
      <c r="A27" s="1"/>
      <c r="B27" s="2"/>
      <c r="C27" s="2"/>
      <c r="D27" s="2"/>
      <c r="E27" s="2"/>
      <c r="F27" s="2"/>
      <c r="G27" s="3"/>
    </row>
    <row r="28">
      <c r="A28" s="1" t="s">
        <v>26</v>
      </c>
      <c r="B28" s="2"/>
      <c r="C28" s="2"/>
      <c r="D28" s="2"/>
      <c r="H28" s="2"/>
      <c r="I28" s="2"/>
      <c r="J28" s="3"/>
    </row>
    <row r="29">
      <c r="B29" s="24" t="s">
        <v>27</v>
      </c>
      <c r="C29" s="24" t="s">
        <v>28</v>
      </c>
      <c r="D29" s="24" t="s">
        <v>29</v>
      </c>
      <c r="E29" s="24"/>
      <c r="H29" s="25" t="s">
        <v>30</v>
      </c>
      <c r="I29" s="26">
        <v>0.141</v>
      </c>
      <c r="J29" s="27" t="s">
        <v>31</v>
      </c>
    </row>
    <row r="30">
      <c r="A30" s="28" t="s">
        <v>32</v>
      </c>
      <c r="B30" s="29">
        <v>0.498</v>
      </c>
      <c r="C30" s="29">
        <f>(I71+I77)/ 2477500</f>
        <v>1.12578002</v>
      </c>
      <c r="D30" s="29">
        <f>(P71+P77)/ 2477500</f>
        <v>2.549489405</v>
      </c>
      <c r="E30" s="30"/>
      <c r="H30" s="31" t="s">
        <v>33</v>
      </c>
      <c r="I30" s="32">
        <v>0.155382</v>
      </c>
      <c r="J30" s="33">
        <v>0.0995</v>
      </c>
      <c r="K30" s="34" t="s">
        <v>34</v>
      </c>
    </row>
    <row r="31">
      <c r="A31" s="1" t="s">
        <v>35</v>
      </c>
      <c r="B31" s="29">
        <v>0.134</v>
      </c>
      <c r="C31" s="29">
        <f>I71/I62</f>
        <v>0.1517415976</v>
      </c>
      <c r="D31" s="29">
        <f>P71/P62</f>
        <v>0.1720962462</v>
      </c>
      <c r="H31" s="35" t="s">
        <v>36</v>
      </c>
      <c r="I31" s="36">
        <v>0.102</v>
      </c>
      <c r="J31" s="37"/>
    </row>
    <row r="32">
      <c r="A32" s="1" t="s">
        <v>37</v>
      </c>
      <c r="B32" s="38">
        <f>B85/E32</f>
        <v>3.55290611</v>
      </c>
      <c r="C32" s="29">
        <f>I85/E32</f>
        <v>8.185156483</v>
      </c>
      <c r="D32" s="29">
        <f>P85/E32</f>
        <v>18.69853949</v>
      </c>
      <c r="E32" s="39">
        <f>(285000+386000)/2</f>
        <v>335500</v>
      </c>
      <c r="F32" s="40" t="s">
        <v>38</v>
      </c>
      <c r="H32" s="41" t="s">
        <v>39</v>
      </c>
      <c r="I32" s="42">
        <v>0.1658946646079945</v>
      </c>
      <c r="J32" s="43"/>
    </row>
    <row r="33">
      <c r="A33" s="1" t="s">
        <v>40</v>
      </c>
      <c r="B33" s="30">
        <v>1.1</v>
      </c>
      <c r="C33" s="30">
        <v>1.1</v>
      </c>
      <c r="D33" s="30">
        <v>1.1</v>
      </c>
      <c r="E33" s="30"/>
      <c r="H33" s="41" t="s">
        <v>41</v>
      </c>
      <c r="I33" s="42">
        <v>0.24580536912751677</v>
      </c>
      <c r="J33" s="43"/>
    </row>
    <row r="34">
      <c r="A34" s="1" t="s">
        <v>42</v>
      </c>
      <c r="B34" s="30">
        <v>7.3</v>
      </c>
      <c r="C34" s="30">
        <v>7.3</v>
      </c>
      <c r="D34" s="30">
        <v>7.3</v>
      </c>
      <c r="E34" s="30"/>
      <c r="H34" s="44" t="s">
        <v>43</v>
      </c>
      <c r="I34" s="45">
        <v>0.25</v>
      </c>
      <c r="J34" s="43"/>
    </row>
    <row r="35">
      <c r="A35" s="1" t="s">
        <v>44</v>
      </c>
      <c r="B35" s="30">
        <v>12.7</v>
      </c>
      <c r="C35" s="30">
        <v>12.7</v>
      </c>
      <c r="D35" s="30">
        <v>12.7</v>
      </c>
      <c r="E35" s="30"/>
      <c r="F35" s="2"/>
      <c r="G35" s="3"/>
    </row>
    <row r="36">
      <c r="A36" s="1" t="s">
        <v>45</v>
      </c>
      <c r="B36" s="6">
        <v>15.0</v>
      </c>
      <c r="C36" s="6">
        <v>15.0</v>
      </c>
      <c r="D36" s="6">
        <v>30.0</v>
      </c>
      <c r="E36" s="6"/>
      <c r="F36" s="2"/>
      <c r="G36" s="3"/>
    </row>
    <row r="37">
      <c r="A37" s="1" t="s">
        <v>46</v>
      </c>
      <c r="B37" s="6">
        <v>3.0</v>
      </c>
      <c r="C37" s="6">
        <v>3.0</v>
      </c>
      <c r="D37" s="6">
        <v>3.0</v>
      </c>
      <c r="E37" s="6"/>
      <c r="F37" s="2"/>
      <c r="G37" s="3"/>
    </row>
    <row r="38">
      <c r="A38" s="1" t="s">
        <v>47</v>
      </c>
      <c r="B38" s="46">
        <v>0.1</v>
      </c>
      <c r="C38" s="46">
        <v>0.1</v>
      </c>
      <c r="D38" s="46">
        <v>0.1</v>
      </c>
      <c r="E38" s="46"/>
      <c r="F38" s="2"/>
      <c r="G38" s="3"/>
    </row>
    <row r="39">
      <c r="A39" s="1" t="s">
        <v>24</v>
      </c>
      <c r="B39" s="47">
        <v>0.5</v>
      </c>
      <c r="C39" s="47">
        <v>0.0</v>
      </c>
      <c r="D39" s="47">
        <v>0.0</v>
      </c>
      <c r="E39" s="47"/>
      <c r="F39" s="2"/>
      <c r="G39" s="3"/>
    </row>
    <row r="40">
      <c r="A40" s="1" t="s">
        <v>25</v>
      </c>
      <c r="B40" s="47">
        <v>0.5</v>
      </c>
      <c r="C40" s="47">
        <v>1.0</v>
      </c>
      <c r="D40" s="47">
        <v>1.0</v>
      </c>
      <c r="E40" s="47"/>
      <c r="F40" s="2"/>
      <c r="G40" s="3"/>
      <c r="H40" s="4"/>
      <c r="I40" s="4"/>
      <c r="J40" s="2"/>
    </row>
    <row r="41">
      <c r="A41" s="1" t="s">
        <v>48</v>
      </c>
      <c r="B41" s="47">
        <f t="shared" ref="B41:D41" si="3">B52/B50</f>
        <v>0.477056962</v>
      </c>
      <c r="C41" s="47">
        <f t="shared" si="3"/>
        <v>0.477056962</v>
      </c>
      <c r="D41" s="47">
        <f t="shared" si="3"/>
        <v>0.477056962</v>
      </c>
      <c r="E41" s="47"/>
      <c r="F41" s="2"/>
      <c r="G41" s="3"/>
      <c r="H41" s="4"/>
      <c r="I41" s="4"/>
      <c r="J41" s="48"/>
    </row>
    <row r="42">
      <c r="A42" s="1"/>
      <c r="B42" s="47"/>
      <c r="C42" s="2"/>
      <c r="D42" s="2"/>
      <c r="E42" s="2"/>
      <c r="F42" s="2"/>
      <c r="G42" s="3"/>
    </row>
    <row r="43">
      <c r="A43" s="49" t="s">
        <v>49</v>
      </c>
      <c r="G43" s="3"/>
      <c r="H43" s="49" t="s">
        <v>50</v>
      </c>
      <c r="O43" s="49" t="s">
        <v>51</v>
      </c>
    </row>
    <row r="44">
      <c r="A44" s="50"/>
      <c r="B44" s="51" t="s">
        <v>52</v>
      </c>
      <c r="C44" s="52" t="s">
        <v>53</v>
      </c>
      <c r="D44" s="52" t="s">
        <v>54</v>
      </c>
      <c r="E44" s="53" t="s">
        <v>55</v>
      </c>
      <c r="F44" s="52" t="s">
        <v>56</v>
      </c>
      <c r="G44" s="3"/>
      <c r="H44" s="50"/>
      <c r="I44" s="51" t="s">
        <v>52</v>
      </c>
      <c r="J44" s="52" t="s">
        <v>53</v>
      </c>
      <c r="K44" s="52" t="s">
        <v>54</v>
      </c>
      <c r="L44" s="53" t="s">
        <v>55</v>
      </c>
      <c r="M44" s="52" t="s">
        <v>56</v>
      </c>
      <c r="O44" s="50"/>
      <c r="P44" s="51" t="s">
        <v>52</v>
      </c>
      <c r="Q44" s="52" t="s">
        <v>53</v>
      </c>
      <c r="R44" s="52" t="s">
        <v>54</v>
      </c>
      <c r="S44" s="53" t="s">
        <v>55</v>
      </c>
      <c r="T44" s="52" t="s">
        <v>56</v>
      </c>
    </row>
    <row r="45">
      <c r="A45" s="54" t="s">
        <v>57</v>
      </c>
      <c r="B45" s="55">
        <v>1.0</v>
      </c>
      <c r="C45" s="55">
        <v>10.0</v>
      </c>
      <c r="D45" s="55">
        <v>230.0</v>
      </c>
      <c r="E45" s="55">
        <f>8*D45</f>
        <v>1840</v>
      </c>
      <c r="F45" s="55">
        <v>5.0</v>
      </c>
      <c r="G45" s="3"/>
      <c r="H45" s="54" t="s">
        <v>57</v>
      </c>
      <c r="I45" s="55">
        <v>1.0</v>
      </c>
      <c r="J45" s="55">
        <v>10.0</v>
      </c>
      <c r="K45" s="55">
        <v>230.0</v>
      </c>
      <c r="L45" s="55">
        <f>8*K45</f>
        <v>1840</v>
      </c>
      <c r="M45" s="55">
        <v>5.0</v>
      </c>
      <c r="O45" s="54" t="s">
        <v>57</v>
      </c>
      <c r="P45" s="55">
        <v>1.0</v>
      </c>
      <c r="Q45" s="55">
        <v>10.0</v>
      </c>
      <c r="R45" s="55">
        <v>230.0</v>
      </c>
      <c r="S45" s="55">
        <f>8*R45</f>
        <v>1840</v>
      </c>
      <c r="T45" s="55">
        <v>5.0</v>
      </c>
    </row>
    <row r="46">
      <c r="A46" s="56" t="s">
        <v>58</v>
      </c>
      <c r="B46" s="57">
        <v>5000.0</v>
      </c>
      <c r="C46" s="57">
        <v>5000.0</v>
      </c>
      <c r="D46" s="57">
        <v>5000.0</v>
      </c>
      <c r="E46" s="57">
        <v>5000.0</v>
      </c>
      <c r="F46" s="57">
        <v>5000.0</v>
      </c>
      <c r="G46" s="3"/>
      <c r="H46" s="56" t="s">
        <v>58</v>
      </c>
      <c r="I46" s="57">
        <v>5000.0</v>
      </c>
      <c r="J46" s="57">
        <v>5000.0</v>
      </c>
      <c r="K46" s="57">
        <v>5000.0</v>
      </c>
      <c r="L46" s="57">
        <v>5000.0</v>
      </c>
      <c r="M46" s="57">
        <v>5000.0</v>
      </c>
      <c r="O46" s="56" t="s">
        <v>58</v>
      </c>
      <c r="P46" s="57">
        <v>5000.0</v>
      </c>
      <c r="Q46" s="57">
        <v>5000.0</v>
      </c>
      <c r="R46" s="57">
        <v>5000.0</v>
      </c>
      <c r="S46" s="57">
        <v>5000.0</v>
      </c>
      <c r="T46" s="57">
        <v>5000.0</v>
      </c>
    </row>
    <row r="47">
      <c r="A47" s="1" t="s">
        <v>59</v>
      </c>
      <c r="B47" s="4">
        <f>B61/B46</f>
        <v>2443.733333</v>
      </c>
      <c r="C47" s="2">
        <f t="shared" ref="C47:E47" si="4">$B47/C$45</f>
        <v>244.3733333</v>
      </c>
      <c r="D47" s="2">
        <f t="shared" si="4"/>
        <v>10.62492754</v>
      </c>
      <c r="E47" s="2">
        <f t="shared" si="4"/>
        <v>1.328115942</v>
      </c>
      <c r="F47" s="2">
        <f t="shared" ref="F47:F52" si="8">$B47*F$45</f>
        <v>12218.66667</v>
      </c>
      <c r="G47" s="3"/>
      <c r="H47" s="1" t="s">
        <v>59</v>
      </c>
      <c r="I47" s="4">
        <f>I61/I46</f>
        <v>4887.466667</v>
      </c>
      <c r="J47" s="2">
        <f t="shared" ref="J47:L47" si="5">$I47/J$45</f>
        <v>488.7466667</v>
      </c>
      <c r="K47" s="2">
        <f t="shared" si="5"/>
        <v>21.24985507</v>
      </c>
      <c r="L47" s="2">
        <f t="shared" si="5"/>
        <v>2.656231884</v>
      </c>
      <c r="M47" s="2">
        <f t="shared" ref="M47:M52" si="10">$I47*M$45</f>
        <v>24437.33333</v>
      </c>
      <c r="O47" s="1" t="s">
        <v>59</v>
      </c>
      <c r="P47" s="4">
        <f>P61/P46</f>
        <v>9774.933333</v>
      </c>
      <c r="Q47" s="2">
        <f t="shared" ref="Q47:S47" si="6">$P47/Q$45</f>
        <v>977.4933333</v>
      </c>
      <c r="R47" s="2">
        <f t="shared" si="6"/>
        <v>42.49971014</v>
      </c>
      <c r="S47" s="2">
        <f t="shared" si="6"/>
        <v>5.312463768</v>
      </c>
      <c r="T47" s="2">
        <f t="shared" ref="T47:T52" si="12">$P47*T$45</f>
        <v>48874.66667</v>
      </c>
    </row>
    <row r="48">
      <c r="A48" s="1" t="s">
        <v>60</v>
      </c>
      <c r="B48" s="4">
        <f>B47/B36</f>
        <v>162.9155556</v>
      </c>
      <c r="C48" s="2">
        <f t="shared" ref="C48:E48" si="7">$B48/C$45</f>
        <v>16.29155556</v>
      </c>
      <c r="D48" s="2">
        <f t="shared" si="7"/>
        <v>0.7083285024</v>
      </c>
      <c r="E48" s="2">
        <f t="shared" si="7"/>
        <v>0.0885410628</v>
      </c>
      <c r="F48" s="2">
        <f t="shared" si="8"/>
        <v>814.5777778</v>
      </c>
      <c r="G48" s="3"/>
      <c r="H48" s="1" t="s">
        <v>60</v>
      </c>
      <c r="I48" s="4">
        <f>I47/C36</f>
        <v>325.8311111</v>
      </c>
      <c r="J48" s="2">
        <f t="shared" ref="J48:L48" si="9">$I48/J$45</f>
        <v>32.58311111</v>
      </c>
      <c r="K48" s="2">
        <f t="shared" si="9"/>
        <v>1.416657005</v>
      </c>
      <c r="L48" s="2">
        <f t="shared" si="9"/>
        <v>0.1770821256</v>
      </c>
      <c r="M48" s="2">
        <f t="shared" si="10"/>
        <v>1629.155556</v>
      </c>
      <c r="O48" s="1" t="s">
        <v>60</v>
      </c>
      <c r="P48" s="4">
        <f>P47/D36</f>
        <v>325.8311111</v>
      </c>
      <c r="Q48" s="2">
        <f t="shared" ref="Q48:S48" si="11">$P48/Q$45</f>
        <v>32.58311111</v>
      </c>
      <c r="R48" s="2">
        <f t="shared" si="11"/>
        <v>1.416657005</v>
      </c>
      <c r="S48" s="2">
        <f t="shared" si="11"/>
        <v>0.1770821256</v>
      </c>
      <c r="T48" s="2">
        <f t="shared" si="12"/>
        <v>1629.155556</v>
      </c>
    </row>
    <row r="49">
      <c r="A49" s="1" t="s">
        <v>61</v>
      </c>
      <c r="B49" s="2">
        <f>B47*(100*B38)</f>
        <v>24437.33333</v>
      </c>
      <c r="C49" s="2">
        <f t="shared" ref="C49:E49" si="13">$B49/C$45</f>
        <v>2443.733333</v>
      </c>
      <c r="D49" s="2">
        <f t="shared" si="13"/>
        <v>106.2492754</v>
      </c>
      <c r="E49" s="2">
        <f t="shared" si="13"/>
        <v>13.28115942</v>
      </c>
      <c r="F49" s="2">
        <f t="shared" si="8"/>
        <v>122186.6667</v>
      </c>
      <c r="G49" s="3"/>
      <c r="H49" s="1" t="s">
        <v>61</v>
      </c>
      <c r="I49" s="2">
        <f>I47*(100*B38)</f>
        <v>48874.66667</v>
      </c>
      <c r="J49" s="2">
        <f t="shared" ref="J49:L49" si="14">$I49/J$45</f>
        <v>4887.466667</v>
      </c>
      <c r="K49" s="2">
        <f t="shared" si="14"/>
        <v>212.4985507</v>
      </c>
      <c r="L49" s="2">
        <f t="shared" si="14"/>
        <v>26.56231884</v>
      </c>
      <c r="M49" s="2">
        <f t="shared" si="10"/>
        <v>244373.3333</v>
      </c>
      <c r="O49" s="1" t="s">
        <v>61</v>
      </c>
      <c r="P49" s="2">
        <f>P47*(100*C38)</f>
        <v>97749.33333</v>
      </c>
      <c r="Q49" s="2">
        <f t="shared" ref="Q49:S49" si="15">$P49/Q$45</f>
        <v>9774.933333</v>
      </c>
      <c r="R49" s="2">
        <f t="shared" si="15"/>
        <v>424.9971014</v>
      </c>
      <c r="S49" s="2">
        <f t="shared" si="15"/>
        <v>53.12463768</v>
      </c>
      <c r="T49" s="2">
        <f t="shared" si="12"/>
        <v>488746.6667</v>
      </c>
    </row>
    <row r="50">
      <c r="A50" s="1" t="s">
        <v>62</v>
      </c>
      <c r="B50" s="4">
        <f>B61/B36</f>
        <v>814577.7778</v>
      </c>
      <c r="C50" s="2">
        <f t="shared" ref="C50:E50" si="16">$B50/C$45</f>
        <v>81457.77778</v>
      </c>
      <c r="D50" s="2">
        <f t="shared" si="16"/>
        <v>3541.642512</v>
      </c>
      <c r="E50" s="2">
        <f t="shared" si="16"/>
        <v>442.705314</v>
      </c>
      <c r="F50" s="2">
        <f t="shared" si="8"/>
        <v>4072888.889</v>
      </c>
      <c r="G50" s="3"/>
      <c r="H50" s="1" t="s">
        <v>62</v>
      </c>
      <c r="I50" s="4">
        <f>I61/C36</f>
        <v>1629155.556</v>
      </c>
      <c r="J50" s="2">
        <f t="shared" ref="J50:L50" si="17">$I50/J$45</f>
        <v>162915.5556</v>
      </c>
      <c r="K50" s="2">
        <f t="shared" si="17"/>
        <v>7083.285024</v>
      </c>
      <c r="L50" s="2">
        <f t="shared" si="17"/>
        <v>885.410628</v>
      </c>
      <c r="M50" s="2">
        <f t="shared" si="10"/>
        <v>8145777.778</v>
      </c>
      <c r="O50" s="1" t="s">
        <v>62</v>
      </c>
      <c r="P50" s="4">
        <f>P61/D36</f>
        <v>1629155.556</v>
      </c>
      <c r="Q50" s="2">
        <f t="shared" ref="Q50:S50" si="18">$P50/Q$45</f>
        <v>162915.5556</v>
      </c>
      <c r="R50" s="2">
        <f t="shared" si="18"/>
        <v>7083.285024</v>
      </c>
      <c r="S50" s="2">
        <f t="shared" si="18"/>
        <v>885.410628</v>
      </c>
      <c r="T50" s="2">
        <f t="shared" si="12"/>
        <v>8145777.778</v>
      </c>
    </row>
    <row r="51">
      <c r="A51" s="1" t="s">
        <v>63</v>
      </c>
      <c r="B51" s="2">
        <f>B84/B36</f>
        <v>532000</v>
      </c>
      <c r="C51" s="2">
        <f t="shared" ref="C51:E51" si="19">$B51/C$45</f>
        <v>53200</v>
      </c>
      <c r="D51" s="2">
        <f t="shared" si="19"/>
        <v>2313.043478</v>
      </c>
      <c r="E51" s="2">
        <f t="shared" si="19"/>
        <v>289.1304348</v>
      </c>
      <c r="F51" s="2">
        <f t="shared" si="8"/>
        <v>2660000</v>
      </c>
      <c r="G51" s="3"/>
      <c r="H51" s="1" t="s">
        <v>63</v>
      </c>
      <c r="I51" s="2">
        <f>I84/C36</f>
        <v>1039325.333</v>
      </c>
      <c r="J51" s="2">
        <f t="shared" ref="J51:L51" si="20">$I51/J$45</f>
        <v>103932.5333</v>
      </c>
      <c r="K51" s="2">
        <f t="shared" si="20"/>
        <v>4518.805797</v>
      </c>
      <c r="L51" s="2">
        <f t="shared" si="20"/>
        <v>564.8507246</v>
      </c>
      <c r="M51" s="2">
        <f t="shared" si="10"/>
        <v>5196626.667</v>
      </c>
      <c r="O51" s="1" t="s">
        <v>63</v>
      </c>
      <c r="P51" s="2">
        <f>P84/D36</f>
        <v>1013021.333</v>
      </c>
      <c r="Q51" s="2">
        <f t="shared" ref="Q51:S51" si="21">$P51/Q$45</f>
        <v>101302.1333</v>
      </c>
      <c r="R51" s="2">
        <f t="shared" si="21"/>
        <v>4404.44058</v>
      </c>
      <c r="S51" s="2">
        <f t="shared" si="21"/>
        <v>550.5550725</v>
      </c>
      <c r="T51" s="2">
        <f t="shared" si="12"/>
        <v>5065106.667</v>
      </c>
    </row>
    <row r="52">
      <c r="A52" s="1" t="s">
        <v>64</v>
      </c>
      <c r="B52" s="2">
        <f>B66/B36</f>
        <v>388600</v>
      </c>
      <c r="C52" s="2">
        <f t="shared" ref="C52:E52" si="22">$B52/C$45</f>
        <v>38860</v>
      </c>
      <c r="D52" s="2">
        <f t="shared" si="22"/>
        <v>1689.565217</v>
      </c>
      <c r="E52" s="2">
        <f t="shared" si="22"/>
        <v>211.1956522</v>
      </c>
      <c r="F52" s="2">
        <f t="shared" si="8"/>
        <v>1943000</v>
      </c>
      <c r="G52" s="3"/>
      <c r="H52" s="1" t="s">
        <v>64</v>
      </c>
      <c r="I52" s="2">
        <f>I66/C36</f>
        <v>777200</v>
      </c>
      <c r="J52" s="2">
        <f t="shared" ref="J52:L52" si="23">$I52/J$45</f>
        <v>77720</v>
      </c>
      <c r="K52" s="2">
        <f t="shared" si="23"/>
        <v>3379.130435</v>
      </c>
      <c r="L52" s="2">
        <f t="shared" si="23"/>
        <v>422.3913043</v>
      </c>
      <c r="M52" s="2">
        <f t="shared" si="10"/>
        <v>3886000</v>
      </c>
      <c r="O52" s="1" t="s">
        <v>64</v>
      </c>
      <c r="P52" s="2">
        <f>P66/D36</f>
        <v>777200</v>
      </c>
      <c r="Q52" s="2">
        <f t="shared" ref="Q52:S52" si="24">$P52/Q$45</f>
        <v>77720</v>
      </c>
      <c r="R52" s="2">
        <f t="shared" si="24"/>
        <v>3379.130435</v>
      </c>
      <c r="S52" s="2">
        <f t="shared" si="24"/>
        <v>422.3913043</v>
      </c>
      <c r="T52" s="2">
        <f t="shared" si="12"/>
        <v>3886000</v>
      </c>
    </row>
    <row r="53">
      <c r="A53" s="58" t="s">
        <v>65</v>
      </c>
      <c r="B53" s="59">
        <f t="shared" ref="B53:F53" si="25">B50-B52</f>
        <v>425977.7778</v>
      </c>
      <c r="C53" s="59">
        <f t="shared" si="25"/>
        <v>42597.77778</v>
      </c>
      <c r="D53" s="59">
        <f t="shared" si="25"/>
        <v>1852.077295</v>
      </c>
      <c r="E53" s="59">
        <f t="shared" si="25"/>
        <v>231.5096618</v>
      </c>
      <c r="F53" s="59">
        <f t="shared" si="25"/>
        <v>2129888.889</v>
      </c>
      <c r="G53" s="3"/>
      <c r="H53" s="58" t="s">
        <v>65</v>
      </c>
      <c r="I53" s="59">
        <f t="shared" ref="I53:M53" si="26">I50-I52</f>
        <v>851955.5556</v>
      </c>
      <c r="J53" s="59">
        <f t="shared" si="26"/>
        <v>85195.55556</v>
      </c>
      <c r="K53" s="59">
        <f t="shared" si="26"/>
        <v>3704.154589</v>
      </c>
      <c r="L53" s="59">
        <f t="shared" si="26"/>
        <v>463.0193237</v>
      </c>
      <c r="M53" s="59">
        <f t="shared" si="26"/>
        <v>4259777.778</v>
      </c>
      <c r="O53" s="58" t="s">
        <v>65</v>
      </c>
      <c r="P53" s="59">
        <f t="shared" ref="P53:T53" si="27">P50-P52</f>
        <v>851955.5556</v>
      </c>
      <c r="Q53" s="59">
        <f t="shared" si="27"/>
        <v>85195.55556</v>
      </c>
      <c r="R53" s="59">
        <f t="shared" si="27"/>
        <v>3704.154589</v>
      </c>
      <c r="S53" s="59">
        <f t="shared" si="27"/>
        <v>463.0193237</v>
      </c>
      <c r="T53" s="59">
        <f t="shared" si="27"/>
        <v>4259777.778</v>
      </c>
    </row>
    <row r="54">
      <c r="A54" s="1" t="s">
        <v>66</v>
      </c>
      <c r="B54" s="2">
        <f t="shared" ref="B54:F54" si="28">B50-B51</f>
        <v>282577.7778</v>
      </c>
      <c r="C54" s="2">
        <f t="shared" si="28"/>
        <v>28257.77778</v>
      </c>
      <c r="D54" s="2">
        <f t="shared" si="28"/>
        <v>1228.599034</v>
      </c>
      <c r="E54" s="2">
        <f t="shared" si="28"/>
        <v>153.5748792</v>
      </c>
      <c r="F54" s="2">
        <f t="shared" si="28"/>
        <v>1412888.889</v>
      </c>
      <c r="G54" s="3"/>
      <c r="H54" s="1" t="s">
        <v>66</v>
      </c>
      <c r="I54" s="2">
        <f t="shared" ref="I54:M54" si="29">I50-I51</f>
        <v>589830.2222</v>
      </c>
      <c r="J54" s="2">
        <f t="shared" si="29"/>
        <v>58983.02222</v>
      </c>
      <c r="K54" s="2">
        <f t="shared" si="29"/>
        <v>2564.479227</v>
      </c>
      <c r="L54" s="2">
        <f t="shared" si="29"/>
        <v>320.5599034</v>
      </c>
      <c r="M54" s="2">
        <f t="shared" si="29"/>
        <v>2949151.111</v>
      </c>
      <c r="O54" s="1" t="s">
        <v>66</v>
      </c>
      <c r="P54" s="2">
        <f t="shared" ref="P54:T54" si="30">P50-P51</f>
        <v>616134.2222</v>
      </c>
      <c r="Q54" s="2">
        <f t="shared" si="30"/>
        <v>61613.42222</v>
      </c>
      <c r="R54" s="2">
        <f t="shared" si="30"/>
        <v>2678.844444</v>
      </c>
      <c r="S54" s="2">
        <f t="shared" si="30"/>
        <v>334.8555556</v>
      </c>
      <c r="T54" s="2">
        <f t="shared" si="30"/>
        <v>3080671.111</v>
      </c>
    </row>
    <row r="55">
      <c r="A55" s="60"/>
      <c r="B55" s="61"/>
      <c r="C55" s="60"/>
      <c r="D55" s="60"/>
      <c r="E55" s="60"/>
      <c r="F55" s="60"/>
      <c r="G55" s="3"/>
      <c r="H55" s="60"/>
      <c r="I55" s="61"/>
      <c r="J55" s="60"/>
      <c r="K55" s="60"/>
      <c r="L55" s="60"/>
      <c r="M55" s="60"/>
      <c r="O55" s="60"/>
      <c r="P55" s="61"/>
      <c r="Q55" s="60"/>
      <c r="R55" s="60"/>
      <c r="S55" s="60"/>
      <c r="T55" s="60"/>
    </row>
    <row r="56">
      <c r="A56" s="3"/>
      <c r="B56" s="2"/>
      <c r="C56" s="3"/>
      <c r="D56" s="3"/>
      <c r="E56" s="3"/>
      <c r="F56" s="3"/>
      <c r="G56" s="3"/>
    </row>
    <row r="57">
      <c r="A57" s="3"/>
      <c r="B57" s="62" t="s">
        <v>67</v>
      </c>
      <c r="D57" s="63" t="s">
        <v>68</v>
      </c>
      <c r="H57" s="3"/>
      <c r="I57" s="62" t="s">
        <v>67</v>
      </c>
      <c r="K57" s="63"/>
      <c r="O57" s="3"/>
      <c r="P57" s="62" t="s">
        <v>67</v>
      </c>
      <c r="R57" s="63"/>
    </row>
    <row r="58">
      <c r="A58" s="64" t="s">
        <v>69</v>
      </c>
      <c r="B58" s="65" t="s">
        <v>70</v>
      </c>
      <c r="C58" s="65" t="s">
        <v>71</v>
      </c>
      <c r="D58" s="66" t="s">
        <v>70</v>
      </c>
      <c r="E58" s="66" t="s">
        <v>71</v>
      </c>
      <c r="H58" s="64" t="s">
        <v>69</v>
      </c>
      <c r="I58" s="65" t="s">
        <v>70</v>
      </c>
      <c r="J58" s="65"/>
      <c r="K58" s="66"/>
      <c r="L58" s="66"/>
      <c r="O58" s="64" t="s">
        <v>69</v>
      </c>
      <c r="P58" s="65" t="s">
        <v>70</v>
      </c>
      <c r="Q58" s="65"/>
      <c r="R58" s="66"/>
      <c r="S58" s="66"/>
    </row>
    <row r="59">
      <c r="A59" s="67" t="s">
        <v>72</v>
      </c>
      <c r="B59" s="14">
        <f>B61*0.75</f>
        <v>9164000</v>
      </c>
      <c r="C59" s="14">
        <v>1631000.0</v>
      </c>
      <c r="D59" s="68"/>
      <c r="E59" s="68">
        <f>C59/B59</f>
        <v>0.1779790485</v>
      </c>
      <c r="H59" s="67" t="s">
        <v>72</v>
      </c>
      <c r="I59" s="14">
        <f>I61*0.75</f>
        <v>18328000</v>
      </c>
      <c r="J59" s="14">
        <f>I59/B59</f>
        <v>2</v>
      </c>
      <c r="K59" s="68"/>
      <c r="L59" s="68"/>
      <c r="O59" s="67" t="s">
        <v>72</v>
      </c>
      <c r="P59" s="14">
        <f>P61*0.75</f>
        <v>36656000</v>
      </c>
      <c r="Q59" s="14">
        <v>4.0</v>
      </c>
      <c r="R59" s="68"/>
      <c r="S59" s="68"/>
    </row>
    <row r="60">
      <c r="A60" s="67" t="s">
        <v>73</v>
      </c>
      <c r="B60" s="14">
        <v>0.0</v>
      </c>
      <c r="C60" s="14">
        <v>0.0</v>
      </c>
      <c r="D60" s="68"/>
      <c r="E60" s="68">
        <f>B59/C59</f>
        <v>5.618638872</v>
      </c>
      <c r="H60" s="67" t="s">
        <v>73</v>
      </c>
      <c r="I60" s="14">
        <v>0.0</v>
      </c>
      <c r="J60" s="69">
        <v>0.02</v>
      </c>
      <c r="K60" s="68"/>
      <c r="L60" s="68"/>
      <c r="O60" s="67" t="s">
        <v>73</v>
      </c>
      <c r="P60" s="14">
        <v>0.0</v>
      </c>
      <c r="Q60" s="69">
        <v>0.04</v>
      </c>
      <c r="R60" s="68"/>
      <c r="S60" s="68"/>
    </row>
    <row r="61">
      <c r="A61" s="67" t="s">
        <v>74</v>
      </c>
      <c r="B61" s="11">
        <f>B62/(1-$I$34)</f>
        <v>12218666.67</v>
      </c>
      <c r="C61" s="11">
        <f>C62/(1-I34)</f>
        <v>2174666.667</v>
      </c>
      <c r="D61" s="68"/>
      <c r="E61" s="70">
        <f>E70-D70</f>
        <v>0.03184508143</v>
      </c>
      <c r="F61" s="71"/>
      <c r="H61" s="67" t="s">
        <v>74</v>
      </c>
      <c r="I61" s="11">
        <f>B61*2</f>
        <v>24437333.33</v>
      </c>
      <c r="J61" s="72"/>
      <c r="K61" s="68"/>
      <c r="L61" s="70"/>
      <c r="O61" s="67" t="s">
        <v>74</v>
      </c>
      <c r="P61" s="11">
        <f>B61*4</f>
        <v>48874666.67</v>
      </c>
      <c r="Q61" s="11"/>
      <c r="R61" s="68"/>
      <c r="S61" s="70"/>
    </row>
    <row r="62">
      <c r="A62" s="67" t="s">
        <v>75</v>
      </c>
      <c r="B62" s="73">
        <v>9164000.0</v>
      </c>
      <c r="C62" s="73">
        <v>1631000.0</v>
      </c>
      <c r="D62" s="68"/>
      <c r="E62" s="70">
        <f>E61/E60</f>
        <v>0.00566775729</v>
      </c>
      <c r="F62" s="71"/>
      <c r="H62" s="67" t="s">
        <v>75</v>
      </c>
      <c r="I62" s="73">
        <f>I59</f>
        <v>18328000</v>
      </c>
      <c r="J62" s="73"/>
      <c r="K62" s="68"/>
      <c r="L62" s="70"/>
      <c r="O62" s="67" t="s">
        <v>75</v>
      </c>
      <c r="P62" s="73">
        <f>P59</f>
        <v>36656000</v>
      </c>
      <c r="Q62" s="73"/>
      <c r="R62" s="68"/>
      <c r="S62" s="70"/>
    </row>
    <row r="63">
      <c r="A63" s="64" t="s">
        <v>76</v>
      </c>
      <c r="B63" s="74">
        <v>1000.0</v>
      </c>
      <c r="C63" s="75">
        <v>0.0</v>
      </c>
      <c r="D63" s="68"/>
      <c r="E63" s="70"/>
      <c r="F63" s="71"/>
      <c r="G63" s="5"/>
      <c r="H63" s="64" t="s">
        <v>76</v>
      </c>
      <c r="I63" s="74">
        <v>1000.0</v>
      </c>
      <c r="J63" s="75"/>
      <c r="K63" s="68"/>
      <c r="L63" s="70"/>
      <c r="O63" s="64" t="s">
        <v>76</v>
      </c>
      <c r="P63" s="74">
        <v>1000.0</v>
      </c>
      <c r="Q63" s="75"/>
      <c r="R63" s="68"/>
      <c r="S63" s="70"/>
    </row>
    <row r="64">
      <c r="A64" s="67" t="s">
        <v>77</v>
      </c>
      <c r="B64" s="76">
        <v>12000.0</v>
      </c>
      <c r="C64" s="76">
        <v>0.0</v>
      </c>
      <c r="D64" s="68"/>
      <c r="E64" s="77"/>
      <c r="F64" s="34"/>
      <c r="G64" s="78"/>
      <c r="H64" s="67" t="s">
        <v>77</v>
      </c>
      <c r="I64" s="76">
        <v>12000.0</v>
      </c>
      <c r="J64" s="76"/>
      <c r="K64" s="68"/>
      <c r="L64" s="77"/>
      <c r="O64" s="67" t="s">
        <v>77</v>
      </c>
      <c r="P64" s="76">
        <v>12000.0</v>
      </c>
      <c r="Q64" s="76"/>
      <c r="R64" s="68"/>
      <c r="S64" s="77"/>
    </row>
    <row r="65">
      <c r="A65" s="67" t="s">
        <v>78</v>
      </c>
      <c r="B65" s="14">
        <v>0.0</v>
      </c>
      <c r="C65" s="14">
        <v>0.0</v>
      </c>
      <c r="D65" s="68"/>
      <c r="E65" s="68"/>
      <c r="F65" s="78"/>
      <c r="G65" s="78"/>
      <c r="H65" s="67" t="s">
        <v>78</v>
      </c>
      <c r="I65" s="14">
        <v>0.0</v>
      </c>
      <c r="J65" s="14"/>
      <c r="K65" s="68"/>
      <c r="L65" s="68"/>
      <c r="O65" s="67" t="s">
        <v>78</v>
      </c>
      <c r="P65" s="14">
        <v>0.0</v>
      </c>
      <c r="Q65" s="14"/>
      <c r="R65" s="68"/>
      <c r="S65" s="68"/>
    </row>
    <row r="66">
      <c r="A66" s="67" t="s">
        <v>79</v>
      </c>
      <c r="B66" s="75">
        <v>5829000.0</v>
      </c>
      <c r="C66" s="76">
        <v>735000.0</v>
      </c>
      <c r="D66" s="68">
        <f t="shared" ref="D66:E66" si="31">B67/B66</f>
        <v>0.8341053354</v>
      </c>
      <c r="E66" s="68">
        <f t="shared" si="31"/>
        <v>0.7945578231</v>
      </c>
      <c r="F66" s="78"/>
      <c r="G66" s="78"/>
      <c r="H66" s="67" t="s">
        <v>79</v>
      </c>
      <c r="I66" s="76">
        <f>I61*C41</f>
        <v>11658000</v>
      </c>
      <c r="J66" s="76"/>
      <c r="K66" s="68"/>
      <c r="L66" s="68"/>
      <c r="O66" s="67" t="s">
        <v>79</v>
      </c>
      <c r="P66" s="79">
        <f>P61*D41</f>
        <v>23316000</v>
      </c>
      <c r="Q66" s="76"/>
      <c r="R66" s="68"/>
      <c r="S66" s="68"/>
    </row>
    <row r="67">
      <c r="A67" s="67" t="s">
        <v>80</v>
      </c>
      <c r="B67" s="14">
        <v>4862000.0</v>
      </c>
      <c r="C67" s="14">
        <v>584000.0</v>
      </c>
      <c r="D67" s="80">
        <f t="shared" ref="D67:E67" si="32">(B66-B67)/B66</f>
        <v>0.1658946646</v>
      </c>
      <c r="E67" s="80">
        <f t="shared" si="32"/>
        <v>0.2054421769</v>
      </c>
      <c r="F67" s="78"/>
      <c r="G67" s="81"/>
      <c r="H67" s="67" t="s">
        <v>80</v>
      </c>
      <c r="I67" s="14">
        <f>D66*I66</f>
        <v>9724000</v>
      </c>
      <c r="J67" s="14"/>
      <c r="K67" s="80"/>
      <c r="L67" s="80"/>
      <c r="O67" s="67" t="s">
        <v>80</v>
      </c>
      <c r="P67" s="11">
        <f>D66*P66</f>
        <v>19448000</v>
      </c>
      <c r="Q67" s="14"/>
      <c r="R67" s="80"/>
      <c r="S67" s="80"/>
    </row>
    <row r="68">
      <c r="A68" s="67" t="s">
        <v>81</v>
      </c>
      <c r="B68" s="76">
        <v>27000.0</v>
      </c>
      <c r="C68" s="76">
        <v>0.0</v>
      </c>
      <c r="D68" s="68"/>
      <c r="E68" s="68"/>
      <c r="F68" s="78"/>
      <c r="G68" s="71"/>
      <c r="H68" s="67" t="s">
        <v>81</v>
      </c>
      <c r="I68" s="76">
        <v>27000.0</v>
      </c>
      <c r="J68" s="76"/>
      <c r="K68" s="68"/>
      <c r="L68" s="68"/>
      <c r="O68" s="67" t="s">
        <v>81</v>
      </c>
      <c r="P68" s="75">
        <f>27000*2</f>
        <v>54000</v>
      </c>
      <c r="Q68" s="76"/>
      <c r="R68" s="68"/>
      <c r="S68" s="68"/>
    </row>
    <row r="69">
      <c r="A69" s="67" t="s">
        <v>82</v>
      </c>
      <c r="B69" s="14">
        <v>0.0</v>
      </c>
      <c r="C69" s="14">
        <v>0.0</v>
      </c>
      <c r="D69" s="68"/>
      <c r="E69" s="68"/>
      <c r="F69" s="78"/>
      <c r="G69" s="71"/>
      <c r="H69" s="67" t="s">
        <v>82</v>
      </c>
      <c r="I69" s="14">
        <v>0.0</v>
      </c>
      <c r="J69" s="14"/>
      <c r="K69" s="68"/>
      <c r="L69" s="68"/>
      <c r="O69" s="67" t="s">
        <v>82</v>
      </c>
      <c r="P69" s="14">
        <v>0.0</v>
      </c>
      <c r="Q69" s="14"/>
      <c r="R69" s="68"/>
      <c r="S69" s="68"/>
    </row>
    <row r="70">
      <c r="A70" s="67" t="s">
        <v>83</v>
      </c>
      <c r="B70" s="76">
        <v>2068000.0</v>
      </c>
      <c r="C70" s="76">
        <v>420000.0</v>
      </c>
      <c r="D70" s="68">
        <f t="shared" ref="D70:E70" si="33">B70/B59</f>
        <v>0.2256656482</v>
      </c>
      <c r="E70" s="68">
        <f t="shared" si="33"/>
        <v>0.2575107296</v>
      </c>
      <c r="F70" s="78"/>
      <c r="G70" s="71"/>
      <c r="H70" s="67" t="s">
        <v>83</v>
      </c>
      <c r="I70" s="76">
        <f>I59*J70</f>
        <v>3848880</v>
      </c>
      <c r="J70" s="75">
        <v>0.21</v>
      </c>
      <c r="K70" s="68"/>
      <c r="L70" s="68"/>
      <c r="O70" s="67" t="s">
        <v>83</v>
      </c>
      <c r="P70" s="76">
        <f>P59*Q70</f>
        <v>6964640</v>
      </c>
      <c r="Q70" s="14">
        <v>0.19</v>
      </c>
      <c r="R70" s="68"/>
      <c r="S70" s="68"/>
    </row>
    <row r="71">
      <c r="A71" s="67" t="s">
        <v>84</v>
      </c>
      <c r="B71" s="82">
        <v>1227000.0</v>
      </c>
      <c r="C71" s="82">
        <v>475000.0</v>
      </c>
      <c r="D71" s="68">
        <f>B62-B66-B70</f>
        <v>1267000</v>
      </c>
      <c r="E71" s="68"/>
      <c r="F71" s="78"/>
      <c r="G71" s="71"/>
      <c r="H71" s="67" t="s">
        <v>84</v>
      </c>
      <c r="I71" s="82">
        <f>I62-I63-I64-I65-I66-I68-I70</f>
        <v>2781120</v>
      </c>
      <c r="J71" s="14"/>
      <c r="K71" s="68"/>
      <c r="L71" s="68"/>
      <c r="O71" s="67" t="s">
        <v>84</v>
      </c>
      <c r="P71" s="82">
        <f>P62-P63-P64-P65-P66-P68-P70</f>
        <v>6308360</v>
      </c>
      <c r="R71" s="68"/>
      <c r="S71" s="68"/>
    </row>
    <row r="72">
      <c r="A72" s="67" t="s">
        <v>85</v>
      </c>
      <c r="B72" s="14">
        <v>0.0</v>
      </c>
      <c r="C72" s="14">
        <v>0.0</v>
      </c>
      <c r="D72" s="68"/>
      <c r="E72" s="68"/>
      <c r="F72" s="2"/>
      <c r="G72" s="2"/>
      <c r="H72" s="67" t="s">
        <v>85</v>
      </c>
      <c r="I72" s="14">
        <v>0.0</v>
      </c>
      <c r="J72" s="14"/>
      <c r="K72" s="68"/>
      <c r="L72" s="68"/>
      <c r="O72" s="67" t="s">
        <v>85</v>
      </c>
      <c r="P72" s="14">
        <v>0.0</v>
      </c>
      <c r="Q72" s="14"/>
      <c r="R72" s="68"/>
      <c r="S72" s="68"/>
    </row>
    <row r="73">
      <c r="A73" s="67" t="s">
        <v>86</v>
      </c>
      <c r="B73" s="14">
        <v>0.0</v>
      </c>
      <c r="C73" s="14">
        <v>0.0</v>
      </c>
      <c r="D73" s="68"/>
      <c r="E73" s="68"/>
      <c r="F73" s="2"/>
      <c r="G73" s="2"/>
      <c r="H73" s="67" t="s">
        <v>86</v>
      </c>
      <c r="I73" s="14">
        <v>0.0</v>
      </c>
      <c r="J73" s="14"/>
      <c r="K73" s="68"/>
      <c r="L73" s="68"/>
      <c r="O73" s="67" t="s">
        <v>86</v>
      </c>
      <c r="P73" s="14">
        <v>0.0</v>
      </c>
      <c r="Q73" s="14"/>
      <c r="R73" s="68"/>
      <c r="S73" s="68"/>
    </row>
    <row r="74">
      <c r="A74" s="67" t="s">
        <v>87</v>
      </c>
      <c r="B74" s="73">
        <v>8000.0</v>
      </c>
      <c r="C74" s="14">
        <v>0.0</v>
      </c>
      <c r="D74" s="68"/>
      <c r="E74" s="68"/>
      <c r="F74" s="3"/>
      <c r="G74" s="3"/>
      <c r="H74" s="67" t="s">
        <v>87</v>
      </c>
      <c r="I74" s="73">
        <v>8000.0</v>
      </c>
      <c r="J74" s="14"/>
      <c r="K74" s="68"/>
      <c r="L74" s="68"/>
      <c r="O74" s="67" t="s">
        <v>87</v>
      </c>
      <c r="P74" s="73">
        <v>8000.0</v>
      </c>
      <c r="Q74" s="14"/>
      <c r="R74" s="68"/>
      <c r="S74" s="68"/>
    </row>
    <row r="75">
      <c r="A75" s="67" t="s">
        <v>88</v>
      </c>
      <c r="B75" s="14">
        <v>0.0</v>
      </c>
      <c r="C75" s="14">
        <v>0.0</v>
      </c>
      <c r="D75" s="68"/>
      <c r="E75" s="68"/>
      <c r="F75" s="3"/>
      <c r="G75" s="3"/>
      <c r="H75" s="67" t="s">
        <v>88</v>
      </c>
      <c r="I75" s="14">
        <v>0.0</v>
      </c>
      <c r="J75" s="14"/>
      <c r="K75" s="68"/>
      <c r="L75" s="68"/>
      <c r="O75" s="67" t="s">
        <v>88</v>
      </c>
      <c r="P75" s="14">
        <v>0.0</v>
      </c>
      <c r="Q75" s="14"/>
      <c r="R75" s="68"/>
      <c r="S75" s="68"/>
    </row>
    <row r="76">
      <c r="A76" s="67" t="s">
        <v>89</v>
      </c>
      <c r="B76" s="14">
        <v>0.0</v>
      </c>
      <c r="C76" s="14">
        <v>0.0</v>
      </c>
      <c r="D76" s="68"/>
      <c r="E76" s="68"/>
      <c r="F76" s="3"/>
      <c r="G76" s="3"/>
      <c r="H76" s="67" t="s">
        <v>89</v>
      </c>
      <c r="I76" s="14">
        <v>0.0</v>
      </c>
      <c r="J76" s="14"/>
      <c r="K76" s="68"/>
      <c r="L76" s="68"/>
      <c r="O76" s="67" t="s">
        <v>89</v>
      </c>
      <c r="P76" s="14">
        <v>0.0</v>
      </c>
      <c r="Q76" s="14"/>
      <c r="R76" s="68"/>
      <c r="S76" s="68"/>
    </row>
    <row r="77">
      <c r="A77" s="67" t="s">
        <v>90</v>
      </c>
      <c r="B77" s="73">
        <v>8000.0</v>
      </c>
      <c r="C77" s="73">
        <v>0.0</v>
      </c>
      <c r="D77" s="68"/>
      <c r="E77" s="68"/>
      <c r="F77" s="3"/>
      <c r="G77" s="3"/>
      <c r="H77" s="67" t="s">
        <v>90</v>
      </c>
      <c r="I77" s="73">
        <v>8000.0</v>
      </c>
      <c r="J77" s="73"/>
      <c r="K77" s="68"/>
      <c r="L77" s="68"/>
      <c r="O77" s="67" t="s">
        <v>90</v>
      </c>
      <c r="P77" s="73">
        <v>8000.0</v>
      </c>
      <c r="Q77" s="73"/>
      <c r="R77" s="68"/>
      <c r="S77" s="68"/>
    </row>
    <row r="78">
      <c r="A78" s="67" t="s">
        <v>91</v>
      </c>
      <c r="B78" s="14">
        <v>0.0</v>
      </c>
      <c r="C78" s="14">
        <v>0.0</v>
      </c>
      <c r="D78" s="68"/>
      <c r="E78" s="68"/>
      <c r="G78" s="2"/>
      <c r="H78" s="67" t="s">
        <v>91</v>
      </c>
      <c r="I78" s="14">
        <v>0.0</v>
      </c>
      <c r="J78" s="14"/>
      <c r="K78" s="68"/>
      <c r="L78" s="68"/>
      <c r="O78" s="67" t="s">
        <v>91</v>
      </c>
      <c r="P78" s="14">
        <v>0.0</v>
      </c>
      <c r="Q78" s="14"/>
      <c r="R78" s="68"/>
      <c r="S78" s="68"/>
    </row>
    <row r="79">
      <c r="A79" s="64" t="s">
        <v>92</v>
      </c>
      <c r="B79" s="83">
        <f t="shared" ref="B79:C79" si="34">B62+B77</f>
        <v>9172000</v>
      </c>
      <c r="C79" s="83">
        <f t="shared" si="34"/>
        <v>1631000</v>
      </c>
      <c r="D79" s="68"/>
      <c r="E79" s="68"/>
      <c r="G79" s="2"/>
      <c r="H79" s="64" t="s">
        <v>92</v>
      </c>
      <c r="I79" s="83">
        <f>I62+I77</f>
        <v>18336000</v>
      </c>
      <c r="J79" s="84"/>
      <c r="K79" s="68"/>
      <c r="L79" s="68"/>
      <c r="O79" s="64" t="s">
        <v>92</v>
      </c>
      <c r="P79" s="83">
        <f>P62+P77</f>
        <v>36664000</v>
      </c>
      <c r="Q79" s="84"/>
      <c r="R79" s="68"/>
      <c r="S79" s="68"/>
    </row>
    <row r="80">
      <c r="A80" s="67" t="s">
        <v>93</v>
      </c>
      <c r="B80" s="76">
        <v>41000.0</v>
      </c>
      <c r="C80" s="76">
        <v>8000.0</v>
      </c>
      <c r="D80" s="68"/>
      <c r="E80" s="68"/>
      <c r="G80" s="2"/>
      <c r="H80" s="67" t="s">
        <v>93</v>
      </c>
      <c r="I80" s="76">
        <v>41000.0</v>
      </c>
      <c r="J80" s="76"/>
      <c r="K80" s="68"/>
      <c r="L80" s="68"/>
      <c r="O80" s="67" t="s">
        <v>93</v>
      </c>
      <c r="P80" s="76">
        <v>41000.0</v>
      </c>
      <c r="Q80" s="76"/>
      <c r="R80" s="68"/>
      <c r="S80" s="68"/>
    </row>
    <row r="81">
      <c r="A81" s="67" t="s">
        <v>94</v>
      </c>
      <c r="B81" s="76">
        <v>2000.0</v>
      </c>
      <c r="C81" s="14">
        <v>0.0</v>
      </c>
      <c r="D81" s="68"/>
      <c r="E81" s="68"/>
      <c r="G81" s="14"/>
      <c r="H81" s="67" t="s">
        <v>94</v>
      </c>
      <c r="I81" s="76">
        <v>2000.0</v>
      </c>
      <c r="J81" s="14"/>
      <c r="K81" s="68"/>
      <c r="L81" s="68"/>
      <c r="O81" s="67" t="s">
        <v>94</v>
      </c>
      <c r="P81" s="76">
        <v>2000.0</v>
      </c>
      <c r="Q81" s="14"/>
      <c r="R81" s="68"/>
      <c r="S81" s="68"/>
    </row>
    <row r="82">
      <c r="A82" s="67" t="s">
        <v>95</v>
      </c>
      <c r="B82" s="76">
        <v>2000.0</v>
      </c>
      <c r="C82" s="76">
        <v>0.0</v>
      </c>
      <c r="D82" s="68"/>
      <c r="E82" s="68"/>
      <c r="G82" s="14"/>
      <c r="H82" s="67" t="s">
        <v>95</v>
      </c>
      <c r="I82" s="76">
        <v>2000.0</v>
      </c>
      <c r="J82" s="76"/>
      <c r="K82" s="68"/>
      <c r="L82" s="68"/>
      <c r="O82" s="67" t="s">
        <v>95</v>
      </c>
      <c r="P82" s="76">
        <v>2000.0</v>
      </c>
      <c r="Q82" s="76"/>
      <c r="R82" s="68"/>
      <c r="S82" s="68"/>
    </row>
    <row r="83">
      <c r="A83" s="67" t="s">
        <v>96</v>
      </c>
      <c r="B83" s="76">
        <v>43000.0</v>
      </c>
      <c r="C83" s="14">
        <v>8000.0</v>
      </c>
      <c r="D83" s="68"/>
      <c r="E83" s="68"/>
      <c r="G83" s="2"/>
      <c r="H83" s="67" t="s">
        <v>96</v>
      </c>
      <c r="I83" s="76">
        <v>43000.0</v>
      </c>
      <c r="J83" s="14"/>
      <c r="K83" s="68"/>
      <c r="L83" s="68"/>
      <c r="O83" s="67" t="s">
        <v>96</v>
      </c>
      <c r="P83" s="76">
        <v>43000.0</v>
      </c>
      <c r="Q83" s="14"/>
      <c r="R83" s="68"/>
      <c r="S83" s="68"/>
    </row>
    <row r="84">
      <c r="A84" s="64" t="s">
        <v>97</v>
      </c>
      <c r="B84" s="83">
        <f>B82+B80+B70+B64+B66+B68+B63</f>
        <v>7980000</v>
      </c>
      <c r="C84" s="83">
        <f>C82+C80+C70+C64+C66+C68</f>
        <v>1163000</v>
      </c>
      <c r="D84" s="68"/>
      <c r="E84" s="68"/>
      <c r="H84" s="64" t="s">
        <v>97</v>
      </c>
      <c r="I84" s="83">
        <f>I82+I80+I70+I64+I66+I68+I63</f>
        <v>15589880</v>
      </c>
      <c r="J84" s="84"/>
      <c r="K84" s="68"/>
      <c r="L84" s="68"/>
      <c r="O84" s="64" t="s">
        <v>97</v>
      </c>
      <c r="P84" s="83">
        <f>P82+P80+P70+P64+P66+P68+P63</f>
        <v>30390640</v>
      </c>
      <c r="Q84" s="84"/>
      <c r="R84" s="68"/>
      <c r="S84" s="68"/>
    </row>
    <row r="85">
      <c r="A85" s="67" t="s">
        <v>98</v>
      </c>
      <c r="B85" s="83">
        <v>1192000.0</v>
      </c>
      <c r="C85" s="83">
        <v>467000.0</v>
      </c>
      <c r="D85" s="68"/>
      <c r="E85" s="68"/>
      <c r="G85" s="2"/>
      <c r="H85" s="67" t="s">
        <v>98</v>
      </c>
      <c r="I85" s="83">
        <f>I71-I83+I77</f>
        <v>2746120</v>
      </c>
      <c r="J85" s="84"/>
      <c r="K85" s="68"/>
      <c r="L85" s="68"/>
      <c r="O85" s="67" t="s">
        <v>98</v>
      </c>
      <c r="P85" s="83">
        <f>P71-P83+P77</f>
        <v>6273360</v>
      </c>
      <c r="Q85" s="84"/>
      <c r="R85" s="68"/>
      <c r="S85" s="68"/>
    </row>
    <row r="86">
      <c r="A86" s="67" t="s">
        <v>99</v>
      </c>
      <c r="B86" s="76">
        <v>293000.0</v>
      </c>
      <c r="C86" s="76">
        <v>106000.0</v>
      </c>
      <c r="D86" s="80">
        <f t="shared" ref="D86:E86" si="35">B86/B85</f>
        <v>0.2458053691</v>
      </c>
      <c r="E86" s="80">
        <f t="shared" si="35"/>
        <v>0.2269807281</v>
      </c>
      <c r="G86" s="2"/>
      <c r="H86" s="67" t="s">
        <v>99</v>
      </c>
      <c r="I86" s="75">
        <f>I85*J86</f>
        <v>686530</v>
      </c>
      <c r="J86" s="85">
        <v>0.25</v>
      </c>
      <c r="L86" s="80"/>
      <c r="O86" s="67" t="s">
        <v>99</v>
      </c>
      <c r="P86" s="75">
        <f>P85*Q86</f>
        <v>1568340</v>
      </c>
      <c r="Q86" s="85">
        <v>0.25</v>
      </c>
      <c r="S86" s="80"/>
    </row>
    <row r="87">
      <c r="A87" s="67" t="s">
        <v>100</v>
      </c>
      <c r="B87" s="14">
        <v>899000.0</v>
      </c>
      <c r="C87" s="14">
        <v>362000.0</v>
      </c>
      <c r="D87" s="68"/>
      <c r="E87" s="68"/>
      <c r="G87" s="2"/>
      <c r="H87" s="67" t="s">
        <v>100</v>
      </c>
      <c r="I87" s="14">
        <f>I85-I86</f>
        <v>2059590</v>
      </c>
      <c r="J87" s="14"/>
      <c r="K87" s="68"/>
      <c r="L87" s="68"/>
      <c r="O87" s="67" t="s">
        <v>100</v>
      </c>
      <c r="P87" s="14">
        <f>P85-P86</f>
        <v>4705020</v>
      </c>
      <c r="Q87" s="14"/>
      <c r="R87" s="68"/>
      <c r="S87" s="68"/>
    </row>
    <row r="88">
      <c r="A88" s="67" t="s">
        <v>101</v>
      </c>
      <c r="B88" s="14">
        <v>0.0</v>
      </c>
      <c r="C88" s="14">
        <v>0.0</v>
      </c>
      <c r="D88" s="68"/>
      <c r="E88" s="68"/>
      <c r="G88" s="2"/>
      <c r="H88" s="67" t="s">
        <v>101</v>
      </c>
      <c r="I88" s="14">
        <v>0.0</v>
      </c>
      <c r="J88" s="14"/>
      <c r="K88" s="68"/>
      <c r="L88" s="68"/>
      <c r="O88" s="67" t="s">
        <v>101</v>
      </c>
      <c r="P88" s="14">
        <v>0.0</v>
      </c>
      <c r="Q88" s="14"/>
      <c r="R88" s="68"/>
      <c r="S88" s="68"/>
    </row>
    <row r="89">
      <c r="A89" s="67" t="s">
        <v>102</v>
      </c>
      <c r="B89" s="14">
        <v>0.0</v>
      </c>
      <c r="C89" s="14">
        <v>0.0</v>
      </c>
      <c r="D89" s="68"/>
      <c r="E89" s="68"/>
      <c r="G89" s="2"/>
      <c r="H89" s="67" t="s">
        <v>102</v>
      </c>
      <c r="I89" s="14">
        <v>0.0</v>
      </c>
      <c r="J89" s="14"/>
      <c r="K89" s="68"/>
      <c r="L89" s="68"/>
      <c r="O89" s="67" t="s">
        <v>102</v>
      </c>
      <c r="P89" s="14">
        <v>0.0</v>
      </c>
      <c r="Q89" s="14"/>
      <c r="R89" s="68"/>
      <c r="S89" s="68"/>
    </row>
    <row r="90">
      <c r="A90" s="67" t="s">
        <v>103</v>
      </c>
      <c r="B90" s="14">
        <v>0.0</v>
      </c>
      <c r="C90" s="14">
        <v>0.0</v>
      </c>
      <c r="D90" s="68"/>
      <c r="E90" s="68"/>
      <c r="G90" s="2"/>
      <c r="H90" s="67" t="s">
        <v>103</v>
      </c>
      <c r="I90" s="14">
        <v>0.0</v>
      </c>
      <c r="J90" s="14"/>
      <c r="K90" s="68"/>
      <c r="L90" s="68"/>
      <c r="O90" s="67" t="s">
        <v>103</v>
      </c>
      <c r="P90" s="14">
        <v>0.0</v>
      </c>
      <c r="Q90" s="14"/>
      <c r="R90" s="68"/>
      <c r="S90" s="68"/>
    </row>
    <row r="91">
      <c r="A91" s="67" t="s">
        <v>67</v>
      </c>
      <c r="B91" s="82">
        <v>899000.0</v>
      </c>
      <c r="C91" s="82">
        <v>362000.0</v>
      </c>
      <c r="D91" s="68"/>
      <c r="E91" s="68"/>
      <c r="F91" s="86"/>
      <c r="G91" s="86"/>
      <c r="H91" s="67" t="s">
        <v>67</v>
      </c>
      <c r="I91" s="82">
        <f>I87+I88-I89-I90</f>
        <v>2059590</v>
      </c>
      <c r="J91" s="14"/>
      <c r="K91" s="68"/>
      <c r="L91" s="68"/>
      <c r="O91" s="67" t="s">
        <v>67</v>
      </c>
      <c r="P91" s="82">
        <f>P87+P88-P89-P90</f>
        <v>4705020</v>
      </c>
      <c r="Q91" s="14"/>
      <c r="R91" s="68"/>
      <c r="S91" s="68"/>
    </row>
    <row r="92">
      <c r="A92" s="67" t="s">
        <v>104</v>
      </c>
      <c r="B92" s="76">
        <v>1000000.0</v>
      </c>
      <c r="C92" s="14">
        <v>0.0</v>
      </c>
      <c r="D92" s="68"/>
      <c r="E92" s="68"/>
      <c r="H92" s="67" t="s">
        <v>104</v>
      </c>
      <c r="I92" s="76">
        <v>1000000.0</v>
      </c>
      <c r="J92" s="14"/>
      <c r="K92" s="68"/>
      <c r="L92" s="68"/>
      <c r="O92" s="67" t="s">
        <v>104</v>
      </c>
      <c r="P92" s="76">
        <v>1000000.0</v>
      </c>
      <c r="Q92" s="14"/>
      <c r="R92" s="68"/>
      <c r="S92" s="68"/>
    </row>
    <row r="93">
      <c r="A93" s="67" t="s">
        <v>105</v>
      </c>
      <c r="B93" s="14">
        <v>0.0</v>
      </c>
      <c r="C93" s="14">
        <v>0.0</v>
      </c>
      <c r="D93" s="68"/>
      <c r="E93" s="68"/>
      <c r="G93" s="3"/>
      <c r="H93" s="67" t="s">
        <v>105</v>
      </c>
      <c r="I93" s="14">
        <v>0.0</v>
      </c>
      <c r="J93" s="14"/>
      <c r="K93" s="68"/>
      <c r="L93" s="68"/>
      <c r="O93" s="67" t="s">
        <v>105</v>
      </c>
      <c r="P93" s="14">
        <v>0.0</v>
      </c>
      <c r="Q93" s="14"/>
      <c r="R93" s="68"/>
      <c r="S93" s="68"/>
    </row>
    <row r="94">
      <c r="A94" s="67" t="s">
        <v>106</v>
      </c>
      <c r="B94" s="14">
        <v>0.0</v>
      </c>
      <c r="C94" s="14">
        <v>0.0</v>
      </c>
      <c r="D94" s="68"/>
      <c r="E94" s="68"/>
      <c r="G94" s="3"/>
      <c r="H94" s="67" t="s">
        <v>106</v>
      </c>
      <c r="I94" s="14">
        <v>0.0</v>
      </c>
      <c r="J94" s="14"/>
      <c r="K94" s="68"/>
      <c r="L94" s="68"/>
      <c r="O94" s="67" t="s">
        <v>106</v>
      </c>
      <c r="P94" s="14">
        <v>0.0</v>
      </c>
      <c r="Q94" s="14"/>
      <c r="R94" s="68"/>
      <c r="S94" s="68"/>
    </row>
    <row r="95">
      <c r="A95" s="67" t="s">
        <v>107</v>
      </c>
      <c r="B95" s="76">
        <v>1000000.0</v>
      </c>
      <c r="C95" s="76">
        <v>0.0</v>
      </c>
      <c r="D95" s="68"/>
      <c r="E95" s="68"/>
      <c r="G95" s="3"/>
      <c r="H95" s="67" t="s">
        <v>107</v>
      </c>
      <c r="I95" s="76">
        <v>1000000.0</v>
      </c>
      <c r="J95" s="76"/>
      <c r="K95" s="68"/>
      <c r="L95" s="68"/>
      <c r="O95" s="67" t="s">
        <v>107</v>
      </c>
      <c r="P95" s="76">
        <v>1000000.0</v>
      </c>
      <c r="Q95" s="76"/>
      <c r="R95" s="68"/>
      <c r="S95" s="68"/>
    </row>
    <row r="96">
      <c r="A96" s="67" t="s">
        <v>108</v>
      </c>
      <c r="B96" s="14">
        <v>0.0</v>
      </c>
      <c r="C96" s="14">
        <v>0.0</v>
      </c>
      <c r="D96" s="68"/>
      <c r="E96" s="68"/>
      <c r="G96" s="3"/>
      <c r="H96" s="67" t="s">
        <v>108</v>
      </c>
      <c r="I96" s="14">
        <v>0.0</v>
      </c>
      <c r="J96" s="14"/>
      <c r="K96" s="68"/>
      <c r="L96" s="68"/>
      <c r="O96" s="67" t="s">
        <v>108</v>
      </c>
      <c r="P96" s="14">
        <v>0.0</v>
      </c>
      <c r="Q96" s="14"/>
      <c r="R96" s="68"/>
      <c r="S96" s="68"/>
    </row>
    <row r="97">
      <c r="B97" s="11"/>
      <c r="C97" s="11"/>
      <c r="D97" s="11"/>
      <c r="E97" s="11"/>
      <c r="G97" s="3"/>
    </row>
    <row r="98">
      <c r="B98" s="11"/>
      <c r="C98" s="11"/>
      <c r="D98" s="11"/>
      <c r="E98" s="11"/>
      <c r="G98" s="3"/>
    </row>
    <row r="99">
      <c r="B99" s="11"/>
      <c r="C99" s="11"/>
      <c r="D99" s="11"/>
      <c r="E99" s="11"/>
      <c r="G99" s="3"/>
    </row>
    <row r="100" hidden="1">
      <c r="A100" s="1" t="s">
        <v>109</v>
      </c>
      <c r="B100" s="87" t="s">
        <v>70</v>
      </c>
      <c r="C100" s="5"/>
      <c r="D100" s="5"/>
      <c r="E100" s="5"/>
      <c r="G100" s="3"/>
    </row>
    <row r="101">
      <c r="A101" s="1"/>
      <c r="B101" s="78"/>
      <c r="C101" s="5"/>
      <c r="D101" s="5"/>
      <c r="E101" s="5"/>
      <c r="G101" s="3"/>
    </row>
    <row r="102" hidden="1">
      <c r="A102" s="5"/>
      <c r="C102" s="1"/>
      <c r="D102" s="78"/>
      <c r="E102" s="5"/>
      <c r="G102" s="3"/>
    </row>
    <row r="103">
      <c r="A103" s="1"/>
      <c r="B103" s="78"/>
      <c r="C103" s="1"/>
      <c r="D103" s="78"/>
      <c r="E103" s="5"/>
      <c r="G103" s="3"/>
    </row>
    <row r="104">
      <c r="A104" s="1"/>
      <c r="B104" s="78"/>
      <c r="C104" s="1"/>
      <c r="D104" s="78"/>
      <c r="E104" s="5"/>
      <c r="G104" s="3"/>
    </row>
    <row r="105">
      <c r="A105" s="78"/>
      <c r="B105" s="71"/>
      <c r="C105" s="1"/>
      <c r="D105" s="78"/>
      <c r="E105" s="5"/>
      <c r="G105" s="3"/>
    </row>
    <row r="106">
      <c r="A106" s="78"/>
      <c r="B106" s="71"/>
      <c r="C106" s="1"/>
      <c r="D106" s="78"/>
      <c r="E106" s="5"/>
      <c r="G106" s="3"/>
    </row>
    <row r="107" hidden="1">
      <c r="A107" s="1"/>
      <c r="B107" s="78"/>
      <c r="C107" s="1"/>
      <c r="D107" s="78"/>
      <c r="E107" s="5"/>
      <c r="G107" s="3"/>
    </row>
    <row r="108" hidden="1">
      <c r="A108" s="1"/>
      <c r="B108" s="78"/>
      <c r="C108" s="1"/>
      <c r="D108" s="78"/>
      <c r="E108" s="5"/>
      <c r="G108" s="3"/>
    </row>
    <row r="109" hidden="1">
      <c r="A109" s="1"/>
      <c r="B109" s="5"/>
      <c r="C109" s="1"/>
      <c r="D109" s="78"/>
      <c r="E109" s="5"/>
      <c r="G109" s="3"/>
    </row>
    <row r="110">
      <c r="A110" s="1"/>
      <c r="B110" s="5"/>
      <c r="C110" s="5"/>
      <c r="D110" s="5"/>
      <c r="E110" s="5"/>
      <c r="G110" s="3"/>
    </row>
    <row r="111" ht="18.0" hidden="1" customHeight="1">
      <c r="A111" s="1"/>
      <c r="B111" s="78"/>
      <c r="C111" s="5"/>
      <c r="D111" s="5"/>
      <c r="E111" s="5"/>
      <c r="G111" s="3"/>
    </row>
    <row r="112" hidden="1">
      <c r="A112" s="1"/>
      <c r="B112" s="5"/>
      <c r="D112" s="5"/>
      <c r="E112" s="5"/>
      <c r="G112" s="3"/>
    </row>
    <row r="113" hidden="1">
      <c r="A113" s="78"/>
      <c r="B113" s="71"/>
      <c r="C113" s="5"/>
      <c r="D113" s="5"/>
      <c r="E113" s="5"/>
      <c r="G113" s="3"/>
    </row>
    <row r="114">
      <c r="A114" s="86"/>
      <c r="B114" s="86"/>
      <c r="C114" s="5"/>
      <c r="D114" s="5"/>
      <c r="E114" s="5"/>
      <c r="G114" s="3"/>
    </row>
    <row r="115" hidden="1">
      <c r="A115" s="86"/>
      <c r="B115" s="86"/>
      <c r="C115" s="5"/>
      <c r="D115" s="5"/>
      <c r="E115" s="5"/>
      <c r="G115" s="3"/>
    </row>
    <row r="116">
      <c r="A116" s="1"/>
      <c r="B116" s="5"/>
      <c r="C116" s="3"/>
      <c r="D116" s="3"/>
      <c r="E116" s="3"/>
      <c r="G116" s="3"/>
    </row>
    <row r="117">
      <c r="A117" s="1"/>
      <c r="B117" s="78"/>
      <c r="C117" s="3"/>
      <c r="D117" s="3"/>
      <c r="E117" s="3"/>
      <c r="F117" s="11"/>
      <c r="G117" s="3"/>
    </row>
    <row r="118">
      <c r="F118" s="11"/>
      <c r="G118" s="3"/>
    </row>
    <row r="119">
      <c r="A119" s="3"/>
      <c r="B119" s="62" t="s">
        <v>110</v>
      </c>
      <c r="D119" s="63"/>
      <c r="F119" s="11"/>
      <c r="G119" s="3"/>
    </row>
    <row r="120">
      <c r="A120" s="64" t="s">
        <v>69</v>
      </c>
      <c r="B120" s="65" t="s">
        <v>70</v>
      </c>
      <c r="C120" s="65"/>
      <c r="D120" s="66"/>
      <c r="E120" s="66"/>
      <c r="F120" s="3"/>
      <c r="G120" s="3"/>
    </row>
    <row r="121">
      <c r="A121" s="67" t="s">
        <v>72</v>
      </c>
      <c r="B121" s="14">
        <v>1.8328E7</v>
      </c>
      <c r="C121" s="14">
        <v>2.0</v>
      </c>
      <c r="D121" s="68"/>
      <c r="E121" s="68"/>
      <c r="F121" s="3"/>
      <c r="G121" s="3"/>
    </row>
    <row r="122">
      <c r="A122" s="67" t="s">
        <v>73</v>
      </c>
      <c r="B122" s="14">
        <v>0.0</v>
      </c>
      <c r="C122" s="69">
        <v>0.02</v>
      </c>
      <c r="D122" s="68"/>
      <c r="E122" s="68"/>
      <c r="F122" s="3"/>
      <c r="G122" s="3"/>
    </row>
    <row r="123">
      <c r="A123" s="67" t="s">
        <v>74</v>
      </c>
      <c r="B123" s="11">
        <v>2.4437333333333332E7</v>
      </c>
      <c r="C123" s="72"/>
      <c r="D123" s="68"/>
      <c r="E123" s="70"/>
      <c r="F123" s="3"/>
      <c r="G123" s="3"/>
    </row>
    <row r="124">
      <c r="A124" s="67" t="s">
        <v>75</v>
      </c>
      <c r="B124" s="73">
        <v>1.8328E7</v>
      </c>
      <c r="C124" s="73"/>
      <c r="D124" s="68"/>
      <c r="E124" s="70"/>
      <c r="F124" s="3"/>
      <c r="G124" s="3"/>
    </row>
    <row r="125">
      <c r="A125" s="64" t="s">
        <v>76</v>
      </c>
      <c r="B125" s="74">
        <v>1000.0</v>
      </c>
      <c r="C125" s="75"/>
      <c r="D125" s="68"/>
      <c r="E125" s="70"/>
      <c r="F125" s="3"/>
      <c r="G125" s="3"/>
    </row>
    <row r="126">
      <c r="A126" s="67" t="s">
        <v>77</v>
      </c>
      <c r="B126" s="76">
        <v>12000.0</v>
      </c>
      <c r="C126" s="76"/>
      <c r="D126" s="68"/>
      <c r="E126" s="77"/>
      <c r="F126" s="3"/>
      <c r="G126" s="3"/>
    </row>
    <row r="127">
      <c r="A127" s="67" t="s">
        <v>111</v>
      </c>
      <c r="B127" s="76">
        <f>38860*12</f>
        <v>466320</v>
      </c>
      <c r="C127" s="14"/>
      <c r="D127" s="68"/>
      <c r="E127" s="68"/>
      <c r="F127" s="3"/>
      <c r="G127" s="3"/>
    </row>
    <row r="128">
      <c r="A128" s="67" t="s">
        <v>78</v>
      </c>
      <c r="B128" s="14">
        <v>0.0</v>
      </c>
      <c r="C128" s="14"/>
      <c r="D128" s="68"/>
      <c r="E128" s="68"/>
      <c r="F128" s="3"/>
      <c r="G128" s="3"/>
    </row>
    <row r="129">
      <c r="A129" s="67" t="s">
        <v>79</v>
      </c>
      <c r="B129" s="76">
        <v>1.1658E7</v>
      </c>
      <c r="C129" s="76"/>
      <c r="D129" s="68"/>
      <c r="E129" s="68"/>
      <c r="F129" s="3"/>
      <c r="G129" s="3"/>
    </row>
    <row r="130">
      <c r="A130" s="67" t="s">
        <v>80</v>
      </c>
      <c r="B130" s="14">
        <v>9724000.0</v>
      </c>
      <c r="C130" s="14"/>
      <c r="D130" s="80"/>
      <c r="E130" s="80"/>
      <c r="F130" s="3"/>
      <c r="G130" s="3"/>
    </row>
    <row r="131">
      <c r="A131" s="67" t="s">
        <v>81</v>
      </c>
      <c r="B131" s="76">
        <v>27000.0</v>
      </c>
      <c r="C131" s="76"/>
      <c r="D131" s="68"/>
      <c r="E131" s="68"/>
      <c r="F131" s="3"/>
      <c r="G131" s="3"/>
    </row>
    <row r="132">
      <c r="A132" s="67" t="s">
        <v>82</v>
      </c>
      <c r="B132" s="14">
        <v>0.0</v>
      </c>
      <c r="C132" s="14"/>
      <c r="D132" s="68"/>
      <c r="E132" s="68"/>
      <c r="F132" s="3"/>
      <c r="G132" s="3"/>
    </row>
    <row r="133">
      <c r="A133" s="67" t="s">
        <v>83</v>
      </c>
      <c r="B133" s="76">
        <v>3848880.0</v>
      </c>
      <c r="C133" s="75">
        <v>0.21</v>
      </c>
      <c r="D133" s="68"/>
      <c r="E133" s="68"/>
      <c r="F133" s="3"/>
      <c r="G133" s="3"/>
    </row>
    <row r="134">
      <c r="A134" s="67" t="s">
        <v>84</v>
      </c>
      <c r="B134" s="83">
        <f>2781120-B127</f>
        <v>2314800</v>
      </c>
      <c r="C134" s="14"/>
      <c r="D134" s="68"/>
      <c r="E134" s="68"/>
      <c r="F134" s="3"/>
      <c r="G134" s="3"/>
    </row>
    <row r="135">
      <c r="A135" s="67" t="s">
        <v>85</v>
      </c>
      <c r="B135" s="14">
        <v>0.0</v>
      </c>
      <c r="C135" s="14"/>
      <c r="D135" s="68"/>
      <c r="E135" s="68"/>
      <c r="F135" s="3"/>
      <c r="G135" s="3"/>
    </row>
    <row r="136">
      <c r="A136" s="67" t="s">
        <v>86</v>
      </c>
      <c r="B136" s="14">
        <v>0.0</v>
      </c>
      <c r="C136" s="14"/>
      <c r="D136" s="68"/>
      <c r="E136" s="68"/>
      <c r="F136" s="3"/>
      <c r="G136" s="3"/>
    </row>
    <row r="137">
      <c r="A137" s="67" t="s">
        <v>87</v>
      </c>
      <c r="B137" s="73">
        <v>8000.0</v>
      </c>
      <c r="C137" s="14"/>
      <c r="D137" s="68"/>
      <c r="E137" s="68"/>
      <c r="F137" s="3"/>
      <c r="G137" s="3"/>
    </row>
    <row r="138">
      <c r="A138" s="67" t="s">
        <v>88</v>
      </c>
      <c r="B138" s="14">
        <v>0.0</v>
      </c>
      <c r="C138" s="14"/>
      <c r="D138" s="68"/>
      <c r="E138" s="68"/>
      <c r="F138" s="3"/>
      <c r="G138" s="3"/>
    </row>
    <row r="139">
      <c r="A139" s="67" t="s">
        <v>89</v>
      </c>
      <c r="B139" s="14">
        <v>0.0</v>
      </c>
      <c r="C139" s="14"/>
      <c r="D139" s="68"/>
      <c r="E139" s="68"/>
      <c r="F139" s="3"/>
      <c r="G139" s="3"/>
    </row>
    <row r="140">
      <c r="A140" s="67" t="s">
        <v>90</v>
      </c>
      <c r="B140" s="73">
        <v>8000.0</v>
      </c>
      <c r="C140" s="73"/>
      <c r="D140" s="68"/>
      <c r="E140" s="68"/>
      <c r="F140" s="3"/>
      <c r="G140" s="3"/>
    </row>
    <row r="141">
      <c r="A141" s="67" t="s">
        <v>91</v>
      </c>
      <c r="B141" s="14">
        <v>0.0</v>
      </c>
      <c r="C141" s="14"/>
      <c r="D141" s="68"/>
      <c r="E141" s="68"/>
      <c r="F141" s="3"/>
      <c r="G141" s="3"/>
    </row>
    <row r="142">
      <c r="A142" s="64" t="s">
        <v>92</v>
      </c>
      <c r="B142" s="88">
        <v>1.8336E7</v>
      </c>
      <c r="C142" s="84"/>
      <c r="D142" s="68"/>
      <c r="E142" s="68"/>
      <c r="F142" s="3"/>
      <c r="G142" s="3"/>
    </row>
    <row r="143">
      <c r="A143" s="67" t="s">
        <v>93</v>
      </c>
      <c r="B143" s="76">
        <v>41000.0</v>
      </c>
      <c r="C143" s="76"/>
      <c r="D143" s="68"/>
      <c r="E143" s="68"/>
      <c r="F143" s="3"/>
      <c r="G143" s="3"/>
    </row>
    <row r="144">
      <c r="A144" s="67" t="s">
        <v>94</v>
      </c>
      <c r="B144" s="76">
        <v>2000.0</v>
      </c>
      <c r="C144" s="14"/>
      <c r="D144" s="68"/>
      <c r="E144" s="68"/>
      <c r="F144" s="3"/>
      <c r="G144" s="3"/>
    </row>
    <row r="145">
      <c r="A145" s="67" t="s">
        <v>95</v>
      </c>
      <c r="B145" s="76">
        <v>2000.0</v>
      </c>
      <c r="C145" s="76"/>
      <c r="D145" s="68"/>
      <c r="E145" s="68"/>
      <c r="F145" s="3"/>
      <c r="G145" s="3"/>
    </row>
    <row r="146">
      <c r="A146" s="67" t="s">
        <v>96</v>
      </c>
      <c r="B146" s="76">
        <v>43000.0</v>
      </c>
      <c r="C146" s="14"/>
      <c r="D146" s="68"/>
      <c r="E146" s="68"/>
      <c r="F146" s="3"/>
      <c r="G146" s="3"/>
    </row>
    <row r="147">
      <c r="A147" s="64" t="s">
        <v>97</v>
      </c>
      <c r="B147" s="88">
        <v>1.558988E7</v>
      </c>
      <c r="C147" s="84"/>
      <c r="D147" s="68"/>
      <c r="E147" s="68"/>
      <c r="F147" s="3"/>
      <c r="G147" s="3"/>
    </row>
    <row r="148">
      <c r="A148" s="67" t="s">
        <v>98</v>
      </c>
      <c r="B148" s="83">
        <f>B140+B134-B146</f>
        <v>2279800</v>
      </c>
      <c r="C148" s="84"/>
      <c r="D148" s="68"/>
      <c r="E148" s="68"/>
      <c r="F148" s="3"/>
      <c r="G148" s="3"/>
    </row>
    <row r="149">
      <c r="A149" s="67" t="s">
        <v>99</v>
      </c>
      <c r="B149" s="75">
        <f>B148*C149</f>
        <v>569950</v>
      </c>
      <c r="C149" s="85">
        <v>0.25</v>
      </c>
      <c r="E149" s="80"/>
      <c r="F149" s="3"/>
      <c r="G149" s="3"/>
    </row>
    <row r="150">
      <c r="A150" s="67" t="s">
        <v>100</v>
      </c>
      <c r="B150" s="83">
        <f>B148-B149</f>
        <v>1709850</v>
      </c>
      <c r="C150" s="14"/>
      <c r="D150" s="68"/>
      <c r="E150" s="68"/>
      <c r="F150" s="3"/>
      <c r="G150" s="3"/>
    </row>
    <row r="151">
      <c r="A151" s="67" t="s">
        <v>101</v>
      </c>
      <c r="B151" s="14">
        <v>0.0</v>
      </c>
      <c r="C151" s="14"/>
      <c r="D151" s="68"/>
      <c r="E151" s="68"/>
      <c r="F151" s="3"/>
      <c r="G151" s="3"/>
    </row>
    <row r="152">
      <c r="A152" s="67" t="s">
        <v>102</v>
      </c>
      <c r="B152" s="14">
        <v>0.0</v>
      </c>
      <c r="C152" s="14"/>
      <c r="D152" s="68"/>
      <c r="E152" s="68"/>
      <c r="F152" s="3"/>
      <c r="G152" s="3"/>
    </row>
    <row r="153">
      <c r="A153" s="67" t="s">
        <v>103</v>
      </c>
      <c r="B153" s="14">
        <v>0.0</v>
      </c>
      <c r="C153" s="14"/>
      <c r="D153" s="68"/>
      <c r="E153" s="68"/>
      <c r="F153" s="3"/>
      <c r="G153" s="3"/>
    </row>
    <row r="154">
      <c r="A154" s="67" t="s">
        <v>67</v>
      </c>
      <c r="B154" s="83">
        <f>B150+B151-B152-B153</f>
        <v>1709850</v>
      </c>
      <c r="C154" s="14"/>
      <c r="D154" s="68"/>
      <c r="E154" s="68"/>
    </row>
    <row r="155">
      <c r="A155" s="67" t="s">
        <v>104</v>
      </c>
      <c r="B155" s="76">
        <v>1000000.0</v>
      </c>
      <c r="C155" s="14"/>
      <c r="D155" s="68"/>
      <c r="E155" s="68"/>
    </row>
    <row r="156">
      <c r="A156" s="67" t="s">
        <v>105</v>
      </c>
      <c r="B156" s="14">
        <v>0.0</v>
      </c>
      <c r="C156" s="14"/>
      <c r="D156" s="68"/>
      <c r="E156" s="68"/>
    </row>
    <row r="157">
      <c r="A157" s="67" t="s">
        <v>106</v>
      </c>
      <c r="B157" s="14">
        <v>0.0</v>
      </c>
      <c r="C157" s="14"/>
      <c r="D157" s="68"/>
      <c r="E157" s="68"/>
    </row>
    <row r="158">
      <c r="A158" s="67" t="s">
        <v>107</v>
      </c>
      <c r="B158" s="76">
        <v>1000000.0</v>
      </c>
      <c r="C158" s="76"/>
      <c r="D158" s="68"/>
      <c r="E158" s="68"/>
    </row>
    <row r="159">
      <c r="A159" s="67" t="s">
        <v>108</v>
      </c>
      <c r="B159" s="14">
        <v>0.0</v>
      </c>
      <c r="C159" s="14"/>
      <c r="D159" s="68"/>
      <c r="E159" s="68"/>
    </row>
  </sheetData>
  <mergeCells count="11">
    <mergeCell ref="R57:S57"/>
    <mergeCell ref="P57:Q57"/>
    <mergeCell ref="B119:C119"/>
    <mergeCell ref="D119:E119"/>
    <mergeCell ref="D57:E57"/>
    <mergeCell ref="B57:C57"/>
    <mergeCell ref="A43:F43"/>
    <mergeCell ref="H43:M43"/>
    <mergeCell ref="K57:L57"/>
    <mergeCell ref="I57:J57"/>
    <mergeCell ref="O43:T43"/>
  </mergeCells>
  <drawing r:id="rId1"/>
</worksheet>
</file>