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slicers/slicer1.xml" ContentType="application/vnd.ms-excel.slicer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1.xml" ContentType="application/vnd.ms-excel.controlproperties+xml"/>
  <Override PartName="/xl/tables/table14.xml" ContentType="application/vnd.openxmlformats-officedocument.spreadsheetml.table+xml"/>
  <Override PartName="/xl/slicers/slicer3.xml" ContentType="application/vnd.ms-excel.slicer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เวิร์กบุ๊กนี้" hidePivotFieldList="1"/>
  <mc:AlternateContent xmlns:mc="http://schemas.openxmlformats.org/markup-compatibility/2006">
    <mc:Choice Requires="x15">
      <x15ac:absPath xmlns:x15ac="http://schemas.microsoft.com/office/spreadsheetml/2010/11/ac" url="https://d.docs.live.net/ae559025377cd784/เอกสาร/MTC_works/Maintanace_Team/อัปเดตตารางงานซ่อมติดตามรายเดือน/"/>
    </mc:Choice>
  </mc:AlternateContent>
  <xr:revisionPtr revIDLastSave="6" documentId="13_ncr:1_{CA76F36D-68CA-4470-9758-01D98C26AFF4}" xr6:coauthVersionLast="47" xr6:coauthVersionMax="47" xr10:uidLastSave="{BA90E07D-8CD2-4320-A70C-625BCAE542C6}"/>
  <bookViews>
    <workbookView xWindow="-38520" yWindow="-5415" windowWidth="38640" windowHeight="21840" activeTab="2" xr2:uid="{00000000-000D-0000-FFFF-FFFF00000000}"/>
  </bookViews>
  <sheets>
    <sheet name="📈ตัวอย่างตารางงาน" sheetId="51" r:id="rId1"/>
    <sheet name="💻Update งานซ่อม (ทดลอง)" sheetId="42" state="hidden" r:id="rId2"/>
    <sheet name="📊วิเคราะห์งานรายเดือน" sheetId="49" r:id="rId3"/>
    <sheet name="🔧รายการงานซ่อมทั้งหมด" sheetId="47" r:id="rId4"/>
    <sheet name="คลังงานซ่อม" sheetId="48" state="hidden" r:id="rId5"/>
    <sheet name="🛠️งานซ่อมตามแผน" sheetId="5" state="hidden" r:id="rId6"/>
    <sheet name="Sheet1" sheetId="52" state="hidden" r:id="rId7"/>
    <sheet name="📈กราฟรวมงานซ่อม" sheetId="33" state="hidden" r:id="rId8"/>
    <sheet name="📆สรุปรายปี2569" sheetId="36" state="hidden" r:id="rId9"/>
    <sheet name="🧑🏽‍คำแนะนำจากพี่ฟลุค_พี่กอร์ฟ" sheetId="31" state="hidden" r:id="rId10"/>
    <sheet name="📊DashBoard" sheetId="32" state="hidden" r:id="rId11"/>
    <sheet name="💻Update งานซ่อม (เมษายน)" sheetId="22" state="hidden" r:id="rId12"/>
    <sheet name="📃สรุปงานทั้งหมด" sheetId="35" state="hidden" r:id="rId13"/>
    <sheet name="➕แจ้งซ่อมเพิ่มเติม" sheetId="18" state="hidden" r:id="rId14"/>
    <sheet name="✅เช็คตำแหน่งน้ำรั่ว" sheetId="38" state="hidden" r:id="rId15"/>
    <sheet name="✅เช็คม่าน" sheetId="30" state="hidden" r:id="rId16"/>
    <sheet name="📦Stock" sheetId="6" state="hidden" r:id="rId17"/>
  </sheets>
  <definedNames>
    <definedName name="_xleta.COUNT" hidden="1" xlm="1">#NAME?</definedName>
    <definedName name="_xlnm.Print_Area" localSheetId="11">'💻Update งานซ่อม (เมษายน)'!$A$1:$P$187</definedName>
    <definedName name="_xlnm.Print_Area" localSheetId="1">'💻Update งานซ่อม (ทดลอง)'!$A$2:$Q$170</definedName>
    <definedName name="ตัวแบ่งส่วนข้อมูล_เดือน">#N/A</definedName>
    <definedName name="ตัวแบ่งส่วนข้อมูล_เดือน1">#N/A</definedName>
    <definedName name="ตัวแบ่งส่วนข้อมูล_ชั้น">#N/A</definedName>
    <definedName name="ตัวแบ่งส่วนข้อมูล_ชื่ออุปกรณ์">#N/A</definedName>
    <definedName name="ตัวแบ่งส่วนข้อมูล_ทีมซ่อม">#N/A</definedName>
    <definedName name="ตัวแบ่งส่วนข้อมูล_ประเภท">#N/A</definedName>
    <definedName name="ตัวแบ่งส่วนข้อมูล_วันที่เข้าแก้ไข">#N/A</definedName>
    <definedName name="ตัวแบ่งส่วนข้อมูล_สำเร็จ">#N/A</definedName>
  </definedNames>
  <calcPr calcId="191029"/>
  <pivotCaches>
    <pivotCache cacheId="0" r:id="rId18"/>
  </pivotCaches>
  <extLst>
    <ext xmlns:x14="http://schemas.microsoft.com/office/spreadsheetml/2009/9/main" uri="{BBE1A952-AA13-448e-AADC-164F8A28A991}">
      <x14:slicerCaches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3" i="49" l="1"/>
  <c r="M63" i="49"/>
  <c r="L63" i="49"/>
  <c r="K63" i="49"/>
  <c r="J63" i="49"/>
  <c r="I63" i="49"/>
  <c r="H63" i="49"/>
  <c r="G63" i="49"/>
  <c r="F63" i="49"/>
  <c r="E63" i="49"/>
  <c r="D63" i="49"/>
  <c r="B63" i="49"/>
  <c r="B62" i="49"/>
  <c r="B156" i="49"/>
  <c r="B155" i="49"/>
  <c r="B154" i="49"/>
  <c r="B153" i="49"/>
  <c r="P151" i="49"/>
  <c r="P150" i="49"/>
  <c r="P149" i="49"/>
  <c r="P148" i="49"/>
  <c r="P147" i="49"/>
  <c r="P146" i="49"/>
  <c r="P145" i="49"/>
  <c r="P144" i="49"/>
  <c r="P143" i="49"/>
  <c r="P142" i="49"/>
  <c r="P141" i="49"/>
  <c r="P140" i="49"/>
  <c r="P139" i="49"/>
  <c r="P138" i="49"/>
  <c r="P129" i="49"/>
  <c r="P128" i="49"/>
  <c r="P127" i="49"/>
  <c r="P126" i="49"/>
  <c r="P125" i="49"/>
  <c r="P124" i="49"/>
  <c r="P123" i="49"/>
  <c r="P122" i="49"/>
  <c r="P121" i="49"/>
  <c r="P120" i="49"/>
  <c r="P119" i="49"/>
  <c r="P118" i="49"/>
  <c r="P117" i="49"/>
  <c r="P116" i="49"/>
  <c r="P107" i="49"/>
  <c r="P106" i="49"/>
  <c r="P105" i="49"/>
  <c r="P104" i="49"/>
  <c r="P103" i="49"/>
  <c r="P102" i="49"/>
  <c r="P101" i="49"/>
  <c r="P100" i="49"/>
  <c r="P99" i="49"/>
  <c r="P98" i="49"/>
  <c r="P97" i="49"/>
  <c r="P96" i="49"/>
  <c r="P95" i="49"/>
  <c r="P94" i="49"/>
  <c r="P85" i="49"/>
  <c r="P84" i="49"/>
  <c r="P83" i="49"/>
  <c r="P82" i="49"/>
  <c r="P81" i="49"/>
  <c r="P80" i="49"/>
  <c r="P79" i="49"/>
  <c r="P78" i="49"/>
  <c r="P77" i="49"/>
  <c r="P76" i="49"/>
  <c r="P75" i="49"/>
  <c r="P74" i="49"/>
  <c r="P73" i="49"/>
  <c r="P72" i="49"/>
  <c r="O62" i="49"/>
  <c r="O61" i="49"/>
  <c r="O60" i="49"/>
  <c r="O59" i="49"/>
  <c r="O58" i="49"/>
  <c r="O57" i="49"/>
  <c r="O56" i="49"/>
  <c r="O55" i="49"/>
  <c r="O54" i="49"/>
  <c r="O53" i="49"/>
  <c r="O52" i="49"/>
  <c r="O51" i="49"/>
  <c r="O50" i="49"/>
  <c r="F81" i="51"/>
  <c r="E81" i="51"/>
  <c r="F75" i="51"/>
  <c r="E75" i="51"/>
  <c r="F69" i="51"/>
  <c r="E69" i="51"/>
  <c r="F63" i="51"/>
  <c r="E63" i="51"/>
  <c r="F57" i="51"/>
  <c r="E57" i="51"/>
  <c r="F51" i="51"/>
  <c r="E51" i="51"/>
  <c r="F45" i="51"/>
  <c r="E45" i="51"/>
  <c r="N50" i="49"/>
  <c r="N64" i="49" s="1"/>
  <c r="N72" i="49"/>
  <c r="O138" i="49"/>
  <c r="O152" i="49" s="1"/>
  <c r="O116" i="49"/>
  <c r="O130" i="49" s="1"/>
  <c r="O94" i="49"/>
  <c r="O108" i="49" s="1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L62" i="49"/>
  <c r="L61" i="49"/>
  <c r="L60" i="49"/>
  <c r="L59" i="49"/>
  <c r="L58" i="49"/>
  <c r="L57" i="49"/>
  <c r="L56" i="49"/>
  <c r="L55" i="49"/>
  <c r="L54" i="49"/>
  <c r="L53" i="49"/>
  <c r="L52" i="49"/>
  <c r="L51" i="49"/>
  <c r="L50" i="49"/>
  <c r="K62" i="49"/>
  <c r="K61" i="49"/>
  <c r="K60" i="49"/>
  <c r="K59" i="49"/>
  <c r="K58" i="49"/>
  <c r="K57" i="49"/>
  <c r="K56" i="49"/>
  <c r="K55" i="49"/>
  <c r="K54" i="49"/>
  <c r="K53" i="49"/>
  <c r="K52" i="49"/>
  <c r="K51" i="49"/>
  <c r="K50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I62" i="49"/>
  <c r="I61" i="49"/>
  <c r="I60" i="49"/>
  <c r="I59" i="49"/>
  <c r="I58" i="49"/>
  <c r="I57" i="49"/>
  <c r="I56" i="49"/>
  <c r="I55" i="49"/>
  <c r="I54" i="49"/>
  <c r="I53" i="49"/>
  <c r="I52" i="49"/>
  <c r="I51" i="49"/>
  <c r="I50" i="49"/>
  <c r="H62" i="49"/>
  <c r="H61" i="49"/>
  <c r="H60" i="49"/>
  <c r="H59" i="49"/>
  <c r="H58" i="49"/>
  <c r="H57" i="49"/>
  <c r="H56" i="49"/>
  <c r="H55" i="49"/>
  <c r="H54" i="49"/>
  <c r="H53" i="49"/>
  <c r="H52" i="49"/>
  <c r="H51" i="49"/>
  <c r="H50" i="49"/>
  <c r="G62" i="49"/>
  <c r="G61" i="49"/>
  <c r="G60" i="49"/>
  <c r="G59" i="49"/>
  <c r="G58" i="49"/>
  <c r="G57" i="49"/>
  <c r="G56" i="49"/>
  <c r="G55" i="49"/>
  <c r="G54" i="49"/>
  <c r="G53" i="49"/>
  <c r="G52" i="49"/>
  <c r="G51" i="49"/>
  <c r="G50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E62" i="49"/>
  <c r="E61" i="49"/>
  <c r="E60" i="49"/>
  <c r="E59" i="49"/>
  <c r="E58" i="49"/>
  <c r="E57" i="49"/>
  <c r="E56" i="49"/>
  <c r="E55" i="49"/>
  <c r="E54" i="49"/>
  <c r="E53" i="49"/>
  <c r="E52" i="49"/>
  <c r="E51" i="49"/>
  <c r="E50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B68" i="49"/>
  <c r="B67" i="49"/>
  <c r="B66" i="49"/>
  <c r="B65" i="49"/>
  <c r="N151" i="49"/>
  <c r="M151" i="49"/>
  <c r="L151" i="49"/>
  <c r="K151" i="49"/>
  <c r="J151" i="49"/>
  <c r="I151" i="49"/>
  <c r="H151" i="49"/>
  <c r="G151" i="49"/>
  <c r="F151" i="49"/>
  <c r="E151" i="49"/>
  <c r="D151" i="49"/>
  <c r="B151" i="49"/>
  <c r="N150" i="49"/>
  <c r="M150" i="49"/>
  <c r="L150" i="49"/>
  <c r="K150" i="49"/>
  <c r="J150" i="49"/>
  <c r="I150" i="49"/>
  <c r="H150" i="49"/>
  <c r="G150" i="49"/>
  <c r="F150" i="49"/>
  <c r="E150" i="49"/>
  <c r="D150" i="49"/>
  <c r="B150" i="49"/>
  <c r="N149" i="49"/>
  <c r="M149" i="49"/>
  <c r="L149" i="49"/>
  <c r="K149" i="49"/>
  <c r="J149" i="49"/>
  <c r="I149" i="49"/>
  <c r="H149" i="49"/>
  <c r="G149" i="49"/>
  <c r="F149" i="49"/>
  <c r="E149" i="49"/>
  <c r="D149" i="49"/>
  <c r="B149" i="49"/>
  <c r="N148" i="49"/>
  <c r="M148" i="49"/>
  <c r="L148" i="49"/>
  <c r="K148" i="49"/>
  <c r="J148" i="49"/>
  <c r="I148" i="49"/>
  <c r="H148" i="49"/>
  <c r="G148" i="49"/>
  <c r="F148" i="49"/>
  <c r="E148" i="49"/>
  <c r="D148" i="49"/>
  <c r="B148" i="49"/>
  <c r="N147" i="49"/>
  <c r="M147" i="49"/>
  <c r="L147" i="49"/>
  <c r="K147" i="49"/>
  <c r="J147" i="49"/>
  <c r="I147" i="49"/>
  <c r="H147" i="49"/>
  <c r="G147" i="49"/>
  <c r="F147" i="49"/>
  <c r="E147" i="49"/>
  <c r="D147" i="49"/>
  <c r="B147" i="49"/>
  <c r="N146" i="49"/>
  <c r="M146" i="49"/>
  <c r="L146" i="49"/>
  <c r="K146" i="49"/>
  <c r="J146" i="49"/>
  <c r="I146" i="49"/>
  <c r="H146" i="49"/>
  <c r="G146" i="49"/>
  <c r="F146" i="49"/>
  <c r="E146" i="49"/>
  <c r="D146" i="49"/>
  <c r="B146" i="49"/>
  <c r="N145" i="49"/>
  <c r="M145" i="49"/>
  <c r="L145" i="49"/>
  <c r="K145" i="49"/>
  <c r="J145" i="49"/>
  <c r="I145" i="49"/>
  <c r="H145" i="49"/>
  <c r="G145" i="49"/>
  <c r="F145" i="49"/>
  <c r="E145" i="49"/>
  <c r="D145" i="49"/>
  <c r="B145" i="49"/>
  <c r="N144" i="49"/>
  <c r="M144" i="49"/>
  <c r="L144" i="49"/>
  <c r="K144" i="49"/>
  <c r="J144" i="49"/>
  <c r="I144" i="49"/>
  <c r="H144" i="49"/>
  <c r="G144" i="49"/>
  <c r="F144" i="49"/>
  <c r="E144" i="49"/>
  <c r="D144" i="49"/>
  <c r="B144" i="49"/>
  <c r="N143" i="49"/>
  <c r="M143" i="49"/>
  <c r="L143" i="49"/>
  <c r="K143" i="49"/>
  <c r="J143" i="49"/>
  <c r="I143" i="49"/>
  <c r="H143" i="49"/>
  <c r="G143" i="49"/>
  <c r="F143" i="49"/>
  <c r="E143" i="49"/>
  <c r="D143" i="49"/>
  <c r="B143" i="49"/>
  <c r="N142" i="49"/>
  <c r="M142" i="49"/>
  <c r="L142" i="49"/>
  <c r="K142" i="49"/>
  <c r="J142" i="49"/>
  <c r="I142" i="49"/>
  <c r="H142" i="49"/>
  <c r="G142" i="49"/>
  <c r="F142" i="49"/>
  <c r="E142" i="49"/>
  <c r="D142" i="49"/>
  <c r="B142" i="49"/>
  <c r="N141" i="49"/>
  <c r="M141" i="49"/>
  <c r="L141" i="49"/>
  <c r="K141" i="49"/>
  <c r="J141" i="49"/>
  <c r="I141" i="49"/>
  <c r="H141" i="49"/>
  <c r="G141" i="49"/>
  <c r="F141" i="49"/>
  <c r="E141" i="49"/>
  <c r="D141" i="49"/>
  <c r="B141" i="49"/>
  <c r="N140" i="49"/>
  <c r="M140" i="49"/>
  <c r="L140" i="49"/>
  <c r="K140" i="49"/>
  <c r="J140" i="49"/>
  <c r="I140" i="49"/>
  <c r="H140" i="49"/>
  <c r="G140" i="49"/>
  <c r="F140" i="49"/>
  <c r="E140" i="49"/>
  <c r="D140" i="49"/>
  <c r="B140" i="49"/>
  <c r="N139" i="49"/>
  <c r="M139" i="49"/>
  <c r="L139" i="49"/>
  <c r="K139" i="49"/>
  <c r="J139" i="49"/>
  <c r="I139" i="49"/>
  <c r="H139" i="49"/>
  <c r="G139" i="49"/>
  <c r="F139" i="49"/>
  <c r="E139" i="49"/>
  <c r="D139" i="49"/>
  <c r="B139" i="49"/>
  <c r="N138" i="49"/>
  <c r="M138" i="49"/>
  <c r="L138" i="49"/>
  <c r="K138" i="49"/>
  <c r="J138" i="49"/>
  <c r="I138" i="49"/>
  <c r="H138" i="49"/>
  <c r="G138" i="49"/>
  <c r="F138" i="49"/>
  <c r="E138" i="49"/>
  <c r="D138" i="49"/>
  <c r="B138" i="49"/>
  <c r="B134" i="49"/>
  <c r="B133" i="49"/>
  <c r="B132" i="49"/>
  <c r="B131" i="49"/>
  <c r="N129" i="49"/>
  <c r="M129" i="49"/>
  <c r="L129" i="49"/>
  <c r="K129" i="49"/>
  <c r="J129" i="49"/>
  <c r="I129" i="49"/>
  <c r="H129" i="49"/>
  <c r="G129" i="49"/>
  <c r="F129" i="49"/>
  <c r="E129" i="49"/>
  <c r="D129" i="49"/>
  <c r="B129" i="49"/>
  <c r="N128" i="49"/>
  <c r="M128" i="49"/>
  <c r="L128" i="49"/>
  <c r="K128" i="49"/>
  <c r="J128" i="49"/>
  <c r="I128" i="49"/>
  <c r="H128" i="49"/>
  <c r="G128" i="49"/>
  <c r="F128" i="49"/>
  <c r="E128" i="49"/>
  <c r="D128" i="49"/>
  <c r="B128" i="49"/>
  <c r="N127" i="49"/>
  <c r="M127" i="49"/>
  <c r="L127" i="49"/>
  <c r="K127" i="49"/>
  <c r="J127" i="49"/>
  <c r="I127" i="49"/>
  <c r="H127" i="49"/>
  <c r="G127" i="49"/>
  <c r="F127" i="49"/>
  <c r="E127" i="49"/>
  <c r="D127" i="49"/>
  <c r="B127" i="49"/>
  <c r="N126" i="49"/>
  <c r="M126" i="49"/>
  <c r="L126" i="49"/>
  <c r="K126" i="49"/>
  <c r="J126" i="49"/>
  <c r="I126" i="49"/>
  <c r="H126" i="49"/>
  <c r="G126" i="49"/>
  <c r="F126" i="49"/>
  <c r="E126" i="49"/>
  <c r="D126" i="49"/>
  <c r="B126" i="49"/>
  <c r="N125" i="49"/>
  <c r="M125" i="49"/>
  <c r="L125" i="49"/>
  <c r="K125" i="49"/>
  <c r="J125" i="49"/>
  <c r="I125" i="49"/>
  <c r="H125" i="49"/>
  <c r="G125" i="49"/>
  <c r="F125" i="49"/>
  <c r="E125" i="49"/>
  <c r="D125" i="49"/>
  <c r="B125" i="49"/>
  <c r="N124" i="49"/>
  <c r="M124" i="49"/>
  <c r="L124" i="49"/>
  <c r="K124" i="49"/>
  <c r="J124" i="49"/>
  <c r="I124" i="49"/>
  <c r="H124" i="49"/>
  <c r="G124" i="49"/>
  <c r="F124" i="49"/>
  <c r="E124" i="49"/>
  <c r="D124" i="49"/>
  <c r="B124" i="49"/>
  <c r="N123" i="49"/>
  <c r="M123" i="49"/>
  <c r="L123" i="49"/>
  <c r="K123" i="49"/>
  <c r="J123" i="49"/>
  <c r="I123" i="49"/>
  <c r="H123" i="49"/>
  <c r="G123" i="49"/>
  <c r="F123" i="49"/>
  <c r="E123" i="49"/>
  <c r="D123" i="49"/>
  <c r="B123" i="49"/>
  <c r="N122" i="49"/>
  <c r="M122" i="49"/>
  <c r="L122" i="49"/>
  <c r="K122" i="49"/>
  <c r="J122" i="49"/>
  <c r="I122" i="49"/>
  <c r="H122" i="49"/>
  <c r="G122" i="49"/>
  <c r="F122" i="49"/>
  <c r="E122" i="49"/>
  <c r="D122" i="49"/>
  <c r="B122" i="49"/>
  <c r="N121" i="49"/>
  <c r="M121" i="49"/>
  <c r="L121" i="49"/>
  <c r="K121" i="49"/>
  <c r="J121" i="49"/>
  <c r="I121" i="49"/>
  <c r="H121" i="49"/>
  <c r="G121" i="49"/>
  <c r="F121" i="49"/>
  <c r="E121" i="49"/>
  <c r="D121" i="49"/>
  <c r="B121" i="49"/>
  <c r="N120" i="49"/>
  <c r="M120" i="49"/>
  <c r="L120" i="49"/>
  <c r="K120" i="49"/>
  <c r="J120" i="49"/>
  <c r="I120" i="49"/>
  <c r="H120" i="49"/>
  <c r="G120" i="49"/>
  <c r="F120" i="49"/>
  <c r="E120" i="49"/>
  <c r="D120" i="49"/>
  <c r="B120" i="49"/>
  <c r="N119" i="49"/>
  <c r="M119" i="49"/>
  <c r="L119" i="49"/>
  <c r="K119" i="49"/>
  <c r="J119" i="49"/>
  <c r="I119" i="49"/>
  <c r="H119" i="49"/>
  <c r="G119" i="49"/>
  <c r="F119" i="49"/>
  <c r="E119" i="49"/>
  <c r="D119" i="49"/>
  <c r="B119" i="49"/>
  <c r="N118" i="49"/>
  <c r="M118" i="49"/>
  <c r="L118" i="49"/>
  <c r="K118" i="49"/>
  <c r="J118" i="49"/>
  <c r="I118" i="49"/>
  <c r="H118" i="49"/>
  <c r="G118" i="49"/>
  <c r="F118" i="49"/>
  <c r="E118" i="49"/>
  <c r="D118" i="49"/>
  <c r="B118" i="49"/>
  <c r="N117" i="49"/>
  <c r="M117" i="49"/>
  <c r="L117" i="49"/>
  <c r="K117" i="49"/>
  <c r="J117" i="49"/>
  <c r="I117" i="49"/>
  <c r="H117" i="49"/>
  <c r="G117" i="49"/>
  <c r="F117" i="49"/>
  <c r="E117" i="49"/>
  <c r="D117" i="49"/>
  <c r="B117" i="49"/>
  <c r="N116" i="49"/>
  <c r="M116" i="49"/>
  <c r="L116" i="49"/>
  <c r="K116" i="49"/>
  <c r="J116" i="49"/>
  <c r="I116" i="49"/>
  <c r="H116" i="49"/>
  <c r="G116" i="49"/>
  <c r="F116" i="49"/>
  <c r="E116" i="49"/>
  <c r="D116" i="49"/>
  <c r="B116" i="49"/>
  <c r="B112" i="49"/>
  <c r="B111" i="49"/>
  <c r="B110" i="49"/>
  <c r="B109" i="49"/>
  <c r="N107" i="49"/>
  <c r="M107" i="49"/>
  <c r="L107" i="49"/>
  <c r="K107" i="49"/>
  <c r="J107" i="49"/>
  <c r="I107" i="49"/>
  <c r="H107" i="49"/>
  <c r="G107" i="49"/>
  <c r="F107" i="49"/>
  <c r="E107" i="49"/>
  <c r="D107" i="49"/>
  <c r="B107" i="49"/>
  <c r="N106" i="49"/>
  <c r="M106" i="49"/>
  <c r="L106" i="49"/>
  <c r="K106" i="49"/>
  <c r="J106" i="49"/>
  <c r="I106" i="49"/>
  <c r="H106" i="49"/>
  <c r="G106" i="49"/>
  <c r="F106" i="49"/>
  <c r="E106" i="49"/>
  <c r="D106" i="49"/>
  <c r="B106" i="49"/>
  <c r="N105" i="49"/>
  <c r="M105" i="49"/>
  <c r="L105" i="49"/>
  <c r="K105" i="49"/>
  <c r="J105" i="49"/>
  <c r="I105" i="49"/>
  <c r="H105" i="49"/>
  <c r="G105" i="49"/>
  <c r="F105" i="49"/>
  <c r="E105" i="49"/>
  <c r="D105" i="49"/>
  <c r="B105" i="49"/>
  <c r="N104" i="49"/>
  <c r="M104" i="49"/>
  <c r="L104" i="49"/>
  <c r="K104" i="49"/>
  <c r="J104" i="49"/>
  <c r="I104" i="49"/>
  <c r="H104" i="49"/>
  <c r="G104" i="49"/>
  <c r="F104" i="49"/>
  <c r="E104" i="49"/>
  <c r="D104" i="49"/>
  <c r="B104" i="49"/>
  <c r="N103" i="49"/>
  <c r="M103" i="49"/>
  <c r="L103" i="49"/>
  <c r="K103" i="49"/>
  <c r="J103" i="49"/>
  <c r="I103" i="49"/>
  <c r="H103" i="49"/>
  <c r="G103" i="49"/>
  <c r="F103" i="49"/>
  <c r="E103" i="49"/>
  <c r="D103" i="49"/>
  <c r="B103" i="49"/>
  <c r="N102" i="49"/>
  <c r="M102" i="49"/>
  <c r="L102" i="49"/>
  <c r="K102" i="49"/>
  <c r="J102" i="49"/>
  <c r="I102" i="49"/>
  <c r="H102" i="49"/>
  <c r="G102" i="49"/>
  <c r="F102" i="49"/>
  <c r="E102" i="49"/>
  <c r="D102" i="49"/>
  <c r="B102" i="49"/>
  <c r="N101" i="49"/>
  <c r="M101" i="49"/>
  <c r="L101" i="49"/>
  <c r="K101" i="49"/>
  <c r="J101" i="49"/>
  <c r="I101" i="49"/>
  <c r="H101" i="49"/>
  <c r="G101" i="49"/>
  <c r="F101" i="49"/>
  <c r="E101" i="49"/>
  <c r="D101" i="49"/>
  <c r="B101" i="49"/>
  <c r="N100" i="49"/>
  <c r="M100" i="49"/>
  <c r="L100" i="49"/>
  <c r="K100" i="49"/>
  <c r="J100" i="49"/>
  <c r="I100" i="49"/>
  <c r="H100" i="49"/>
  <c r="G100" i="49"/>
  <c r="F100" i="49"/>
  <c r="E100" i="49"/>
  <c r="D100" i="49"/>
  <c r="B100" i="49"/>
  <c r="N99" i="49"/>
  <c r="M99" i="49"/>
  <c r="L99" i="49"/>
  <c r="K99" i="49"/>
  <c r="J99" i="49"/>
  <c r="I99" i="49"/>
  <c r="H99" i="49"/>
  <c r="G99" i="49"/>
  <c r="F99" i="49"/>
  <c r="E99" i="49"/>
  <c r="D99" i="49"/>
  <c r="B99" i="49"/>
  <c r="N98" i="49"/>
  <c r="M98" i="49"/>
  <c r="L98" i="49"/>
  <c r="K98" i="49"/>
  <c r="J98" i="49"/>
  <c r="I98" i="49"/>
  <c r="H98" i="49"/>
  <c r="G98" i="49"/>
  <c r="F98" i="49"/>
  <c r="E98" i="49"/>
  <c r="D98" i="49"/>
  <c r="B98" i="49"/>
  <c r="N97" i="49"/>
  <c r="M97" i="49"/>
  <c r="L97" i="49"/>
  <c r="K97" i="49"/>
  <c r="J97" i="49"/>
  <c r="I97" i="49"/>
  <c r="H97" i="49"/>
  <c r="G97" i="49"/>
  <c r="F97" i="49"/>
  <c r="E97" i="49"/>
  <c r="D97" i="49"/>
  <c r="B97" i="49"/>
  <c r="N96" i="49"/>
  <c r="M96" i="49"/>
  <c r="L96" i="49"/>
  <c r="K96" i="49"/>
  <c r="J96" i="49"/>
  <c r="I96" i="49"/>
  <c r="H96" i="49"/>
  <c r="G96" i="49"/>
  <c r="F96" i="49"/>
  <c r="E96" i="49"/>
  <c r="D96" i="49"/>
  <c r="B96" i="49"/>
  <c r="N95" i="49"/>
  <c r="M95" i="49"/>
  <c r="L95" i="49"/>
  <c r="K95" i="49"/>
  <c r="J95" i="49"/>
  <c r="I95" i="49"/>
  <c r="H95" i="49"/>
  <c r="G95" i="49"/>
  <c r="F95" i="49"/>
  <c r="E95" i="49"/>
  <c r="D95" i="49"/>
  <c r="B95" i="49"/>
  <c r="N94" i="49"/>
  <c r="M94" i="49"/>
  <c r="L94" i="49"/>
  <c r="K94" i="49"/>
  <c r="J94" i="49"/>
  <c r="I94" i="49"/>
  <c r="H94" i="49"/>
  <c r="G94" i="49"/>
  <c r="F94" i="49"/>
  <c r="E94" i="49"/>
  <c r="D94" i="49"/>
  <c r="B94" i="49"/>
  <c r="B73" i="49"/>
  <c r="B74" i="49"/>
  <c r="B75" i="49"/>
  <c r="B76" i="49"/>
  <c r="B77" i="49"/>
  <c r="B78" i="49"/>
  <c r="B79" i="49"/>
  <c r="B80" i="49"/>
  <c r="B81" i="49"/>
  <c r="B82" i="49"/>
  <c r="B83" i="49"/>
  <c r="B84" i="49"/>
  <c r="B85" i="49"/>
  <c r="B72" i="49"/>
  <c r="B90" i="49"/>
  <c r="B89" i="49"/>
  <c r="B88" i="49"/>
  <c r="B87" i="49"/>
  <c r="N85" i="49"/>
  <c r="M85" i="49"/>
  <c r="L85" i="49"/>
  <c r="K85" i="49"/>
  <c r="J85" i="49"/>
  <c r="I85" i="49"/>
  <c r="H85" i="49"/>
  <c r="G85" i="49"/>
  <c r="F85" i="49"/>
  <c r="E85" i="49"/>
  <c r="D85" i="49"/>
  <c r="N84" i="49"/>
  <c r="M84" i="49"/>
  <c r="L84" i="49"/>
  <c r="K84" i="49"/>
  <c r="J84" i="49"/>
  <c r="I84" i="49"/>
  <c r="H84" i="49"/>
  <c r="G84" i="49"/>
  <c r="F84" i="49"/>
  <c r="E84" i="49"/>
  <c r="D84" i="49"/>
  <c r="N83" i="49"/>
  <c r="M83" i="49"/>
  <c r="L83" i="49"/>
  <c r="K83" i="49"/>
  <c r="J83" i="49"/>
  <c r="I83" i="49"/>
  <c r="H83" i="49"/>
  <c r="G83" i="49"/>
  <c r="F83" i="49"/>
  <c r="E83" i="49"/>
  <c r="D83" i="49"/>
  <c r="N82" i="49"/>
  <c r="M82" i="49"/>
  <c r="L82" i="49"/>
  <c r="K82" i="49"/>
  <c r="J82" i="49"/>
  <c r="I82" i="49"/>
  <c r="H82" i="49"/>
  <c r="G82" i="49"/>
  <c r="F82" i="49"/>
  <c r="E82" i="49"/>
  <c r="D82" i="49"/>
  <c r="N81" i="49"/>
  <c r="M81" i="49"/>
  <c r="L81" i="49"/>
  <c r="K81" i="49"/>
  <c r="J81" i="49"/>
  <c r="I81" i="49"/>
  <c r="H81" i="49"/>
  <c r="G81" i="49"/>
  <c r="F81" i="49"/>
  <c r="E81" i="49"/>
  <c r="D81" i="49"/>
  <c r="N80" i="49"/>
  <c r="M80" i="49"/>
  <c r="L80" i="49"/>
  <c r="K80" i="49"/>
  <c r="J80" i="49"/>
  <c r="I80" i="49"/>
  <c r="H80" i="49"/>
  <c r="G80" i="49"/>
  <c r="F80" i="49"/>
  <c r="E80" i="49"/>
  <c r="D80" i="49"/>
  <c r="N79" i="49"/>
  <c r="M79" i="49"/>
  <c r="L79" i="49"/>
  <c r="K79" i="49"/>
  <c r="J79" i="49"/>
  <c r="I79" i="49"/>
  <c r="H79" i="49"/>
  <c r="G79" i="49"/>
  <c r="F79" i="49"/>
  <c r="E79" i="49"/>
  <c r="D79" i="49"/>
  <c r="N78" i="49"/>
  <c r="M78" i="49"/>
  <c r="L78" i="49"/>
  <c r="K78" i="49"/>
  <c r="J78" i="49"/>
  <c r="I78" i="49"/>
  <c r="H78" i="49"/>
  <c r="G78" i="49"/>
  <c r="F78" i="49"/>
  <c r="E78" i="49"/>
  <c r="D78" i="49"/>
  <c r="N77" i="49"/>
  <c r="M77" i="49"/>
  <c r="L77" i="49"/>
  <c r="K77" i="49"/>
  <c r="J77" i="49"/>
  <c r="I77" i="49"/>
  <c r="H77" i="49"/>
  <c r="G77" i="49"/>
  <c r="F77" i="49"/>
  <c r="E77" i="49"/>
  <c r="D77" i="49"/>
  <c r="N76" i="49"/>
  <c r="M76" i="49"/>
  <c r="L76" i="49"/>
  <c r="K76" i="49"/>
  <c r="J76" i="49"/>
  <c r="I76" i="49"/>
  <c r="H76" i="49"/>
  <c r="G76" i="49"/>
  <c r="F76" i="49"/>
  <c r="E76" i="49"/>
  <c r="D76" i="49"/>
  <c r="N75" i="49"/>
  <c r="M75" i="49"/>
  <c r="L75" i="49"/>
  <c r="K75" i="49"/>
  <c r="J75" i="49"/>
  <c r="I75" i="49"/>
  <c r="H75" i="49"/>
  <c r="G75" i="49"/>
  <c r="F75" i="49"/>
  <c r="E75" i="49"/>
  <c r="D75" i="49"/>
  <c r="N74" i="49"/>
  <c r="M74" i="49"/>
  <c r="L74" i="49"/>
  <c r="K74" i="49"/>
  <c r="J74" i="49"/>
  <c r="I74" i="49"/>
  <c r="H74" i="49"/>
  <c r="G74" i="49"/>
  <c r="F74" i="49"/>
  <c r="E74" i="49"/>
  <c r="D74" i="49"/>
  <c r="N73" i="49"/>
  <c r="M73" i="49"/>
  <c r="L73" i="49"/>
  <c r="K73" i="49"/>
  <c r="J73" i="49"/>
  <c r="I73" i="49"/>
  <c r="H73" i="49"/>
  <c r="G73" i="49"/>
  <c r="F73" i="49"/>
  <c r="E73" i="49"/>
  <c r="D73" i="49"/>
  <c r="O72" i="49"/>
  <c r="O86" i="49" s="1"/>
  <c r="M72" i="49"/>
  <c r="L72" i="49"/>
  <c r="K72" i="49"/>
  <c r="J72" i="49"/>
  <c r="I72" i="49"/>
  <c r="H72" i="49"/>
  <c r="G72" i="49"/>
  <c r="F72" i="49"/>
  <c r="E72" i="49"/>
  <c r="D72" i="49"/>
  <c r="O4" i="52"/>
  <c r="O18" i="52" s="1"/>
  <c r="M4" i="52"/>
  <c r="N83" i="52"/>
  <c r="N82" i="52"/>
  <c r="N81" i="52"/>
  <c r="N80" i="52"/>
  <c r="N79" i="52"/>
  <c r="N78" i="52"/>
  <c r="N77" i="52"/>
  <c r="N76" i="52"/>
  <c r="N75" i="52"/>
  <c r="N74" i="52"/>
  <c r="N73" i="52"/>
  <c r="N72" i="52"/>
  <c r="N71" i="52"/>
  <c r="N70" i="52"/>
  <c r="M83" i="52"/>
  <c r="M82" i="52"/>
  <c r="M81" i="52"/>
  <c r="M80" i="52"/>
  <c r="M79" i="52"/>
  <c r="M78" i="52"/>
  <c r="M77" i="52"/>
  <c r="M76" i="52"/>
  <c r="M75" i="52"/>
  <c r="M74" i="52"/>
  <c r="M73" i="52"/>
  <c r="M72" i="52"/>
  <c r="M71" i="52"/>
  <c r="M70" i="52"/>
  <c r="L83" i="52"/>
  <c r="L82" i="52"/>
  <c r="L81" i="52"/>
  <c r="L80" i="52"/>
  <c r="L79" i="52"/>
  <c r="L78" i="52"/>
  <c r="L77" i="52"/>
  <c r="L76" i="52"/>
  <c r="L75" i="52"/>
  <c r="L74" i="52"/>
  <c r="L73" i="52"/>
  <c r="L72" i="52"/>
  <c r="L71" i="52"/>
  <c r="L70" i="52"/>
  <c r="K83" i="52"/>
  <c r="K82" i="52"/>
  <c r="K81" i="52"/>
  <c r="K80" i="52"/>
  <c r="K79" i="52"/>
  <c r="K78" i="52"/>
  <c r="K77" i="52"/>
  <c r="K76" i="52"/>
  <c r="K75" i="52"/>
  <c r="K74" i="52"/>
  <c r="K73" i="52"/>
  <c r="K72" i="52"/>
  <c r="K71" i="52"/>
  <c r="K70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I83" i="52"/>
  <c r="I82" i="52"/>
  <c r="I81" i="52"/>
  <c r="I80" i="52"/>
  <c r="I79" i="52"/>
  <c r="I78" i="52"/>
  <c r="I77" i="52"/>
  <c r="I76" i="52"/>
  <c r="I75" i="52"/>
  <c r="I74" i="52"/>
  <c r="I73" i="52"/>
  <c r="I72" i="52"/>
  <c r="I71" i="52"/>
  <c r="I70" i="52"/>
  <c r="H83" i="52"/>
  <c r="H82" i="52"/>
  <c r="H81" i="52"/>
  <c r="H80" i="52"/>
  <c r="H79" i="52"/>
  <c r="H78" i="52"/>
  <c r="H77" i="52"/>
  <c r="H76" i="52"/>
  <c r="H75" i="52"/>
  <c r="H74" i="52"/>
  <c r="H73" i="52"/>
  <c r="H72" i="52"/>
  <c r="H71" i="52"/>
  <c r="H70" i="52"/>
  <c r="G83" i="52"/>
  <c r="G82" i="52"/>
  <c r="G81" i="52"/>
  <c r="G80" i="52"/>
  <c r="G79" i="52"/>
  <c r="G78" i="52"/>
  <c r="G77" i="52"/>
  <c r="G76" i="52"/>
  <c r="G75" i="52"/>
  <c r="G74" i="52"/>
  <c r="G73" i="52"/>
  <c r="G72" i="52"/>
  <c r="G71" i="52"/>
  <c r="G70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E83" i="52"/>
  <c r="E82" i="52"/>
  <c r="E81" i="52"/>
  <c r="E80" i="52"/>
  <c r="E79" i="52"/>
  <c r="E78" i="52"/>
  <c r="E77" i="52"/>
  <c r="E76" i="52"/>
  <c r="E75" i="52"/>
  <c r="E74" i="52"/>
  <c r="E73" i="52"/>
  <c r="E72" i="52"/>
  <c r="E71" i="52"/>
  <c r="E70" i="52"/>
  <c r="D83" i="52"/>
  <c r="D82" i="52"/>
  <c r="D81" i="52"/>
  <c r="D80" i="52"/>
  <c r="D79" i="52"/>
  <c r="D78" i="52"/>
  <c r="D77" i="52"/>
  <c r="D76" i="52"/>
  <c r="D75" i="52"/>
  <c r="D74" i="52"/>
  <c r="D73" i="52"/>
  <c r="D72" i="52"/>
  <c r="D71" i="52"/>
  <c r="D70" i="52"/>
  <c r="B83" i="52"/>
  <c r="B82" i="52"/>
  <c r="B81" i="52"/>
  <c r="B80" i="52"/>
  <c r="B79" i="52"/>
  <c r="B78" i="52"/>
  <c r="B77" i="52"/>
  <c r="B76" i="52"/>
  <c r="B75" i="52"/>
  <c r="B74" i="52"/>
  <c r="B73" i="52"/>
  <c r="B72" i="52"/>
  <c r="B71" i="52"/>
  <c r="B70" i="52"/>
  <c r="E52" i="52"/>
  <c r="G52" i="52"/>
  <c r="H51" i="52"/>
  <c r="I50" i="52"/>
  <c r="N61" i="52"/>
  <c r="N60" i="52"/>
  <c r="N59" i="52"/>
  <c r="N58" i="52"/>
  <c r="N57" i="52"/>
  <c r="N56" i="52"/>
  <c r="N55" i="52"/>
  <c r="N54" i="52"/>
  <c r="N53" i="52"/>
  <c r="N52" i="52"/>
  <c r="N51" i="52"/>
  <c r="N50" i="52"/>
  <c r="N49" i="52"/>
  <c r="N48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L61" i="52"/>
  <c r="L60" i="52"/>
  <c r="L59" i="52"/>
  <c r="L58" i="52"/>
  <c r="L57" i="52"/>
  <c r="L56" i="52"/>
  <c r="L55" i="52"/>
  <c r="L54" i="52"/>
  <c r="L53" i="52"/>
  <c r="L52" i="52"/>
  <c r="L51" i="52"/>
  <c r="L50" i="52"/>
  <c r="L49" i="52"/>
  <c r="L48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I61" i="52"/>
  <c r="I60" i="52"/>
  <c r="I59" i="52"/>
  <c r="I58" i="52"/>
  <c r="I57" i="52"/>
  <c r="I56" i="52"/>
  <c r="I55" i="52"/>
  <c r="I54" i="52"/>
  <c r="I53" i="52"/>
  <c r="I52" i="52"/>
  <c r="I51" i="52"/>
  <c r="I49" i="52"/>
  <c r="I48" i="52"/>
  <c r="H61" i="52"/>
  <c r="H60" i="52"/>
  <c r="H59" i="52"/>
  <c r="H58" i="52"/>
  <c r="H57" i="52"/>
  <c r="H56" i="52"/>
  <c r="H55" i="52"/>
  <c r="H54" i="52"/>
  <c r="H53" i="52"/>
  <c r="H52" i="52"/>
  <c r="H50" i="52"/>
  <c r="H49" i="52"/>
  <c r="H48" i="52"/>
  <c r="G61" i="52"/>
  <c r="G60" i="52"/>
  <c r="G59" i="52"/>
  <c r="G58" i="52"/>
  <c r="G57" i="52"/>
  <c r="G56" i="52"/>
  <c r="G55" i="52"/>
  <c r="G54" i="52"/>
  <c r="G53" i="52"/>
  <c r="G51" i="52"/>
  <c r="G50" i="52"/>
  <c r="G49" i="52"/>
  <c r="G48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E61" i="52"/>
  <c r="E60" i="52"/>
  <c r="E59" i="52"/>
  <c r="E58" i="52"/>
  <c r="E57" i="52"/>
  <c r="E56" i="52"/>
  <c r="E55" i="52"/>
  <c r="E54" i="52"/>
  <c r="E53" i="52"/>
  <c r="E51" i="52"/>
  <c r="E50" i="52"/>
  <c r="E49" i="52"/>
  <c r="E48" i="52"/>
  <c r="D61" i="52"/>
  <c r="D60" i="52"/>
  <c r="D59" i="52"/>
  <c r="D58" i="52"/>
  <c r="D57" i="52"/>
  <c r="D56" i="52"/>
  <c r="D55" i="52"/>
  <c r="D54" i="52"/>
  <c r="D53" i="52"/>
  <c r="D52" i="52"/>
  <c r="D51" i="52"/>
  <c r="D50" i="52"/>
  <c r="D49" i="52"/>
  <c r="D48" i="52"/>
  <c r="G37" i="6"/>
  <c r="G36" i="6"/>
  <c r="G35" i="6"/>
  <c r="G34" i="6"/>
  <c r="G33" i="6"/>
  <c r="G32" i="6"/>
  <c r="G30" i="6"/>
  <c r="G29" i="6"/>
  <c r="G28" i="6"/>
  <c r="G27" i="6"/>
  <c r="G26" i="6"/>
  <c r="G25" i="6"/>
  <c r="G24" i="6"/>
  <c r="H3" i="35"/>
  <c r="E18" i="22"/>
  <c r="C17" i="22"/>
  <c r="B17" i="22"/>
  <c r="D17" i="22" s="1"/>
  <c r="C16" i="22"/>
  <c r="B16" i="22"/>
  <c r="C15" i="22"/>
  <c r="B15" i="22"/>
  <c r="D15" i="22" s="1"/>
  <c r="C14" i="22"/>
  <c r="B14" i="22"/>
  <c r="C13" i="22"/>
  <c r="C18" i="22" s="1"/>
  <c r="B13" i="22"/>
  <c r="J6" i="22"/>
  <c r="H6" i="22"/>
  <c r="A6" i="22"/>
  <c r="C64" i="36" a="1"/>
  <c r="C64" i="36"/>
  <c r="B36" i="36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35" i="36"/>
  <c r="G14" i="36"/>
  <c r="F14" i="36"/>
  <c r="C14" i="36"/>
  <c r="B7" i="36"/>
  <c r="B8" i="36" s="1"/>
  <c r="E92" i="33"/>
  <c r="H88" i="33"/>
  <c r="G88" i="33" a="1"/>
  <c r="G88" i="33"/>
  <c r="G76" i="33"/>
  <c r="N65" i="33"/>
  <c r="M65" i="33"/>
  <c r="L66" i="33" s="1"/>
  <c r="L62" i="33"/>
  <c r="L63" i="33" s="1"/>
  <c r="L64" i="33" s="1"/>
  <c r="L65" i="33" s="1"/>
  <c r="L57" i="33"/>
  <c r="L56" i="33"/>
  <c r="L53" i="33"/>
  <c r="L46" i="33"/>
  <c r="L47" i="33" s="1"/>
  <c r="L48" i="33" s="1"/>
  <c r="B38" i="33"/>
  <c r="B39" i="33" s="1"/>
  <c r="L14" i="33"/>
  <c r="B6" i="33"/>
  <c r="E2" i="33"/>
  <c r="D2" i="33" a="1"/>
  <c r="D2" i="33" s="1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J9" i="5"/>
  <c r="H9" i="5"/>
  <c r="E9" i="5"/>
  <c r="C9" i="5"/>
  <c r="J2" i="48"/>
  <c r="H2" i="48"/>
  <c r="E2" i="48"/>
  <c r="C2" i="48"/>
  <c r="B61" i="49"/>
  <c r="B60" i="49"/>
  <c r="B59" i="49"/>
  <c r="B58" i="49"/>
  <c r="B57" i="49"/>
  <c r="B56" i="49"/>
  <c r="B55" i="49"/>
  <c r="B54" i="49"/>
  <c r="B53" i="49"/>
  <c r="B52" i="49"/>
  <c r="B51" i="49"/>
  <c r="B50" i="49"/>
  <c r="B43" i="49"/>
  <c r="B42" i="49"/>
  <c r="B41" i="49"/>
  <c r="B40" i="49"/>
  <c r="L38" i="49"/>
  <c r="K38" i="49"/>
  <c r="J38" i="49"/>
  <c r="I38" i="49"/>
  <c r="H38" i="49"/>
  <c r="G38" i="49"/>
  <c r="F38" i="49"/>
  <c r="E38" i="49"/>
  <c r="D38" i="49"/>
  <c r="B38" i="49"/>
  <c r="L37" i="49"/>
  <c r="K37" i="49"/>
  <c r="J37" i="49"/>
  <c r="I37" i="49"/>
  <c r="H37" i="49"/>
  <c r="G37" i="49"/>
  <c r="F37" i="49"/>
  <c r="E37" i="49"/>
  <c r="D37" i="49"/>
  <c r="B37" i="49"/>
  <c r="L36" i="49"/>
  <c r="K36" i="49"/>
  <c r="J36" i="49"/>
  <c r="I36" i="49"/>
  <c r="H36" i="49"/>
  <c r="G36" i="49"/>
  <c r="F36" i="49"/>
  <c r="E36" i="49"/>
  <c r="D36" i="49"/>
  <c r="B36" i="49"/>
  <c r="L35" i="49"/>
  <c r="K35" i="49"/>
  <c r="J35" i="49"/>
  <c r="I35" i="49"/>
  <c r="H35" i="49"/>
  <c r="G35" i="49"/>
  <c r="F35" i="49"/>
  <c r="E35" i="49"/>
  <c r="D35" i="49"/>
  <c r="B35" i="49"/>
  <c r="L34" i="49"/>
  <c r="K34" i="49"/>
  <c r="J34" i="49"/>
  <c r="I34" i="49"/>
  <c r="H34" i="49"/>
  <c r="G34" i="49"/>
  <c r="F34" i="49"/>
  <c r="E34" i="49"/>
  <c r="D34" i="49"/>
  <c r="B34" i="49"/>
  <c r="L33" i="49"/>
  <c r="K33" i="49"/>
  <c r="J33" i="49"/>
  <c r="I33" i="49"/>
  <c r="H33" i="49"/>
  <c r="G33" i="49"/>
  <c r="F33" i="49"/>
  <c r="E33" i="49"/>
  <c r="D33" i="49"/>
  <c r="B33" i="49"/>
  <c r="L32" i="49"/>
  <c r="K32" i="49"/>
  <c r="J32" i="49"/>
  <c r="I32" i="49"/>
  <c r="H32" i="49"/>
  <c r="G32" i="49"/>
  <c r="F32" i="49"/>
  <c r="E32" i="49"/>
  <c r="D32" i="49"/>
  <c r="B32" i="49"/>
  <c r="L31" i="49"/>
  <c r="K31" i="49"/>
  <c r="J31" i="49"/>
  <c r="I31" i="49"/>
  <c r="H31" i="49"/>
  <c r="G31" i="49"/>
  <c r="F31" i="49"/>
  <c r="E31" i="49"/>
  <c r="D31" i="49"/>
  <c r="B31" i="49"/>
  <c r="L30" i="49"/>
  <c r="K30" i="49"/>
  <c r="J30" i="49"/>
  <c r="I30" i="49"/>
  <c r="H30" i="49"/>
  <c r="G30" i="49"/>
  <c r="F30" i="49"/>
  <c r="E30" i="49"/>
  <c r="D30" i="49"/>
  <c r="B30" i="49"/>
  <c r="L29" i="49"/>
  <c r="K29" i="49"/>
  <c r="J29" i="49"/>
  <c r="I29" i="49"/>
  <c r="H29" i="49"/>
  <c r="G29" i="49"/>
  <c r="F29" i="49"/>
  <c r="E29" i="49"/>
  <c r="D29" i="49"/>
  <c r="B29" i="49"/>
  <c r="L28" i="49"/>
  <c r="K28" i="49"/>
  <c r="J28" i="49"/>
  <c r="I28" i="49"/>
  <c r="H28" i="49"/>
  <c r="G28" i="49"/>
  <c r="F28" i="49"/>
  <c r="E28" i="49"/>
  <c r="D28" i="49"/>
  <c r="B28" i="49"/>
  <c r="L27" i="49"/>
  <c r="K27" i="49"/>
  <c r="J27" i="49"/>
  <c r="I27" i="49"/>
  <c r="H27" i="49"/>
  <c r="G27" i="49"/>
  <c r="F27" i="49"/>
  <c r="E27" i="49"/>
  <c r="D27" i="49"/>
  <c r="B27" i="49"/>
  <c r="M26" i="49"/>
  <c r="L26" i="49"/>
  <c r="K26" i="49"/>
  <c r="J26" i="49"/>
  <c r="I26" i="49"/>
  <c r="H26" i="49"/>
  <c r="G26" i="49"/>
  <c r="F26" i="49"/>
  <c r="E26" i="49"/>
  <c r="D26" i="49"/>
  <c r="B26" i="49"/>
  <c r="B21" i="49"/>
  <c r="B20" i="49"/>
  <c r="B19" i="49"/>
  <c r="B18" i="49"/>
  <c r="L16" i="49"/>
  <c r="K16" i="49"/>
  <c r="J16" i="49"/>
  <c r="I16" i="49"/>
  <c r="H16" i="49"/>
  <c r="G16" i="49"/>
  <c r="F16" i="49"/>
  <c r="E16" i="49"/>
  <c r="D16" i="49"/>
  <c r="B16" i="49"/>
  <c r="L15" i="49"/>
  <c r="K15" i="49"/>
  <c r="J15" i="49"/>
  <c r="I15" i="49"/>
  <c r="H15" i="49"/>
  <c r="G15" i="49"/>
  <c r="F15" i="49"/>
  <c r="E15" i="49"/>
  <c r="D15" i="49"/>
  <c r="B15" i="49"/>
  <c r="L14" i="49"/>
  <c r="K14" i="49"/>
  <c r="J14" i="49"/>
  <c r="I14" i="49"/>
  <c r="H14" i="49"/>
  <c r="G14" i="49"/>
  <c r="F14" i="49"/>
  <c r="E14" i="49"/>
  <c r="D14" i="49"/>
  <c r="B14" i="49"/>
  <c r="L13" i="49"/>
  <c r="K13" i="49"/>
  <c r="J13" i="49"/>
  <c r="I13" i="49"/>
  <c r="H13" i="49"/>
  <c r="G13" i="49"/>
  <c r="F13" i="49"/>
  <c r="E13" i="49"/>
  <c r="D13" i="49"/>
  <c r="B13" i="49"/>
  <c r="L12" i="49"/>
  <c r="K12" i="49"/>
  <c r="J12" i="49"/>
  <c r="I12" i="49"/>
  <c r="H12" i="49"/>
  <c r="G12" i="49"/>
  <c r="F12" i="49"/>
  <c r="E12" i="49"/>
  <c r="D12" i="49"/>
  <c r="B12" i="49"/>
  <c r="L11" i="49"/>
  <c r="K11" i="49"/>
  <c r="J11" i="49"/>
  <c r="I11" i="49"/>
  <c r="H11" i="49"/>
  <c r="G11" i="49"/>
  <c r="F11" i="49"/>
  <c r="E11" i="49"/>
  <c r="D11" i="49"/>
  <c r="B11" i="49"/>
  <c r="L10" i="49"/>
  <c r="K10" i="49"/>
  <c r="J10" i="49"/>
  <c r="I10" i="49"/>
  <c r="H10" i="49"/>
  <c r="G10" i="49"/>
  <c r="F10" i="49"/>
  <c r="E10" i="49"/>
  <c r="D10" i="49"/>
  <c r="B10" i="49"/>
  <c r="L9" i="49"/>
  <c r="K9" i="49"/>
  <c r="J9" i="49"/>
  <c r="I9" i="49"/>
  <c r="H9" i="49"/>
  <c r="G9" i="49"/>
  <c r="F9" i="49"/>
  <c r="E9" i="49"/>
  <c r="D9" i="49"/>
  <c r="B9" i="49"/>
  <c r="L8" i="49"/>
  <c r="K8" i="49"/>
  <c r="J8" i="49"/>
  <c r="I8" i="49"/>
  <c r="H8" i="49"/>
  <c r="G8" i="49"/>
  <c r="F8" i="49"/>
  <c r="E8" i="49"/>
  <c r="D8" i="49"/>
  <c r="B8" i="49"/>
  <c r="L7" i="49"/>
  <c r="K7" i="49"/>
  <c r="J7" i="49"/>
  <c r="I7" i="49"/>
  <c r="H7" i="49"/>
  <c r="G7" i="49"/>
  <c r="F7" i="49"/>
  <c r="E7" i="49"/>
  <c r="D7" i="49"/>
  <c r="B7" i="49"/>
  <c r="L6" i="49"/>
  <c r="K6" i="49"/>
  <c r="J6" i="49"/>
  <c r="I6" i="49"/>
  <c r="H6" i="49"/>
  <c r="G6" i="49"/>
  <c r="F6" i="49"/>
  <c r="E6" i="49"/>
  <c r="D6" i="49"/>
  <c r="B6" i="49"/>
  <c r="L5" i="49"/>
  <c r="K5" i="49"/>
  <c r="J5" i="49"/>
  <c r="I5" i="49"/>
  <c r="H5" i="49"/>
  <c r="G5" i="49"/>
  <c r="F5" i="49"/>
  <c r="E5" i="49"/>
  <c r="D5" i="49"/>
  <c r="B5" i="49"/>
  <c r="L4" i="49"/>
  <c r="K4" i="49"/>
  <c r="J4" i="49"/>
  <c r="I4" i="49"/>
  <c r="H4" i="49"/>
  <c r="G4" i="49"/>
  <c r="F4" i="49"/>
  <c r="E4" i="49"/>
  <c r="D4" i="49"/>
  <c r="B4" i="49"/>
  <c r="C20" i="42"/>
  <c r="B20" i="42"/>
  <c r="C19" i="42"/>
  <c r="B19" i="42"/>
  <c r="C18" i="42"/>
  <c r="B18" i="42"/>
  <c r="C17" i="42"/>
  <c r="B17" i="42"/>
  <c r="C16" i="42"/>
  <c r="B16" i="42"/>
  <c r="E11" i="42"/>
  <c r="C10" i="42"/>
  <c r="B10" i="42"/>
  <c r="C9" i="42"/>
  <c r="B9" i="42"/>
  <c r="C8" i="42"/>
  <c r="B8" i="42"/>
  <c r="C7" i="42"/>
  <c r="B7" i="42"/>
  <c r="C6" i="42"/>
  <c r="B6" i="42"/>
  <c r="B88" i="52"/>
  <c r="B87" i="52"/>
  <c r="B86" i="52"/>
  <c r="B85" i="52"/>
  <c r="B66" i="52"/>
  <c r="B65" i="52"/>
  <c r="B64" i="52"/>
  <c r="B63" i="52"/>
  <c r="B61" i="52"/>
  <c r="B60" i="52"/>
  <c r="B59" i="52"/>
  <c r="B58" i="52"/>
  <c r="B57" i="52"/>
  <c r="B56" i="52"/>
  <c r="B55" i="52"/>
  <c r="B54" i="52"/>
  <c r="B53" i="52"/>
  <c r="B52" i="52"/>
  <c r="B51" i="52"/>
  <c r="B50" i="52"/>
  <c r="B49" i="52"/>
  <c r="B48" i="52"/>
  <c r="B44" i="52"/>
  <c r="B43" i="52"/>
  <c r="B42" i="52"/>
  <c r="B41" i="52"/>
  <c r="N39" i="52"/>
  <c r="M39" i="52"/>
  <c r="L39" i="52"/>
  <c r="K39" i="52"/>
  <c r="J39" i="52"/>
  <c r="I39" i="52"/>
  <c r="H39" i="52"/>
  <c r="G39" i="52"/>
  <c r="F39" i="52"/>
  <c r="E39" i="52"/>
  <c r="D39" i="52"/>
  <c r="B39" i="52"/>
  <c r="N38" i="52"/>
  <c r="M38" i="52"/>
  <c r="L38" i="52"/>
  <c r="K38" i="52"/>
  <c r="J38" i="52"/>
  <c r="I38" i="52"/>
  <c r="H38" i="52"/>
  <c r="G38" i="52"/>
  <c r="F38" i="52"/>
  <c r="E38" i="52"/>
  <c r="D38" i="52"/>
  <c r="B38" i="52"/>
  <c r="N37" i="52"/>
  <c r="M37" i="52"/>
  <c r="L37" i="52"/>
  <c r="K37" i="52"/>
  <c r="J37" i="52"/>
  <c r="I37" i="52"/>
  <c r="H37" i="52"/>
  <c r="G37" i="52"/>
  <c r="F37" i="52"/>
  <c r="E37" i="52"/>
  <c r="D37" i="52"/>
  <c r="B37" i="52"/>
  <c r="N36" i="52"/>
  <c r="M36" i="52"/>
  <c r="L36" i="52"/>
  <c r="K36" i="52"/>
  <c r="J36" i="52"/>
  <c r="I36" i="52"/>
  <c r="H36" i="52"/>
  <c r="G36" i="52"/>
  <c r="F36" i="52"/>
  <c r="E36" i="52"/>
  <c r="D36" i="52"/>
  <c r="B36" i="52"/>
  <c r="N35" i="52"/>
  <c r="M35" i="52"/>
  <c r="L35" i="52"/>
  <c r="K35" i="52"/>
  <c r="J35" i="52"/>
  <c r="I35" i="52"/>
  <c r="H35" i="52"/>
  <c r="G35" i="52"/>
  <c r="F35" i="52"/>
  <c r="E35" i="52"/>
  <c r="D35" i="52"/>
  <c r="B35" i="52"/>
  <c r="N34" i="52"/>
  <c r="M34" i="52"/>
  <c r="L34" i="52"/>
  <c r="K34" i="52"/>
  <c r="J34" i="52"/>
  <c r="I34" i="52"/>
  <c r="H34" i="52"/>
  <c r="G34" i="52"/>
  <c r="F34" i="52"/>
  <c r="E34" i="52"/>
  <c r="D34" i="52"/>
  <c r="B34" i="52"/>
  <c r="N33" i="52"/>
  <c r="M33" i="52"/>
  <c r="L33" i="52"/>
  <c r="K33" i="52"/>
  <c r="J33" i="52"/>
  <c r="I33" i="52"/>
  <c r="H33" i="52"/>
  <c r="G33" i="52"/>
  <c r="F33" i="52"/>
  <c r="E33" i="52"/>
  <c r="D33" i="52"/>
  <c r="B33" i="52"/>
  <c r="N32" i="52"/>
  <c r="M32" i="52"/>
  <c r="L32" i="52"/>
  <c r="K32" i="52"/>
  <c r="J32" i="52"/>
  <c r="I32" i="52"/>
  <c r="H32" i="52"/>
  <c r="G32" i="52"/>
  <c r="F32" i="52"/>
  <c r="E32" i="52"/>
  <c r="D32" i="52"/>
  <c r="B32" i="52"/>
  <c r="N31" i="52"/>
  <c r="M31" i="52"/>
  <c r="L31" i="52"/>
  <c r="K31" i="52"/>
  <c r="J31" i="52"/>
  <c r="I31" i="52"/>
  <c r="H31" i="52"/>
  <c r="G31" i="52"/>
  <c r="F31" i="52"/>
  <c r="E31" i="52"/>
  <c r="D31" i="52"/>
  <c r="B31" i="52"/>
  <c r="N30" i="52"/>
  <c r="M30" i="52"/>
  <c r="L30" i="52"/>
  <c r="K30" i="52"/>
  <c r="J30" i="52"/>
  <c r="I30" i="52"/>
  <c r="H30" i="52"/>
  <c r="G30" i="52"/>
  <c r="F30" i="52"/>
  <c r="E30" i="52"/>
  <c r="D30" i="52"/>
  <c r="B30" i="52"/>
  <c r="N29" i="52"/>
  <c r="M29" i="52"/>
  <c r="L29" i="52"/>
  <c r="K29" i="52"/>
  <c r="J29" i="52"/>
  <c r="I29" i="52"/>
  <c r="H29" i="52"/>
  <c r="G29" i="52"/>
  <c r="F29" i="52"/>
  <c r="E29" i="52"/>
  <c r="D29" i="52"/>
  <c r="B29" i="52"/>
  <c r="N28" i="52"/>
  <c r="M28" i="52"/>
  <c r="L28" i="52"/>
  <c r="K28" i="52"/>
  <c r="J28" i="52"/>
  <c r="I28" i="52"/>
  <c r="H28" i="52"/>
  <c r="G28" i="52"/>
  <c r="F28" i="52"/>
  <c r="E28" i="52"/>
  <c r="D28" i="52"/>
  <c r="B28" i="52"/>
  <c r="N27" i="52"/>
  <c r="M27" i="52"/>
  <c r="L27" i="52"/>
  <c r="K27" i="52"/>
  <c r="J27" i="52"/>
  <c r="I27" i="52"/>
  <c r="H27" i="52"/>
  <c r="G27" i="52"/>
  <c r="F27" i="52"/>
  <c r="E27" i="52"/>
  <c r="D27" i="52"/>
  <c r="B27" i="52"/>
  <c r="N26" i="52"/>
  <c r="M26" i="52"/>
  <c r="L26" i="52"/>
  <c r="K26" i="52"/>
  <c r="J26" i="52"/>
  <c r="I26" i="52"/>
  <c r="H26" i="52"/>
  <c r="G26" i="52"/>
  <c r="F26" i="52"/>
  <c r="E26" i="52"/>
  <c r="D26" i="52"/>
  <c r="B26" i="52"/>
  <c r="B22" i="52"/>
  <c r="B21" i="52"/>
  <c r="B20" i="52"/>
  <c r="B19" i="52"/>
  <c r="N17" i="52"/>
  <c r="M17" i="52"/>
  <c r="L17" i="52"/>
  <c r="K17" i="52"/>
  <c r="J17" i="52"/>
  <c r="I17" i="52"/>
  <c r="H17" i="52"/>
  <c r="G17" i="52"/>
  <c r="F17" i="52"/>
  <c r="E17" i="52"/>
  <c r="D17" i="52"/>
  <c r="B17" i="52"/>
  <c r="N16" i="52"/>
  <c r="M16" i="52"/>
  <c r="L16" i="52"/>
  <c r="K16" i="52"/>
  <c r="J16" i="52"/>
  <c r="I16" i="52"/>
  <c r="H16" i="52"/>
  <c r="G16" i="52"/>
  <c r="F16" i="52"/>
  <c r="E16" i="52"/>
  <c r="D16" i="52"/>
  <c r="B16" i="52"/>
  <c r="N15" i="52"/>
  <c r="M15" i="52"/>
  <c r="L15" i="52"/>
  <c r="K15" i="52"/>
  <c r="J15" i="52"/>
  <c r="I15" i="52"/>
  <c r="H15" i="52"/>
  <c r="G15" i="52"/>
  <c r="F15" i="52"/>
  <c r="E15" i="52"/>
  <c r="D15" i="52"/>
  <c r="B15" i="52"/>
  <c r="N14" i="52"/>
  <c r="M14" i="52"/>
  <c r="L14" i="52"/>
  <c r="K14" i="52"/>
  <c r="J14" i="52"/>
  <c r="I14" i="52"/>
  <c r="H14" i="52"/>
  <c r="G14" i="52"/>
  <c r="F14" i="52"/>
  <c r="E14" i="52"/>
  <c r="D14" i="52"/>
  <c r="B14" i="52"/>
  <c r="N13" i="52"/>
  <c r="M13" i="52"/>
  <c r="L13" i="52"/>
  <c r="K13" i="52"/>
  <c r="J13" i="52"/>
  <c r="I13" i="52"/>
  <c r="H13" i="52"/>
  <c r="G13" i="52"/>
  <c r="F13" i="52"/>
  <c r="E13" i="52"/>
  <c r="D13" i="52"/>
  <c r="B13" i="52"/>
  <c r="N12" i="52"/>
  <c r="M12" i="52"/>
  <c r="L12" i="52"/>
  <c r="K12" i="52"/>
  <c r="J12" i="52"/>
  <c r="I12" i="52"/>
  <c r="H12" i="52"/>
  <c r="G12" i="52"/>
  <c r="F12" i="52"/>
  <c r="E12" i="52"/>
  <c r="D12" i="52"/>
  <c r="B12" i="52"/>
  <c r="N11" i="52"/>
  <c r="M11" i="52"/>
  <c r="L11" i="52"/>
  <c r="K11" i="52"/>
  <c r="J11" i="52"/>
  <c r="I11" i="52"/>
  <c r="H11" i="52"/>
  <c r="G11" i="52"/>
  <c r="F11" i="52"/>
  <c r="E11" i="52"/>
  <c r="D11" i="52"/>
  <c r="B11" i="52"/>
  <c r="N10" i="52"/>
  <c r="M10" i="52"/>
  <c r="L10" i="52"/>
  <c r="K10" i="52"/>
  <c r="J10" i="52"/>
  <c r="I10" i="52"/>
  <c r="H10" i="52"/>
  <c r="G10" i="52"/>
  <c r="F10" i="52"/>
  <c r="E10" i="52"/>
  <c r="D10" i="52"/>
  <c r="B10" i="52"/>
  <c r="N9" i="52"/>
  <c r="M9" i="52"/>
  <c r="L9" i="52"/>
  <c r="K9" i="52"/>
  <c r="J9" i="52"/>
  <c r="I9" i="52"/>
  <c r="H9" i="52"/>
  <c r="G9" i="52"/>
  <c r="F9" i="52"/>
  <c r="E9" i="52"/>
  <c r="D9" i="52"/>
  <c r="B9" i="52"/>
  <c r="N8" i="52"/>
  <c r="M8" i="52"/>
  <c r="L8" i="52"/>
  <c r="K8" i="52"/>
  <c r="J8" i="52"/>
  <c r="I8" i="52"/>
  <c r="H8" i="52"/>
  <c r="G8" i="52"/>
  <c r="F8" i="52"/>
  <c r="E8" i="52"/>
  <c r="D8" i="52"/>
  <c r="B8" i="52"/>
  <c r="N7" i="52"/>
  <c r="M7" i="52"/>
  <c r="L7" i="52"/>
  <c r="K7" i="52"/>
  <c r="J7" i="52"/>
  <c r="I7" i="52"/>
  <c r="H7" i="52"/>
  <c r="G7" i="52"/>
  <c r="F7" i="52"/>
  <c r="E7" i="52"/>
  <c r="D7" i="52"/>
  <c r="B7" i="52"/>
  <c r="N6" i="52"/>
  <c r="M6" i="52"/>
  <c r="L6" i="52"/>
  <c r="K6" i="52"/>
  <c r="J6" i="52"/>
  <c r="I6" i="52"/>
  <c r="H6" i="52"/>
  <c r="G6" i="52"/>
  <c r="F6" i="52"/>
  <c r="E6" i="52"/>
  <c r="D6" i="52"/>
  <c r="B6" i="52"/>
  <c r="N5" i="52"/>
  <c r="M5" i="52"/>
  <c r="L5" i="52"/>
  <c r="K5" i="52"/>
  <c r="J5" i="52"/>
  <c r="I5" i="52"/>
  <c r="H5" i="52"/>
  <c r="G5" i="52"/>
  <c r="F5" i="52"/>
  <c r="E5" i="52"/>
  <c r="D5" i="52"/>
  <c r="B5" i="52"/>
  <c r="N4" i="52"/>
  <c r="L4" i="52"/>
  <c r="K4" i="52"/>
  <c r="J4" i="52"/>
  <c r="I4" i="52"/>
  <c r="H4" i="52"/>
  <c r="G4" i="52"/>
  <c r="F4" i="52"/>
  <c r="E4" i="52"/>
  <c r="D4" i="52"/>
  <c r="B4" i="52"/>
  <c r="K64" i="49" l="1"/>
  <c r="H64" i="49"/>
  <c r="B64" i="49"/>
  <c r="C54" i="49" s="1"/>
  <c r="M64" i="49"/>
  <c r="O64" i="49"/>
  <c r="J64" i="49"/>
  <c r="G64" i="49"/>
  <c r="L64" i="49"/>
  <c r="I64" i="49"/>
  <c r="F64" i="49"/>
  <c r="C63" i="49"/>
  <c r="I108" i="49"/>
  <c r="E130" i="49"/>
  <c r="I152" i="49"/>
  <c r="G39" i="49"/>
  <c r="I39" i="49"/>
  <c r="L17" i="49"/>
  <c r="D17" i="49"/>
  <c r="G17" i="49"/>
  <c r="H152" i="49"/>
  <c r="G152" i="49"/>
  <c r="M130" i="49"/>
  <c r="I40" i="52"/>
  <c r="H40" i="52"/>
  <c r="E64" i="49"/>
  <c r="D18" i="52"/>
  <c r="G62" i="52"/>
  <c r="K130" i="49"/>
  <c r="H108" i="49"/>
  <c r="D130" i="49"/>
  <c r="L130" i="49"/>
  <c r="H84" i="52"/>
  <c r="J108" i="49"/>
  <c r="F130" i="49"/>
  <c r="N130" i="49"/>
  <c r="J152" i="49"/>
  <c r="I18" i="52"/>
  <c r="F40" i="52"/>
  <c r="N40" i="52"/>
  <c r="C85" i="49"/>
  <c r="J18" i="52"/>
  <c r="G40" i="52"/>
  <c r="G108" i="49"/>
  <c r="K18" i="52"/>
  <c r="N86" i="49"/>
  <c r="D62" i="52"/>
  <c r="E62" i="52"/>
  <c r="F62" i="52"/>
  <c r="H62" i="52"/>
  <c r="I62" i="52"/>
  <c r="J62" i="52"/>
  <c r="K62" i="52"/>
  <c r="L62" i="52"/>
  <c r="M62" i="52"/>
  <c r="N62" i="52"/>
  <c r="D84" i="52"/>
  <c r="E84" i="52"/>
  <c r="F84" i="52"/>
  <c r="G84" i="52"/>
  <c r="I84" i="52"/>
  <c r="J84" i="52"/>
  <c r="K84" i="52"/>
  <c r="L84" i="52"/>
  <c r="M84" i="52"/>
  <c r="N84" i="52"/>
  <c r="H86" i="49"/>
  <c r="M18" i="52"/>
  <c r="E40" i="52"/>
  <c r="M40" i="52"/>
  <c r="E18" i="52"/>
  <c r="F18" i="52"/>
  <c r="G18" i="52"/>
  <c r="H18" i="52"/>
  <c r="D40" i="52"/>
  <c r="L40" i="52"/>
  <c r="K17" i="49"/>
  <c r="E39" i="49"/>
  <c r="D86" i="49"/>
  <c r="L86" i="49"/>
  <c r="E108" i="49"/>
  <c r="M108" i="49"/>
  <c r="I130" i="49"/>
  <c r="E152" i="49"/>
  <c r="M152" i="49"/>
  <c r="F39" i="49"/>
  <c r="E86" i="49"/>
  <c r="M86" i="49"/>
  <c r="F108" i="49"/>
  <c r="N108" i="49"/>
  <c r="J130" i="49"/>
  <c r="F152" i="49"/>
  <c r="N152" i="49"/>
  <c r="E17" i="49"/>
  <c r="F86" i="49"/>
  <c r="B11" i="42"/>
  <c r="F17" i="49"/>
  <c r="H39" i="49"/>
  <c r="D14" i="22"/>
  <c r="G86" i="49"/>
  <c r="H17" i="49"/>
  <c r="J39" i="49"/>
  <c r="I86" i="49"/>
  <c r="L18" i="52"/>
  <c r="N18" i="52"/>
  <c r="J40" i="52"/>
  <c r="B21" i="42"/>
  <c r="I17" i="49"/>
  <c r="K39" i="49"/>
  <c r="J86" i="49"/>
  <c r="K108" i="49"/>
  <c r="G130" i="49"/>
  <c r="K152" i="49"/>
  <c r="C17" i="52"/>
  <c r="K40" i="52"/>
  <c r="J17" i="49"/>
  <c r="D39" i="49"/>
  <c r="L39" i="49"/>
  <c r="D16" i="22"/>
  <c r="K86" i="49"/>
  <c r="D108" i="49"/>
  <c r="L108" i="49"/>
  <c r="H130" i="49"/>
  <c r="D152" i="49"/>
  <c r="L152" i="49"/>
  <c r="D7" i="42"/>
  <c r="D8" i="42"/>
  <c r="D9" i="42"/>
  <c r="D10" i="42"/>
  <c r="D17" i="42"/>
  <c r="D18" i="42"/>
  <c r="D19" i="42"/>
  <c r="D20" i="42"/>
  <c r="B18" i="22"/>
  <c r="D13" i="22"/>
  <c r="B108" i="49"/>
  <c r="C99" i="49" s="1"/>
  <c r="B130" i="49"/>
  <c r="C122" i="49" s="1"/>
  <c r="B152" i="49"/>
  <c r="C142" i="49" s="1"/>
  <c r="B86" i="49"/>
  <c r="C72" i="49" s="1"/>
  <c r="C11" i="42"/>
  <c r="D6" i="42"/>
  <c r="C21" i="42"/>
  <c r="D16" i="42"/>
  <c r="B17" i="49"/>
  <c r="C9" i="49" s="1"/>
  <c r="B39" i="49"/>
  <c r="C26" i="49" s="1"/>
  <c r="M27" i="49"/>
  <c r="B18" i="52"/>
  <c r="C5" i="52" s="1"/>
  <c r="B40" i="52"/>
  <c r="C29" i="52" s="1"/>
  <c r="B62" i="52"/>
  <c r="C52" i="52" s="1"/>
  <c r="B84" i="52"/>
  <c r="C75" i="52" s="1"/>
  <c r="C30" i="49" l="1"/>
  <c r="P152" i="49"/>
  <c r="P130" i="49"/>
  <c r="P108" i="49"/>
  <c r="P86" i="49"/>
  <c r="C27" i="49"/>
  <c r="C8" i="49"/>
  <c r="C7" i="49"/>
  <c r="C6" i="49"/>
  <c r="C5" i="49"/>
  <c r="C4" i="49"/>
  <c r="C16" i="49"/>
  <c r="C15" i="49"/>
  <c r="G39" i="51"/>
  <c r="G41" i="51" s="1"/>
  <c r="G42" i="51" s="1"/>
  <c r="G43" i="51" s="1"/>
  <c r="G44" i="51" s="1"/>
  <c r="G45" i="51" s="1"/>
  <c r="G47" i="51" s="1"/>
  <c r="G48" i="51" s="1"/>
  <c r="C13" i="49"/>
  <c r="C14" i="49"/>
  <c r="C38" i="49"/>
  <c r="C35" i="49"/>
  <c r="C12" i="49"/>
  <c r="C34" i="49"/>
  <c r="C11" i="49"/>
  <c r="C32" i="49"/>
  <c r="C10" i="49"/>
  <c r="C31" i="49"/>
  <c r="D21" i="42"/>
  <c r="D11" i="42"/>
  <c r="C78" i="49"/>
  <c r="C82" i="49"/>
  <c r="C79" i="49"/>
  <c r="C7" i="52"/>
  <c r="C34" i="52"/>
  <c r="C33" i="52"/>
  <c r="C53" i="49"/>
  <c r="C52" i="49"/>
  <c r="C50" i="52"/>
  <c r="C57" i="49"/>
  <c r="C56" i="49"/>
  <c r="C146" i="49"/>
  <c r="C129" i="49"/>
  <c r="C144" i="49"/>
  <c r="C31" i="52"/>
  <c r="C61" i="49"/>
  <c r="C51" i="49"/>
  <c r="C77" i="49"/>
  <c r="C141" i="49"/>
  <c r="C124" i="49"/>
  <c r="C147" i="49"/>
  <c r="C60" i="49"/>
  <c r="C50" i="49"/>
  <c r="C140" i="49"/>
  <c r="C123" i="49"/>
  <c r="C59" i="49"/>
  <c r="C149" i="49"/>
  <c r="C139" i="49"/>
  <c r="C117" i="49"/>
  <c r="C145" i="49"/>
  <c r="C126" i="49"/>
  <c r="C125" i="49"/>
  <c r="C15" i="52"/>
  <c r="C11" i="52"/>
  <c r="C58" i="49"/>
  <c r="C148" i="49"/>
  <c r="C138" i="49"/>
  <c r="C116" i="49"/>
  <c r="C77" i="52"/>
  <c r="C49" i="52"/>
  <c r="C32" i="52"/>
  <c r="C74" i="49"/>
  <c r="C121" i="49"/>
  <c r="C38" i="52"/>
  <c r="C120" i="49"/>
  <c r="C58" i="52"/>
  <c r="C57" i="52"/>
  <c r="C36" i="52"/>
  <c r="C27" i="52"/>
  <c r="C55" i="49"/>
  <c r="C151" i="49"/>
  <c r="C143" i="49"/>
  <c r="C128" i="49"/>
  <c r="C119" i="49"/>
  <c r="C61" i="52"/>
  <c r="C39" i="52"/>
  <c r="C30" i="52"/>
  <c r="C28" i="52"/>
  <c r="C55" i="52"/>
  <c r="C35" i="52"/>
  <c r="C26" i="52"/>
  <c r="C62" i="49"/>
  <c r="C83" i="49"/>
  <c r="C150" i="49"/>
  <c r="C127" i="49"/>
  <c r="C118" i="49"/>
  <c r="C54" i="52"/>
  <c r="C101" i="49"/>
  <c r="C76" i="52"/>
  <c r="C53" i="52"/>
  <c r="C82" i="52"/>
  <c r="C74" i="52"/>
  <c r="C59" i="52"/>
  <c r="C51" i="52"/>
  <c r="C12" i="52"/>
  <c r="C4" i="52"/>
  <c r="C106" i="49"/>
  <c r="C98" i="49"/>
  <c r="C80" i="52"/>
  <c r="C104" i="49"/>
  <c r="C96" i="49"/>
  <c r="C72" i="52"/>
  <c r="C10" i="52"/>
  <c r="C79" i="52"/>
  <c r="C71" i="52"/>
  <c r="C56" i="52"/>
  <c r="C48" i="52"/>
  <c r="C9" i="52"/>
  <c r="C37" i="49"/>
  <c r="C29" i="49"/>
  <c r="C84" i="49"/>
  <c r="C76" i="49"/>
  <c r="C103" i="49"/>
  <c r="C95" i="49"/>
  <c r="C81" i="52"/>
  <c r="C73" i="52"/>
  <c r="C105" i="49"/>
  <c r="C97" i="49"/>
  <c r="C78" i="52"/>
  <c r="C70" i="52"/>
  <c r="C16" i="52"/>
  <c r="C8" i="52"/>
  <c r="C36" i="49"/>
  <c r="C28" i="49"/>
  <c r="C75" i="49"/>
  <c r="C102" i="49"/>
  <c r="C94" i="49"/>
  <c r="C81" i="49"/>
  <c r="C73" i="49"/>
  <c r="C100" i="49"/>
  <c r="D18" i="22"/>
  <c r="C14" i="52"/>
  <c r="C6" i="52"/>
  <c r="C83" i="52"/>
  <c r="C60" i="52"/>
  <c r="C37" i="52"/>
  <c r="C13" i="52"/>
  <c r="C33" i="49"/>
  <c r="C80" i="49"/>
  <c r="C107" i="49"/>
  <c r="M28" i="49"/>
  <c r="M29" i="49" s="1"/>
  <c r="M30" i="49" s="1"/>
  <c r="M31" i="49" s="1"/>
  <c r="M32" i="49" s="1"/>
  <c r="M33" i="49" s="1"/>
  <c r="M34" i="49" s="1"/>
  <c r="M35" i="49" s="1"/>
  <c r="M36" i="49" s="1"/>
  <c r="M37" i="49" s="1"/>
  <c r="M38" i="49" s="1"/>
  <c r="D64" i="49"/>
  <c r="C152" i="49" l="1"/>
  <c r="C84" i="52"/>
  <c r="C17" i="49"/>
  <c r="C39" i="49"/>
  <c r="C62" i="52"/>
  <c r="C130" i="49"/>
  <c r="C64" i="49"/>
  <c r="C40" i="52"/>
  <c r="C108" i="49"/>
  <c r="C18" i="52"/>
  <c r="C86" i="49"/>
  <c r="M39" i="49"/>
  <c r="O39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เจษฎา มหามาตย์</author>
  </authors>
  <commentList>
    <comment ref="G14" authorId="0" shapeId="0" xr:uid="{00000000-0006-0000-0000-000001000000}">
      <text>
        <r>
          <rPr>
            <b/>
            <sz val="9"/>
            <rFont val="Tahoma"/>
            <charset val="134"/>
          </rPr>
          <t>เจษฎา มหามาตย์:</t>
        </r>
        <r>
          <rPr>
            <sz val="9"/>
            <rFont val="Tahoma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นนทวัฒน์ ทองเอี่ยม</author>
  </authors>
  <commentList>
    <comment ref="H24" authorId="0" shapeId="0" xr:uid="{00000000-0006-0000-1000-000001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25" authorId="0" shapeId="0" xr:uid="{00000000-0006-0000-1000-000002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26" authorId="0" shapeId="0" xr:uid="{00000000-0006-0000-1000-000003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27" authorId="0" shapeId="0" xr:uid="{00000000-0006-0000-1000-000004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28" authorId="0" shapeId="0" xr:uid="{00000000-0006-0000-1000-000005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29" authorId="0" shapeId="0" xr:uid="{00000000-0006-0000-1000-000006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30" authorId="0" shapeId="0" xr:uid="{00000000-0006-0000-1000-000007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31" authorId="0" shapeId="0" xr:uid="{00000000-0006-0000-1000-000008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32" authorId="0" shapeId="0" xr:uid="{00000000-0006-0000-1000-000009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33" authorId="0" shapeId="0" xr:uid="{00000000-0006-0000-1000-00000A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34" authorId="0" shapeId="0" xr:uid="{00000000-0006-0000-1000-00000B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35" authorId="0" shapeId="0" xr:uid="{00000000-0006-0000-1000-00000C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36" authorId="0" shapeId="0" xr:uid="{00000000-0006-0000-1000-00000D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  <comment ref="H37" authorId="0" shapeId="0" xr:uid="{00000000-0006-0000-1000-00000E000000}">
      <text>
        <r>
          <rPr>
            <b/>
            <sz val="9"/>
            <rFont val="Tahoma"/>
            <family val="2"/>
          </rPr>
          <t>นนทวัฒน์ ทองเอี่ยม:</t>
        </r>
        <r>
          <rPr>
            <sz val="9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A35D20-5247-42CA-9562-DEF8B90FED68}" keepAlive="1" name="คิวรี - ตาราง 4" description="การเชื่อมต่อกับแบบสอบถาม 'ตาราง 4' ในสมุดงาน" type="5" refreshedVersion="0" background="1">
    <dbPr connection="Provider=Microsoft.Mashup.OleDb.1;Data Source=$Workbook$;Location=&quot;ตาราง 4&quot;;Extended Properties=&quot;&quot;" command="SELECT * FROM [ตาราง 4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<sst xmlns="http://schemas.openxmlformats.org/spreadsheetml/2006/main" count="4586" uniqueCount="828">
  <si>
    <t>เดือน</t>
  </si>
  <si>
    <t>งานทั้งหมด</t>
  </si>
  <si>
    <t>เสร็จ</t>
  </si>
  <si>
    <t>รอดำเนินการ</t>
  </si>
  <si>
    <t>งานสะสม</t>
  </si>
  <si>
    <t>ค่าใช้จ่ายในการสั่งของ</t>
  </si>
  <si>
    <t>งานที่ใช้จ่าย</t>
  </si>
  <si>
    <t>มกราคม</t>
  </si>
  <si>
    <t>กุมภาพันธ์</t>
  </si>
  <si>
    <t>ปั๊มน้ำ/ยางมะตอยถนนหน้าบริษัท/จอร้านกาแฟ</t>
  </si>
  <si>
    <t>มีนาคม</t>
  </si>
  <si>
    <t>ซิลิโคนตะปู/เหล็กแผน</t>
  </si>
  <si>
    <t>เมษายน</t>
  </si>
  <si>
    <t>พฤษภาคม</t>
  </si>
  <si>
    <t>มิถุนายน</t>
  </si>
  <si>
    <t>กรกฎาคม</t>
  </si>
  <si>
    <t>สิงหาคม</t>
  </si>
  <si>
    <t>กันยายน</t>
  </si>
  <si>
    <t>ตุลาคม</t>
  </si>
  <si>
    <t>พฤศจิกายน</t>
  </si>
  <si>
    <t>ธันวาคม</t>
  </si>
  <si>
    <t>รวมค่าใช้จ่าย</t>
  </si>
  <si>
    <t>Monthly Update</t>
  </si>
  <si>
    <t>Tasks</t>
  </si>
  <si>
    <t>วันที่</t>
  </si>
  <si>
    <t>งานสำเร็จ</t>
  </si>
  <si>
    <t>แก้ไขงานแจ้งซ่อม</t>
  </si>
  <si>
    <t xml:space="preserve">1st week </t>
  </si>
  <si>
    <t xml:space="preserve">2nd week </t>
  </si>
  <si>
    <t xml:space="preserve">3rd week </t>
  </si>
  <si>
    <t>4th week</t>
  </si>
  <si>
    <t xml:space="preserve">Finished </t>
  </si>
  <si>
    <t xml:space="preserve">Remain </t>
  </si>
  <si>
    <t>Total</t>
  </si>
  <si>
    <t>รวม</t>
  </si>
  <si>
    <t>งานสำเร็จทั้งหมด</t>
  </si>
  <si>
    <t>อัปเดตปริมาณงานรายเดือน</t>
  </si>
  <si>
    <t>งานซ่อมรอบเดือน</t>
  </si>
  <si>
    <t>สำเร็จ</t>
  </si>
  <si>
    <t>คงค้าง</t>
  </si>
  <si>
    <t>คงเหลือ</t>
  </si>
  <si>
    <t>สรุปงานซ่อมประจำเดือนพฤษภาคม 2569</t>
  </si>
  <si>
    <t>สัปดาห์</t>
  </si>
  <si>
    <t xml:space="preserve">งานตามแผน </t>
  </si>
  <si>
    <t xml:space="preserve">งานแจ้งซ่อม </t>
  </si>
  <si>
    <t>งานที่สำเร็จ</t>
  </si>
  <si>
    <t>เป้าหมาย</t>
  </si>
  <si>
    <t>สรุปงานซ่อมประจำเดือนมิถุนายน 2569</t>
  </si>
  <si>
    <t>ปริมาณงานแจ้งซ่อมแต่ละสัปดาห์</t>
  </si>
  <si>
    <t>+7</t>
  </si>
  <si>
    <t>+14</t>
  </si>
  <si>
    <t>+6</t>
  </si>
  <si>
    <t>+20</t>
  </si>
  <si>
    <t>+1</t>
  </si>
  <si>
    <t>+48</t>
  </si>
  <si>
    <t>สรุปอัตรางานแจ้งซ่อม พฤษภาคม 69</t>
  </si>
  <si>
    <t>แผนก/ฝ่าย</t>
  </si>
  <si>
    <t>จำนวนแจ้งซ่อม</t>
  </si>
  <si>
    <t>%</t>
  </si>
  <si>
    <t>ประเภทที่แจ้งซ่อม</t>
  </si>
  <si>
    <t>ไฟฟ้า</t>
  </si>
  <si>
    <t>สุขภัณฑ์</t>
  </si>
  <si>
    <t>ประปา</t>
  </si>
  <si>
    <t>ระบบแอร์</t>
  </si>
  <si>
    <t>ม่าน</t>
  </si>
  <si>
    <t>เก้าอี้</t>
  </si>
  <si>
    <t>ประตู</t>
  </si>
  <si>
    <t>อุปกรณ์</t>
  </si>
  <si>
    <t>ขอบคิ้ว</t>
  </si>
  <si>
    <t>อาคาร/รีเซป</t>
  </si>
  <si>
    <t>ตรวจสอบ</t>
  </si>
  <si>
    <t>แม่บ้าน</t>
  </si>
  <si>
    <t>บัญชี</t>
  </si>
  <si>
    <t>ธุรการ/การตลาด</t>
  </si>
  <si>
    <t>การเงิน</t>
  </si>
  <si>
    <t>จัดซื้อ</t>
  </si>
  <si>
    <t>ไอทีซัพพอร์ต</t>
  </si>
  <si>
    <t>โปรแกรมเมอร์</t>
  </si>
  <si>
    <t>หนี้สิน</t>
  </si>
  <si>
    <t>เลขา</t>
  </si>
  <si>
    <t>บุคคล</t>
  </si>
  <si>
    <t>compliance</t>
  </si>
  <si>
    <t>รวมงานทั้งหมด</t>
  </si>
  <si>
    <t>เรียบร้อย</t>
  </si>
  <si>
    <t>กำลังดำเนินการ</t>
  </si>
  <si>
    <t>โอนย้าย</t>
  </si>
  <si>
    <t>สรุปอัตรางานแจ้งซ่อม มิถุนายน 69</t>
  </si>
  <si>
    <t>อื่นๆ</t>
  </si>
  <si>
    <t>สรุปอัตรางานแจ้งซ่อม กรกฏาคม 69</t>
  </si>
  <si>
    <t>ประเภท</t>
  </si>
  <si>
    <t>คลังงานซ่อม</t>
  </si>
  <si>
    <t xml:space="preserve"> งานทั้งหมด</t>
  </si>
  <si>
    <t>ลำดับ</t>
  </si>
  <si>
    <t>วันที่แจ้ง</t>
  </si>
  <si>
    <t>งานของเดือน</t>
  </si>
  <si>
    <t>ผู้แจ้ง</t>
  </si>
  <si>
    <t>ฝ่าย</t>
  </si>
  <si>
    <t>ชั้น</t>
  </si>
  <si>
    <t>รายละเอียด</t>
  </si>
  <si>
    <t>โอนย้ายซ่อมในเดือน</t>
  </si>
  <si>
    <t>สถานะงาน</t>
  </si>
  <si>
    <t>ความเร่งด่วน</t>
  </si>
  <si>
    <t>รองสุรัตน์</t>
  </si>
  <si>
    <t>น้ำหยดที่โต๊ะทำงาน</t>
  </si>
  <si>
    <t>เร่งด่วน</t>
  </si>
  <si>
    <t>ห้องอาบน้ำชั้น6 ไม่ไหล</t>
  </si>
  <si>
    <t>Kan/อาคาร</t>
  </si>
  <si>
    <t>หลังบริษัท</t>
  </si>
  <si>
    <t>เติมน้ำหลังบรัษัท</t>
  </si>
  <si>
    <t>ไม่เร่งด่วน</t>
  </si>
  <si>
    <t>P'Jane/reception</t>
  </si>
  <si>
    <t>สายเบาะนั่งหลุดตะทำงาน</t>
  </si>
  <si>
    <t>New/reception</t>
  </si>
  <si>
    <t>G</t>
  </si>
  <si>
    <t>เครื่องฉีดแอลกอฮอล์เสีย</t>
  </si>
  <si>
    <t>ป้อน/อาคาร</t>
  </si>
  <si>
    <t>ประตูอัปเปอร์ ตก</t>
  </si>
  <si>
    <t>นนท์/อาคาร</t>
  </si>
  <si>
    <t>ประตูห้อง Chiller ด้านซ้ายมองจากด้านนอก</t>
  </si>
  <si>
    <t>ทีม/อาคาร</t>
  </si>
  <si>
    <t>น้ำหยดจากท่อดับเพลิง</t>
  </si>
  <si>
    <t>ฟิวส์ตู้ Simplex ชั้น3 เสีย</t>
  </si>
  <si>
    <t>น้ำหยดห้อง Server ประชุมชั้น5</t>
  </si>
  <si>
    <t>S</t>
  </si>
  <si>
    <t>ฝาปิดตู้ FC-13 ในห้อง EE14 หลุด</t>
  </si>
  <si>
    <t>SS</t>
  </si>
  <si>
    <t>พี่กลอฟ</t>
  </si>
  <si>
    <t>สายไฟโผล่ บริเวณรางไฟ</t>
  </si>
  <si>
    <t>แซ็ค</t>
  </si>
  <si>
    <t>ตัวสแกนนิ้วห้องไวน์ใช้งานไม่ได้</t>
  </si>
  <si>
    <t>พี่กอล์ฟ</t>
  </si>
  <si>
    <t>ประตูทางเข้าชั้น 11 แม่เหล็กเสียงดัง</t>
  </si>
  <si>
    <t>Roof</t>
  </si>
  <si>
    <t>ทาสีฝาท่อ ชั้นRoof</t>
  </si>
  <si>
    <t>เย็บกระสอบทราย</t>
  </si>
  <si>
    <t>งานซ่อมพฤษภาคม</t>
  </si>
  <si>
    <t>รหัสงานซ่อม</t>
  </si>
  <si>
    <t>หัวข้อ</t>
  </si>
  <si>
    <t>งานเพิ่มเติม</t>
  </si>
  <si>
    <t>ตำแหน่ง</t>
  </si>
  <si>
    <t>ผู้รับผิดชอบ</t>
  </si>
  <si>
    <t>หมายเหตุ</t>
  </si>
  <si>
    <t>ระดับ</t>
  </si>
  <si>
    <t>ความสำคัญ</t>
  </si>
  <si>
    <t>วันที่เข้าแก้ไข</t>
  </si>
  <si>
    <t>จำนวนคนที่ใช้</t>
  </si>
  <si>
    <t>เวลาที่ใช้ (นาที)</t>
  </si>
  <si>
    <t>ค่าใช้จ่าย (บาท)</t>
  </si>
  <si>
    <t>วิธีแก้ไข</t>
  </si>
  <si>
    <t>landscaping ไม่ติดหน้าบริษัท</t>
  </si>
  <si>
    <t>ชั้น G</t>
  </si>
  <si>
    <t>หน้าบริษัท</t>
  </si>
  <si>
    <t>ทีมซ่อม</t>
  </si>
  <si>
    <t>ไม่สามารถทำคนเดียวได้</t>
  </si>
  <si>
    <t>ยาก</t>
  </si>
  <si>
    <t>สำคัญ</t>
  </si>
  <si>
    <t>ด่วน</t>
  </si>
  <si>
    <t>ขายึดม่านหลุดห้องเลาจน์</t>
  </si>
  <si>
    <t>ชั้น 15</t>
  </si>
  <si>
    <t>ห้องเลาจน์</t>
  </si>
  <si>
    <t>ต้องรอช่างฝ้ามาแก้ไขฝ้าก่อน</t>
  </si>
  <si>
    <t>กลาง</t>
  </si>
  <si>
    <t>ไม่ด่วน</t>
  </si>
  <si>
    <t>ม่านเก็บไม่เรียบร้อย ห้องเลานจ์</t>
  </si>
  <si>
    <t>ฝ้าชำรุด ชั้น6</t>
  </si>
  <si>
    <t>ชั้น 6</t>
  </si>
  <si>
    <t>ฝ้า</t>
  </si>
  <si>
    <t>โถงกลาง ฝั่งวัด</t>
  </si>
  <si>
    <t>ตั้ง Limit ม่านใหม่ ห้องเลาจน์ ชั้น15</t>
  </si>
  <si>
    <t>เครื่องเล่นเสียงคุณบูม</t>
  </si>
  <si>
    <t>ร้านกาแฟ</t>
  </si>
  <si>
    <t>ผู้รับเหมา</t>
  </si>
  <si>
    <t>เสร็จสิ้น</t>
  </si>
  <si>
    <t>ไฟหน้าบริษัทไม่ติด</t>
  </si>
  <si>
    <t>ไฟลิฟ L2 ติด</t>
  </si>
  <si>
    <t>ลิฟต์ L2</t>
  </si>
  <si>
    <t>ทำได้เลย วันเสาร์-อาทิตย์</t>
  </si>
  <si>
    <t>3คน</t>
  </si>
  <si>
    <t>เกทวาล์วรั่วซึม</t>
  </si>
  <si>
    <t>ห้องน้ำชาย</t>
  </si>
  <si>
    <t>ต้องปิดระบบน้ำ เพื่อแก้ไข</t>
  </si>
  <si>
    <t>ขอบคิ้วหลุดหน้าลิฟต์ ลานจอดรถ ชั้น2</t>
  </si>
  <si>
    <t>ชั้น 2</t>
  </si>
  <si>
    <t>โถงกลางลิฟต์</t>
  </si>
  <si>
    <t>จัดวันเข้าซ่อมได้เลย</t>
  </si>
  <si>
    <t>ง่าย</t>
  </si>
  <si>
    <t>คิ้วกระจกชั้น5ห้องน้ำพิเศษหลุด</t>
  </si>
  <si>
    <t>ชั้น 5</t>
  </si>
  <si>
    <t>ห้องน้ำชั้น5</t>
  </si>
  <si>
    <t>ประตูห้องพักเบครเปิดเเล้วติดพื้น ชั้น5</t>
  </si>
  <si>
    <t xml:space="preserve">ห้องพักเบรค </t>
  </si>
  <si>
    <t>2คน</t>
  </si>
  <si>
    <t>1.08ชั่วโมง</t>
  </si>
  <si>
    <t>สวิตซ์ม่านกดม่านขึ้น-ลงไม่ได้</t>
  </si>
  <si>
    <t>ผ้าม่าน</t>
  </si>
  <si>
    <t>ห้องเก็บของ</t>
  </si>
  <si>
    <t>ม่านจะหลุดห้องโยคะ</t>
  </si>
  <si>
    <t>ห้องโยคะฝั่งวัด</t>
  </si>
  <si>
    <t>ไฟชำรุดเเละมีน้ำขังอยู่ในบล็อคหน้าห้องโยคะ</t>
  </si>
  <si>
    <t>หน้าห้องโยคะ</t>
  </si>
  <si>
    <t>ตัวกันกระแทกประตูติดตั้งไม่สนิทห้องน้ำหญิง ชั้น9</t>
  </si>
  <si>
    <t>ชั้น 9</t>
  </si>
  <si>
    <t>ห้องน้ำหญิง</t>
  </si>
  <si>
    <t>ประตูมีรูห้องน้ำหญิงชั้น11</t>
  </si>
  <si>
    <t>ชั้น 11</t>
  </si>
  <si>
    <t>ไม่สำคัญ</t>
  </si>
  <si>
    <t>ก็อกน้ำโยกห้องน้ำชายชั้น11</t>
  </si>
  <si>
    <t>สายไฟEF 11-09 ไม่ได้ต่อ</t>
  </si>
  <si>
    <t>ห้อง EE 11/1</t>
  </si>
  <si>
    <t>ไฟไม่ติดทั้งแผง ทางเดินชั้น5</t>
  </si>
  <si>
    <t>ทางเดินชั้น5</t>
  </si>
  <si>
    <t>ฝ้าจะร่วงห้องน้ำคนพิการ ชั้น6</t>
  </si>
  <si>
    <t>ห้องน้ำพิเศษ ชั้น6</t>
  </si>
  <si>
    <t>หลอดไฟไม่ติดร้านกาแฟ</t>
  </si>
  <si>
    <t>รอของมาส่ง</t>
  </si>
  <si>
    <t>กล่องทิชชู่ชั้น น็อตหวานถอดไม่ได้</t>
  </si>
  <si>
    <t>ชั้น 7</t>
  </si>
  <si>
    <t>ห้องน้ำพิเศษ ชั้น7</t>
  </si>
  <si>
    <t>4นาที</t>
  </si>
  <si>
    <t>หลอดไฟไม่ติดห้องแพนทรี</t>
  </si>
  <si>
    <t>ห้องครัว</t>
  </si>
  <si>
    <t>ประตูห้องครัวปิดไม่สนิท 8</t>
  </si>
  <si>
    <t>ชั้น 8</t>
  </si>
  <si>
    <t>7นาที</t>
  </si>
  <si>
    <t>ประตูปิดไม่สนิทห้อง Pantry ชั้น7</t>
  </si>
  <si>
    <t>5นาที</t>
  </si>
  <si>
    <t>ลูกยางประตูห้องน้ำหญิงชั้น7ไม่ลื่น</t>
  </si>
  <si>
    <t>6นาที</t>
  </si>
  <si>
    <t>ราขึ้นฝ้าเพดาน</t>
  </si>
  <si>
    <t>ฝั่งวัด</t>
  </si>
  <si>
    <t>ม่านจะหลุดชั้น8</t>
  </si>
  <si>
    <t>ประตูห้องน้ำหญิงโยก ชั้น8</t>
  </si>
  <si>
    <t>ตู้ไฟห้อง EE-14/1 ตัวล็อกเสีย</t>
  </si>
  <si>
    <t>ชั้น 14</t>
  </si>
  <si>
    <t>สั่งซื้อของ</t>
  </si>
  <si>
    <t>ตู้กดน้ำเย็นเสีย</t>
  </si>
  <si>
    <t>ตรวจสอบวิเคราห์ปัญหา</t>
  </si>
  <si>
    <t>อุปกรณ์เกจหัก ที่ห้องฟายปั๊ม</t>
  </si>
  <si>
    <t>ไม่มีที่ปิดสายไฟ หลังประตู st1</t>
  </si>
  <si>
    <t>รอยกระเบื้องแตกตรงเคาเตอร์ร้านกาแฟแนวยาว</t>
  </si>
  <si>
    <t>สี</t>
  </si>
  <si>
    <t>แก้ไขม่านชั้น15</t>
  </si>
  <si>
    <t>รอช่างฝ้าเข้าแก้ไข</t>
  </si>
  <si>
    <t>แก้ไขม่านชั้น12</t>
  </si>
  <si>
    <t>ชั้น 12</t>
  </si>
  <si>
    <t>แก้ไขม่านชั้น11</t>
  </si>
  <si>
    <t>แก้ไขม่านชั้น10</t>
  </si>
  <si>
    <t>ชั้น 10</t>
  </si>
  <si>
    <t>แก้ไขม่านชั้น9</t>
  </si>
  <si>
    <t>แก้ไขม่านชั้น8</t>
  </si>
  <si>
    <t>ตรวจเช็คฝ้า</t>
  </si>
  <si>
    <t>ทั่วไป</t>
  </si>
  <si>
    <t>ตรวจเช็ค</t>
  </si>
  <si>
    <t>เข้าตรวจสอบได้เลย</t>
  </si>
  <si>
    <t>ตรวจเช็คม่าน</t>
  </si>
  <si>
    <t>ทั้งตึก</t>
  </si>
  <si>
    <t>แก้ไขม่านชั้น6</t>
  </si>
  <si>
    <t>ตรวจสอบประตู</t>
  </si>
  <si>
    <t>ตรวจสอบหลอดไฟยาว</t>
  </si>
  <si>
    <t>ตรวจสอบไฟตามชั้น พนักงาน</t>
  </si>
  <si>
    <t>ตรวจสอบไฟ ST-1 ST-2</t>
  </si>
  <si>
    <t>ตรวจสอบไฟ Fire man Life</t>
  </si>
  <si>
    <t>ตรวจสอบไฟห้องน้ำ</t>
  </si>
  <si>
    <t>ตรวจสอบอ่างล้างมือ</t>
  </si>
  <si>
    <t>ตรวจสอบฝาชักโครก</t>
  </si>
  <si>
    <t>ตรวจสอบสายฉีดชำระ</t>
  </si>
  <si>
    <t>เติมน้ำเข้าบ่อหลังบริษัท</t>
  </si>
  <si>
    <t>รีเซป</t>
  </si>
  <si>
    <t>งานเกษตร</t>
  </si>
  <si>
    <t>ตรวจสอบ Stock อุปกรณ์</t>
  </si>
  <si>
    <t>ห้อง control</t>
  </si>
  <si>
    <t>มิเตอร์น้ำเข้าใช้งานไม่ได้</t>
  </si>
  <si>
    <t xml:space="preserve">เครื่องวัดอุณหภูมิแบตหมด </t>
  </si>
  <si>
    <t>ห้องพี่ฟลุ๊ค</t>
  </si>
  <si>
    <t>เดินสายไฟน้ำพุใหม่</t>
  </si>
  <si>
    <t>ตรวจเช็ค cooling 02</t>
  </si>
  <si>
    <t>ชั้นRoof</t>
  </si>
  <si>
    <t>Cooling 02 ไม่ทำงาน</t>
  </si>
  <si>
    <t>ไล่อัดทอร์คตู้ไฟ MDB</t>
  </si>
  <si>
    <t>PM</t>
  </si>
  <si>
    <t>เปลี่ยนหลอดไฟห้องน้ำชาย 12</t>
  </si>
  <si>
    <t>ห้องน้ำ</t>
  </si>
  <si>
    <t>เปลี่ยนหลอดไฟห้องน้ำหญิง 12</t>
  </si>
  <si>
    <t>ชักโครกน้ำไหลไม่หยุดห้องน้ำหญิง ชั้น10</t>
  </si>
  <si>
    <t>ห้องสุดท้าย</t>
  </si>
  <si>
    <t>ฝาชักโครกโยกห้องน้ำชายชั้น7</t>
  </si>
  <si>
    <t>ห้อง2</t>
  </si>
  <si>
    <t>ฝาชักโครกโยกห้องน้ำหญิงชั้น7</t>
  </si>
  <si>
    <t>ห้อง3</t>
  </si>
  <si>
    <t>ฝาชักโครกโยกห้องน้ำหญิงชั้น6</t>
  </si>
  <si>
    <t>ห้อง4</t>
  </si>
  <si>
    <t>ฝาชักโครกโยกห้องน้ำชายชั้น5</t>
  </si>
  <si>
    <t>ก็อกอ่างล่างมือชั้น8ห้องน้ำพิเศษโยก</t>
  </si>
  <si>
    <t>ห้องน้ำพิเศษ</t>
  </si>
  <si>
    <t>สายฉีดชำระตะกรันอุดตัน ชั้น15</t>
  </si>
  <si>
    <t>สายฉีดชำระกดแล้วค้างห้องน้ำชาย ชั้น14</t>
  </si>
  <si>
    <t>ห้อง1</t>
  </si>
  <si>
    <t>สายฉีดชำระน้ำออกน้อย ห้องหญิง ชั้น14</t>
  </si>
  <si>
    <t>สายฉีดชำระตะกรันอุดตัน ห้องหญิง ชั้น5</t>
  </si>
  <si>
    <t>ติดเทปซีลประตู ชั้นG ประตูหน้าข้างฝั่งห้องน้ำ</t>
  </si>
  <si>
    <t>ทั้งชั้นG</t>
  </si>
  <si>
    <t>ติดเทปซีลประตู ชั้นG ประตูหน้าข้างฝั่งร้านกาแฟ</t>
  </si>
  <si>
    <t>ติดเทปซีลประตู ชั้นG ประตูหน้าฝั่งวัด</t>
  </si>
  <si>
    <t>ติดเทปซีลประตู ชั้นG ประตูหน้าฝั่งโลตัส</t>
  </si>
  <si>
    <t>ประตูหน้าบริษัทเปิดไม่ได้</t>
  </si>
  <si>
    <t>โถปัสสวะน้ำไหลเบา</t>
  </si>
  <si>
    <t xml:space="preserve"> โถ1</t>
  </si>
  <si>
    <t>โถ2</t>
  </si>
  <si>
    <t>โถปัสสวะใช้งานไม่ได้</t>
  </si>
  <si>
    <t>โถ3</t>
  </si>
  <si>
    <t>เปลี่ยนประเก็นท่อ Fire Pump</t>
  </si>
  <si>
    <t>ชั้น Roof</t>
  </si>
  <si>
    <t>ด้าดฟ้า</t>
  </si>
  <si>
    <t>รอจนกว่าปะเก็นที่เพิ่งเปลี่ยนจะชำรุด</t>
  </si>
  <si>
    <t>4คน</t>
  </si>
  <si>
    <t>ประตูห้องน้ำหญิงมีรู ชั้น8</t>
  </si>
  <si>
    <t>ห้องน้ำหญิงชั้น8</t>
  </si>
  <si>
    <t>1คน</t>
  </si>
  <si>
    <t>ยิงซิลิโคนอัดจุดที่เป็นรูเเล้วใช้สเปรย์สีดำฉี</t>
  </si>
  <si>
    <t>หลอดไฟติด Firemanfift</t>
  </si>
  <si>
    <t>ชั้น 3</t>
  </si>
  <si>
    <t>Firemanlift ชั้น3</t>
  </si>
  <si>
    <t>เปลี่ยนหลอดไฟใหม่</t>
  </si>
  <si>
    <t>ทำฐานพระนั่ง</t>
  </si>
  <si>
    <t>โครงสร้าง</t>
  </si>
  <si>
    <t>ห้องประชุมชั้น5</t>
  </si>
  <si>
    <t>5คน</t>
  </si>
  <si>
    <t>ท่อส่งน้ำดับเพลิงน้ำรั่ว</t>
  </si>
  <si>
    <t>ST2</t>
  </si>
  <si>
    <t>ตู้ไฟหน้าบริษัท</t>
  </si>
  <si>
    <t>ระบบ</t>
  </si>
  <si>
    <t>ตู้เปิดน้ำพุ</t>
  </si>
  <si>
    <t>การถอดสลักฝากปิดออกและทำความสะอาดตู้(ตู้ไม่ได้ใช้งาน)</t>
  </si>
  <si>
    <t>สายไฟไม่เรียบร้อย</t>
  </si>
  <si>
    <t>ที่ตั้งร้านกาแฟตอนเช้า</t>
  </si>
  <si>
    <t>เกลือขึ้นรอบถัง</t>
  </si>
  <si>
    <t>ความสะอาด</t>
  </si>
  <si>
    <t>ห้องFire pump</t>
  </si>
  <si>
    <t>ขัดเกลือรอบถังและใช้น้ำเเรงดันฉีด</t>
  </si>
  <si>
    <t>บ่อทรายถังน้ำมัน</t>
  </si>
  <si>
    <t>ระบบไฟน้ำพุช็อค</t>
  </si>
  <si>
    <t>น้ำพุ</t>
  </si>
  <si>
    <t>PM น้ำพุ</t>
  </si>
  <si>
    <t>PM Firepump</t>
  </si>
  <si>
    <t>PM Gen</t>
  </si>
  <si>
    <t>ประตูห้องpantry ชั้น15 ปัญหาโช๊ค</t>
  </si>
  <si>
    <t>ชั้น15</t>
  </si>
  <si>
    <t>-ปรับโช๊ค
-ฉีดsonaxใส่บานพับ/ลูกยาง</t>
  </si>
  <si>
    <t>ประตู auto door ล็อค</t>
  </si>
  <si>
    <t>ประตู ST1 ปัญหาโช๊ค</t>
  </si>
  <si>
    <t>-ปรับโช๊ค
-ฉีดsonaxใส่บานพับกลอนประตู</t>
  </si>
  <si>
    <t>ประตูห้อง EE-14 ชั้น14ปิดไม่สนิท</t>
  </si>
  <si>
    <t>ชั้น14</t>
  </si>
  <si>
    <t>ห้อง EE-14</t>
  </si>
  <si>
    <t>ขันสกรูวเพื่อขยับตำแหน่งลูกบิดประตูให้เข้าไปด้านในมากขึ้น</t>
  </si>
  <si>
    <t>ห้องน้ำหญิง บานพับประตุเสื่อมสภาพ</t>
  </si>
  <si>
    <t>- ฉีดน้ำมันหล่อลื่นบริเวณบานพับ และลูกยางโช๊ค
- ขันท็อคสกรูวยึดบานพับ เนื่องจากสกรูวคลาย</t>
  </si>
  <si>
    <t>ห้องน้ำหญิงประตูมีเสียง</t>
  </si>
  <si>
    <t>auto door มีเสียง</t>
  </si>
  <si>
    <t>ประตูEE 14 ปิดไม่สนิท,เสียงดัง</t>
  </si>
  <si>
    <t>ประตูFireman ปิดไม่สนิท</t>
  </si>
  <si>
    <t>ประตูห้องน้ำชาย มีเสียง</t>
  </si>
  <si>
    <t>ชั้น12</t>
  </si>
  <si>
    <t>-อัดเเน่นสกรูยึดบานพับ
-ฉีดsonaxใส่บานพับ/ลูกยาง</t>
  </si>
  <si>
    <t>ประตูห้องน้ำหญิงมีปัญหา ลูกบิด,โช๊ค,เสียงดัง,กลอนล้อค</t>
  </si>
  <si>
    <t>-ยายตำเเหน่งลูกยางล็อคข้างบน
-ฉีดsonaxใส่บานพับ/ลูกยาง</t>
  </si>
  <si>
    <t>ประตูห้องpantrg ชั้น12 ปิดไม่สนิท</t>
  </si>
  <si>
    <t>ประตุห้องคุณบัญญัติ เสียงดัง,กลอนล้อค</t>
  </si>
  <si>
    <t>- ขันสกรูปรับลดความเร็วในการปิด
- ฉีดน้ำมันหลื่นลื่นที่สกรู และบานพับ กันการชำรุด</t>
  </si>
  <si>
    <t>ประตูST2 เสียงดัง ชั้น12</t>
  </si>
  <si>
    <t>- ขันสกรูปรับเพิ่มความเร็วในการปิด และลดระยะ latching
- ฉีดน้ำมันหลื่นลื่นที่สกรู และบานพับ กันการชำรุด</t>
  </si>
  <si>
    <t>ประตูFireman เสียงดัง ชั้น12</t>
  </si>
  <si>
    <t>ประตูห้องพี่ฟลุ๊ค,โช๊ค</t>
  </si>
  <si>
    <t>ชั้น11</t>
  </si>
  <si>
    <t>- ขันสกรูปรับระยะลูกยางโช๊คบริเวณวงกบบนประตู ให้ยื่นออกมาน้อยลง
- ฉีดน้ำมันหล่อลื่นบริเวณลูกยางล็อคโช๊ค เพื่อลดเสียงจากการเสียดสี</t>
  </si>
  <si>
    <t>ประตูห้องน้ำชาย เสียงดัง,กลอนล้อค</t>
  </si>
  <si>
    <t>ประตูห้องน้ำหญิง เสียงดัง,กลอนล็อค</t>
  </si>
  <si>
    <t>ประตูด้านหน้าทางเข้า EE11/1 เสียงดัง</t>
  </si>
  <si>
    <t>- ขันสกรูปรับลดความเร็วในการปิด และลดระยะ latching
- ฉีดน้ำมันหลื่นลื่นที่สกรู และบานพับ กันการชำรุด</t>
  </si>
  <si>
    <t>ประตูห้องpantrg โช๊ค,เสียงดัง</t>
  </si>
  <si>
    <t>- ขันสกรูปรับลดความเร็วในการปิดของโช๊ค และขันลดระยะ latching ก่อนปิดสนิท
- ฉีดน้ำมันหล่อลื่นบริเวณสกรูโช๊ค และบานพับป้องกันการชำรุดในอนาคต
- ฉีดน้ำมันหล่อลื่นบริเวณลูกยางล็อคโช๊ค เพื่อลดเสียงจากการเสียดสี</t>
  </si>
  <si>
    <t>ประตูห้องน้ำชาย ชั้น10 เสียงดัง</t>
  </si>
  <si>
    <t>ชั้น10</t>
  </si>
  <si>
    <t>ประตูห้องpantrg เสียงดัง ชั้น10</t>
  </si>
  <si>
    <t>ประตุห้องเมืองไทย1 ปิดไม่สนิท</t>
  </si>
  <si>
    <t>EE Room ชั้น10 เสียงดัง</t>
  </si>
  <si>
    <t>ประตู ST2 เสียงดัง</t>
  </si>
  <si>
    <t>ประตูห้องรองสุรัตน์ ปิดไม่สนิท,เสียงดัง,กลอนล็อค</t>
  </si>
  <si>
    <t>ชั้น9</t>
  </si>
  <si>
    <t>ประตูห้องคุณอำนาจ ปิดไม่สนิท</t>
  </si>
  <si>
    <t>ห้องpantrg ชั้น9เสียงดัง</t>
  </si>
  <si>
    <t>ห้องน้ำหญิงชั้น9 เสียงดัง</t>
  </si>
  <si>
    <t>EE Room 9/1โช๊ค,ปิดไม่สนิท</t>
  </si>
  <si>
    <t>ทำการปรับขายึดโช๊คอัดทอร์คบานพับฉีดsonaxบานพับ</t>
  </si>
  <si>
    <t>EE9 เสียงดัง</t>
  </si>
  <si>
    <t>ST1 ชั้น9 เสียงดัง</t>
  </si>
  <si>
    <t>ST2 เสียงดัง</t>
  </si>
  <si>
    <t>ประตูเก็บของปิดไม่สนิท ชั้น 8</t>
  </si>
  <si>
    <t>ชั้น8</t>
  </si>
  <si>
    <t>ห้องpantrg ชั้น8เสียงดัง</t>
  </si>
  <si>
    <t>ST1 ชั้น8 เสียงดัง</t>
  </si>
  <si>
    <t>- ขันสกรูปรับระยะ Latching เพื่อให้ประตูชะลอก่อนปิด
- ฉีดน้ำมันหลื่นลื่นที่สกรู และบานพับ กันการชำรุ</t>
  </si>
  <si>
    <t>EE ROOM 8 เสียงดัง</t>
  </si>
  <si>
    <t>- ขันสกรูปรับระยะ Latching และความเร็วในการปิด
- ฉีดน้ำมันหลื่นลื่นที่สกรู และบานพับ กันการชำรุด</t>
  </si>
  <si>
    <t>ST2 ปิดไม่สนิท ชั้น8</t>
  </si>
  <si>
    <t>- ขันสกรูปรับเพิ่มความเร็วในการปิด
- ขันสกรูวปรับระยะตัวล็อคราวประตูใหม่
- ฉีดน้ำมันหลื่นลื่นที่สกรู และบานพับ กันการชำรุด</t>
  </si>
  <si>
    <t>Fireman เสียงดัง</t>
  </si>
  <si>
    <t>EE 7/1 ปิดไม่สนิท</t>
  </si>
  <si>
    <t>ชั้น7</t>
  </si>
  <si>
    <t>ประตูห้องน้ำพิเศษปิดไม่สนิท ชั้น7</t>
  </si>
  <si>
    <t>ประตุห้อง pantry ชั้น7 เสียงดัง</t>
  </si>
  <si>
    <t>ST1เสียงดัง ชัน7</t>
  </si>
  <si>
    <t>- เนื่องจากบานประตูตก จึงจำเป็นต้องปรับตำแหน่งบานพับใหม่ โดยการใช้แผ่นเหล็กชิมใต้บานประตูเพื่อล็อคตำแหน่งบานพับก่อนขันสกรูยึดอีกรอบ
- ขันสกรูปรับเพิ่มความเร็ว และเพิ่มระยะ latching ของโช๊ค
- ฉีดน้ำมันหล่อลื่นกันสนิม และลดความฝืด บริเวณโช๊ค</t>
  </si>
  <si>
    <t>EE7 ปิดไม่สนิท ชั้น7</t>
  </si>
  <si>
    <t>ห้องน้ำชายชั้น6 ปิดไม่สนิท,เสียงดัง</t>
  </si>
  <si>
    <t>ชั้น6</t>
  </si>
  <si>
    <t>ประตูห้องpantrg 6 ลูกบิด,โช๊ค,เสียงดัง</t>
  </si>
  <si>
    <t>ST 1 ชั้น6เสียงดัง</t>
  </si>
  <si>
    <t>EE 6 เสียงดัง</t>
  </si>
  <si>
    <t>ประตูห้องประชุมชั้น5 โช๊ค</t>
  </si>
  <si>
    <t>ชั้น5</t>
  </si>
  <si>
    <t>ห้องน้ำชายชั้น5 ลูกบิด,โช๊ค</t>
  </si>
  <si>
    <t>ประตูcontron auto door ไม่ล็อค</t>
  </si>
  <si>
    <t>รอซื้อ break glass</t>
  </si>
  <si>
    <t>ประตูห้องChiller,ลูกบิด</t>
  </si>
  <si>
    <t>ต้องเปลี่ยนลูกบิดใหม่</t>
  </si>
  <si>
    <t>ประตูFireman ลูกบิด ชั้น4</t>
  </si>
  <si>
    <t>ชั้น 4</t>
  </si>
  <si>
    <t>ชั้น4</t>
  </si>
  <si>
    <t>ST2 ปิดไม่สนิท ชั้น4</t>
  </si>
  <si>
    <t>- ขันสกรูปรับความเร็วโช๊ค
- ฉีดน้ำมันหล่อลื่นกันชำรุด</t>
  </si>
  <si>
    <t>ประตูห้องประชุมวิริยะปิดม่สนิท ชั้น2</t>
  </si>
  <si>
    <t>ชั้น2</t>
  </si>
  <si>
    <t>ห้องpantrg ปิดไม่สนิท ชั้น2</t>
  </si>
  <si>
    <t>ประตุห้องcommand auto door ไม่ล้อค</t>
  </si>
  <si>
    <t>ชั้นG</t>
  </si>
  <si>
    <t>โถปัสสาวะชายชั้น7ใช้งานไม่ได้</t>
  </si>
  <si>
    <t>1.ดูเเบบหาหาตำแหน่งวาล์วน้ำที่ส่งไปยังโถปัสสาวะและทำการปิดวาล์วDrain ค้างท่อทิ้ง 
2.ทำการเปลี่ยนเซนเซอร์และวาล์วน้ำ
3.ปัญหาเเทรกท่อDrainอุดตันแก้ไขด้วยการนำน้ำสลายคาบมาใส่(ปกติเรียบร้อย)
4.ปัญหาเเทรก ท่อDrain รั่ว แก้ไขด้วยการน้ำท่อPVC1/2 มาต่อระหว่างข้อต่อท่อที่มีการรั่ว (ปกติเรียบร้อย)</t>
  </si>
  <si>
    <t>ติดตามงานซ่อมเครื่องชาร์จรถ EV บ้าน กจ</t>
  </si>
  <si>
    <t>-</t>
  </si>
  <si>
    <t>บ้าน กจ</t>
  </si>
  <si>
    <t>แก้ไขสลิงม่านหย่อน ห้องเก็บรูปชั้น9</t>
  </si>
  <si>
    <t>ห้องเก็บรูป</t>
  </si>
  <si>
    <t>คลายสกรูวยึดสลิงเพื่อขยับสายสลิงให้ตึงขึ้น แล้วขันสกรูวยึดหลังได้ระยะแล้ว</t>
  </si>
  <si>
    <t>แก้ไขสลิงม่านหย่อนโถงฝั่งโลตัสชั้น10</t>
  </si>
  <si>
    <t>ฝั่งโลตัส</t>
  </si>
  <si>
    <t>แก้ไขโช๊คประตูทางเข้าด้านข้างฝั่งร้านกาแฟ</t>
  </si>
  <si>
    <t>ประตูทางเข้าด้านข้าง</t>
  </si>
  <si>
    <t>- ขันสกรูวปรับระยะ Latchet และความเร็วเปิด-ปิด ประตู
- ฉีดน้ำมันล้างสนิมในร่องสกรูว</t>
  </si>
  <si>
    <t>ประตูทางเข้าด้านข้างติดร้านกาแฟลื่น</t>
  </si>
  <si>
    <t>ประตูทางเข้าด้านข้างติดลานจอดรถลื่น</t>
  </si>
  <si>
    <t>ประตูทางเข้าด้านหน้าติดโต๊ะรีเซปลื่น</t>
  </si>
  <si>
    <t>ห้องรองสุรัตน</t>
  </si>
  <si>
    <t>ห้องอาบน้ำ</t>
  </si>
  <si>
    <t xml:space="preserve">ลิฟต์ </t>
  </si>
  <si>
    <t>แจ้งซ่อมรายวัน</t>
  </si>
  <si>
    <t>เดือน เมษายน 2569</t>
  </si>
  <si>
    <t>ชื่อผู้แจ้งซ่อม/ฝ่าย</t>
  </si>
  <si>
    <t>คอลัมน์1</t>
  </si>
  <si>
    <t>แจ้งผ่าน</t>
  </si>
  <si>
    <t>เรื่อง</t>
  </si>
  <si>
    <t>วันที่แจ้งซ่อม</t>
  </si>
  <si>
    <t>สถานะ</t>
  </si>
  <si>
    <t>Line</t>
  </si>
  <si>
    <t>หลอดไฟไม่ติดห้องน้ำชาย</t>
  </si>
  <si>
    <t>ส่วนตัว</t>
  </si>
  <si>
    <t>ห้องทำงาน</t>
  </si>
  <si>
    <t>Bas</t>
  </si>
  <si>
    <t>ก๊อกน้ำล้างมือ น้ำไม่ไหล</t>
  </si>
  <si>
    <t>โถปัสสาวะทำงานน้ำไหลไม่หยุด</t>
  </si>
  <si>
    <t>สายเบาะนั่งหลุด</t>
  </si>
  <si>
    <t>โต๊ะทำงานฝั่งโลตัส</t>
  </si>
  <si>
    <t>ประตูมีเสียง</t>
  </si>
  <si>
    <t>ประตูกลาง</t>
  </si>
  <si>
    <t>Zack</t>
  </si>
  <si>
    <t>Helpdesk</t>
  </si>
  <si>
    <t>ไฟไม่ติด</t>
  </si>
  <si>
    <t>หน้าลิฟ fire man</t>
  </si>
  <si>
    <t>Oong/อาคาร</t>
  </si>
  <si>
    <t>โช๊คประตูเปิดล็อคค้างไม่ได้</t>
  </si>
  <si>
    <t>ทางไปห้องน้ำ</t>
  </si>
  <si>
    <t>หลอดไฟไม่ติดตู้ทรานเฟอร์</t>
  </si>
  <si>
    <t>ห้อง fire pump</t>
  </si>
  <si>
    <t>งาน PM ล้างแอร์</t>
  </si>
  <si>
    <t>ห้อง server</t>
  </si>
  <si>
    <t>ลิฟ car park</t>
  </si>
  <si>
    <t>Nan/reception</t>
  </si>
  <si>
    <t>รางไฟร่วง</t>
  </si>
  <si>
    <t>หลังโต๊ะreception</t>
  </si>
  <si>
    <t>Pick/อาคาร</t>
  </si>
  <si>
    <t>สายดึงม่านหลุด</t>
  </si>
  <si>
    <t xml:space="preserve">เทปซิลประตูหลุด </t>
  </si>
  <si>
    <t>อัปเปอร์</t>
  </si>
  <si>
    <t>หลอดไฟแสดงสถานะ PAU-2-01</t>
  </si>
  <si>
    <t>ระหว่างทางขึ้นชั้น2</t>
  </si>
  <si>
    <t>น๊อต/อาคาร</t>
  </si>
  <si>
    <t>น๊อตตัวเมียร่มร้านกาแฟหาย</t>
  </si>
  <si>
    <t>ร้านกาแฟหน้าบริษัท</t>
  </si>
  <si>
    <t>Big/Line OA</t>
  </si>
  <si>
    <t>แป้นพิมพ์ห้องประชุมถ่านอ่อน</t>
  </si>
  <si>
    <t>ห้องประชุมเมืองไทย2</t>
  </si>
  <si>
    <t>เทปซีลประตูหลุดออกมานอกประตู</t>
  </si>
  <si>
    <t>ประตูทางเข้าฝั่งโลตัสด้านที่ติดลานจอดรถ</t>
  </si>
  <si>
    <t>กลอนประตูหย่อน</t>
  </si>
  <si>
    <t>เดือน พฤษภาคม 2569</t>
  </si>
  <si>
    <t>ชื่อผู้แจ้งซ่อม</t>
  </si>
  <si>
    <t>ตรวจสอบตู้ไฟหน้าบริษัท</t>
  </si>
  <si>
    <t>เต้าเสียบปลั๊กหลวม</t>
  </si>
  <si>
    <t>P'กอร์ฟ/อาคาร</t>
  </si>
  <si>
    <t>ภาพเอียง</t>
  </si>
  <si>
    <t>เซนเซอร์ก๊อกน้ำห้องน้ำพิเศษมีปัญหาน้ำไม่ไหล</t>
  </si>
  <si>
    <t>กานต์/อาคาร</t>
  </si>
  <si>
    <t>โต๊ะร้านกาแฟล้อมีปัญหา</t>
  </si>
  <si>
    <t>EE14</t>
  </si>
  <si>
    <t>ป้าแม่บ้าน</t>
  </si>
  <si>
    <t>เก้าอี้ชั้น12แกนตรงตัวปรับระดับไม่ได้</t>
  </si>
  <si>
    <t>ฝาปิดลิฟท์กลางชั้น15หลุด</t>
  </si>
  <si>
    <t>พี่เจน</t>
  </si>
  <si>
    <t>รางไฟหลุด</t>
  </si>
  <si>
    <t>หลอดไฟแสดงสถานะตู้PAU-2-1 ไม่ติด</t>
  </si>
  <si>
    <t>พี่จูน</t>
  </si>
  <si>
    <t xml:space="preserve">แผ่นกั้นโต๊ะทำงานหลุด </t>
  </si>
  <si>
    <t>ปิ๊ก</t>
  </si>
  <si>
    <t>หลอดไฟไม่ติดไฟแมนชั้น3</t>
  </si>
  <si>
    <t>OA</t>
  </si>
  <si>
    <t>ไฟ Tip โต๊ะพนักงาน ชั้น12</t>
  </si>
  <si>
    <t>ไฟล์</t>
  </si>
  <si>
    <t>ถ่านแบตเตรี่ห้องน้ำชาย ชั้น12 อ่อน</t>
  </si>
  <si>
    <t>Berak glass แตก</t>
  </si>
  <si>
    <t>โคมหลอดแก้วหลุด ชั้น10</t>
  </si>
  <si>
    <t>กลอนประตูเปิดไม่ออก</t>
  </si>
  <si>
    <t>อุปกรณ์ออกกำลังกายชำรุด</t>
  </si>
  <si>
    <t>นิว</t>
  </si>
  <si>
    <t>ม่านฝั่งโลตัส ชั้น14 ลงไม่สุด</t>
  </si>
  <si>
    <t>ที่ปิดตู้คูลลิ่งล็อคไม่ได้</t>
  </si>
  <si>
    <t xml:space="preserve">กริลร่องแอร์ฝั่งโลตัสชั้น 9 </t>
  </si>
  <si>
    <t>เทปซีนประตูทางเข้าชั้น G ฝั่งโลตัส</t>
  </si>
  <si>
    <t>พัดลมดูดอากาศชั้น 11 ปิดไม่สนิท</t>
  </si>
  <si>
    <t>แจกันล้มโดนลมพัด</t>
  </si>
  <si>
    <t>ลูกบอลออกกำลังกายชำรุด</t>
  </si>
  <si>
    <t>ใส่ชั้นวางอุปกรณ์ชั้น14</t>
  </si>
  <si>
    <t>ขอบคิ้วลิฟต์กลางหลุด ชั้น14</t>
  </si>
  <si>
    <t>แช็ค</t>
  </si>
  <si>
    <t>ขอบคิ้วชั้นGหลุดหน้าประตูไฟแมน</t>
  </si>
  <si>
    <t>ประตูAuto door มีเสียง ชั้น12</t>
  </si>
  <si>
    <t>รางไฟหน้าห้องน้ำหญิง</t>
  </si>
  <si>
    <t>รางไฟร่วงหน้าห้องน้ำหญิง</t>
  </si>
  <si>
    <t>หน้าห้องน้ำหญิง</t>
  </si>
  <si>
    <t>รางไฟร่วงหน้าทางไปลิฟท์ Fire man</t>
  </si>
  <si>
    <t>ทางไปลิฟท์ Fire man</t>
  </si>
  <si>
    <t>ประตู Auto door มีเสียง</t>
  </si>
  <si>
    <t>ดึงสายม่านไม่ได้</t>
  </si>
  <si>
    <t>ม่านฝั่งวัด</t>
  </si>
  <si>
    <t>จ๋า/ฝ่ายบุคคล</t>
  </si>
  <si>
    <t>น้ำแอร์หยด โถงกลาง</t>
  </si>
  <si>
    <t>โถงกลาง</t>
  </si>
  <si>
    <t>แอร์ไม่เย็น เนื่องจาก filter แอร์ ฝุ่นเต็ม</t>
  </si>
  <si>
    <t>บริเวณที่นั่งเลขา</t>
  </si>
  <si>
    <t>เปลี่ยนก็อกร้านกาแฟเนื่องจากคุณบูมมาใช้งาน</t>
  </si>
  <si>
    <t>สายฉีดชำระมีปัญหา</t>
  </si>
  <si>
    <t>ห้องน้ำชายห้องที่2จากด้านนอกสุด</t>
  </si>
  <si>
    <t xml:space="preserve"> น้ำจากตู้กดไม่เย็น</t>
  </si>
  <si>
    <t>ช่วยขึ้นรูปพระราชินี</t>
  </si>
  <si>
    <t>ประตูหน้าที่ล็อคไว้ติดร้านกาแฟ</t>
  </si>
  <si>
    <t>เดือน มิถุนายน 2569</t>
  </si>
  <si>
    <t xml:space="preserve">หลอดไฟกระพริบ ชั้น15 </t>
  </si>
  <si>
    <t>ห้องประชุมบอร์ด</t>
  </si>
  <si>
    <t>ทาสีไม้ทำแบล็คดรอป</t>
  </si>
  <si>
    <t>ใช้สำหรับติดตั้งในห้องประชุ่มสุขสามัคคี</t>
  </si>
  <si>
    <t>ห้องน้ำพิเศษ ชั้น9 ตันกลิ่นอับ</t>
  </si>
  <si>
    <t>ห้องน้ำพิเศษชั้น9</t>
  </si>
  <si>
    <t>พีเจน</t>
  </si>
  <si>
    <t>ห้องแพนทรีสายน้ำต้อ่างน้ำหยด</t>
  </si>
  <si>
    <t>ห้องแพนทรี</t>
  </si>
  <si>
    <t>ทีม</t>
  </si>
  <si>
    <t xml:space="preserve">ตรวจสอบโต๊ะพับตัวที่ดยก </t>
  </si>
  <si>
    <t>ทุกชั้นที่มี</t>
  </si>
  <si>
    <t>นนท์</t>
  </si>
  <si>
    <t>ประตูเสียงดังตอนปิด</t>
  </si>
  <si>
    <t>ประตู fire man lift</t>
  </si>
  <si>
    <t>โถปัสสาวะชายน้ำไหลเบา</t>
  </si>
  <si>
    <t>ก๊อกน้ำตัวในสุดไม่ทำงาน</t>
  </si>
  <si>
    <t>โถ่งปัสสาวะไหลเบา</t>
  </si>
  <si>
    <t>ห้องน้ำห้อง2</t>
  </si>
  <si>
    <t>ประตูมีรูห้องน้ำหญิงชั้น12</t>
  </si>
  <si>
    <t>28/06/256</t>
  </si>
  <si>
    <t>ดิจิตอลเทอโมมิเตอร์ตัวเลขไม่ขึ้น</t>
  </si>
  <si>
    <t>ปิีก</t>
  </si>
  <si>
    <t>Transfer pump 01 น้ำไหลเบา</t>
  </si>
  <si>
    <t>ห้องFire Pump</t>
  </si>
  <si>
    <t>สีพื้นห้องลิฟต์สีแตก</t>
  </si>
  <si>
    <t>ห้องลิฟต์</t>
  </si>
  <si>
    <t>พื้นชั้นRoofมีตะไคร่</t>
  </si>
  <si>
    <t>บันได้ขึ้นดาดฟ้า</t>
  </si>
  <si>
    <t>บันไดขึ้นดาดฟ้ามีสนิม</t>
  </si>
  <si>
    <t>ตัวยึดสลิงต้นไม้ขาด</t>
  </si>
  <si>
    <t>ก็อกน้ำไม่ไหลห้องน้ำคนพิเศษ ชั้นG</t>
  </si>
  <si>
    <t>ห้องน้ำพิเศษชั้นG</t>
  </si>
  <si>
    <t>ก็อกน้ำไม่ไหลห้องน้ำคนพิเศษ ชั้น9</t>
  </si>
  <si>
    <r>
      <rPr>
        <sz val="11"/>
        <rFont val="Calibri"/>
        <charset val="134"/>
        <scheme val="minor"/>
      </rPr>
      <t>ห้องแรก</t>
    </r>
    <r>
      <rPr>
        <b/>
        <sz val="11"/>
        <color rgb="FFFF0000"/>
        <rFont val="Calibri"/>
        <charset val="134"/>
        <scheme val="minor"/>
      </rPr>
      <t xml:space="preserve"> ด่วนๆ</t>
    </r>
  </si>
  <si>
    <t>แผงไฟล่างจอไวเนสหลุด ชั้น G</t>
  </si>
  <si>
    <t>หน้าลิฟต์</t>
  </si>
  <si>
    <t>สายฉีดชำรุดห้องน้ำหญิงชั้น8</t>
  </si>
  <si>
    <t>ห้องที่2</t>
  </si>
  <si>
    <t xml:space="preserve">คิ้วใต้รูป ชั้น G </t>
  </si>
  <si>
    <t>ฝั่งร้านกาแฟ</t>
  </si>
  <si>
    <t>เสียงดังเวลาค้างและกดปิด</t>
  </si>
  <si>
    <t>ขอบสแตนเลสด้านล่างหลุด</t>
  </si>
  <si>
    <t>ลิฟท์กลาง</t>
  </si>
  <si>
    <t>พานพุ่มหลุดบ่อย หาวิธียึดให้ไม่หลุด</t>
  </si>
  <si>
    <t>ด้านหน้าประตูบริเวณที่ติดรูปราชินี</t>
  </si>
  <si>
    <t>พี่กอร์ฟ</t>
  </si>
  <si>
    <t>ฝ้ามีรอยนูนจากการโป๊ว ให้ขัดผิวให้เนียนเสมอฝ้า</t>
  </si>
  <si>
    <t>ฝ้าบริเวณทางเข้าห้องเลาจ์ชั้น15</t>
  </si>
  <si>
    <t>ประตูชั้น5 โช้คหลุด</t>
  </si>
  <si>
    <t>ห้องประชุทชั้น5</t>
  </si>
  <si>
    <t>น้ำไหลไม่หยุดห้องน้ำพิเศษ ชั้น10</t>
  </si>
  <si>
    <t>น้ำไหลน้อยห้องน้ำชาย ชั้น6</t>
  </si>
  <si>
    <t>ขอบคิ้วกระจกหลุดห้องน้พอการชั้น6</t>
  </si>
  <si>
    <t>ห้องพิการ</t>
  </si>
  <si>
    <t>น้ำไหลน้อยห้องน้ำชาย ชั้น8</t>
  </si>
  <si>
    <t>ไฟกระพริบ ห้องไฟแมนชั้น5</t>
  </si>
  <si>
    <t>ตัวที่2</t>
  </si>
  <si>
    <t>อิง</t>
  </si>
  <si>
    <t>ชั้น12 ประตูFire man แก้ล่าสุด 6/6/69</t>
  </si>
  <si>
    <t>ประตูห้องเซิร์ฟเวอร์ตก เมืองไทย2</t>
  </si>
  <si>
    <t>ก้านหลอดไฟหลุด ข้างเมืองไทย1</t>
  </si>
  <si>
    <t>ที่รองนั่งโถส้วมเคลื่อน</t>
  </si>
  <si>
    <t>ที่วางสายชำระหัก</t>
  </si>
  <si>
    <t>ห้องน้ำหญิงชั้น2</t>
  </si>
  <si>
    <t>ขอบคิ้วบันไดหลุด</t>
  </si>
  <si>
    <t>บันไดกลาง</t>
  </si>
  <si>
    <t>ขอบคิ้วเสาชั้นG  หลุด</t>
  </si>
  <si>
    <t>ขอบคิ้วใต้ลิฟท์ชั้นG หลุด</t>
  </si>
  <si>
    <t>หน้าลิฟท์ L3</t>
  </si>
  <si>
    <t>ขอบคิ้วลิฟท์ชั้น5 หลุด</t>
  </si>
  <si>
    <t>ขอบคิ้วเสาชั้นG หลุด</t>
  </si>
  <si>
    <t>เสาติดถังขยะหน้าร้านกาแฟ</t>
  </si>
  <si>
    <t>ขอบคิ้วชั้นG หลุด</t>
  </si>
  <si>
    <t>บริเวณหลังเก้าอี้จัดแสดง</t>
  </si>
  <si>
    <t>ก๊อกน้ำไม่ไหล</t>
  </si>
  <si>
    <t>ก๊อก UT-14-AF-1 ห้องน้ำคนพิการ</t>
  </si>
  <si>
    <t>ไฟไม่ติดทางเดินชั้น5</t>
  </si>
  <si>
    <t>P'nan</t>
  </si>
  <si>
    <t>ขยับรูปในหลวงชั้นG</t>
  </si>
  <si>
    <t>งานเบ็ดเตล็ด</t>
  </si>
  <si>
    <t>ด้านหลังโต๊ะรีเซป</t>
  </si>
  <si>
    <t>ขอบคิ้วหน้าห้องน้ำชาย ชั้นG</t>
  </si>
  <si>
    <t>หน้าห้องน้ำชาย</t>
  </si>
  <si>
    <t>ประตูกลางชั้น12 มีเสียง</t>
  </si>
  <si>
    <t>เดือน กรกฎาคม 2569</t>
  </si>
  <si>
    <t>สัปดาห์แจ้งซ่อม</t>
  </si>
  <si>
    <t>พี่ไอที</t>
  </si>
  <si>
    <t>ประตูห้องไอทีปิดไม่สนิท</t>
  </si>
  <si>
    <t>ห้องไอที</t>
  </si>
  <si>
    <r>
      <rPr>
        <b/>
        <sz val="18"/>
        <color theme="1"/>
        <rFont val="Calibri"/>
        <charset val="134"/>
        <scheme val="minor"/>
      </rPr>
      <t xml:space="preserve">สรุปอัตรางานแจ้งซ่อม กรกฏาคม 69 </t>
    </r>
    <r>
      <rPr>
        <b/>
        <sz val="18"/>
        <color rgb="FFFF0000"/>
        <rFont val="Calibri"/>
        <charset val="134"/>
        <scheme val="minor"/>
      </rPr>
      <t>1 Week</t>
    </r>
  </si>
  <si>
    <t>ฝ่าย/แผนก</t>
  </si>
  <si>
    <r>
      <rPr>
        <b/>
        <sz val="18"/>
        <color theme="1"/>
        <rFont val="Calibri"/>
        <charset val="134"/>
        <scheme val="minor"/>
      </rPr>
      <t xml:space="preserve">สรุปอัตรางานแจ้งซ่อม กรกฏาคม 69 </t>
    </r>
    <r>
      <rPr>
        <b/>
        <sz val="18"/>
        <color rgb="FFFF0000"/>
        <rFont val="Calibri"/>
        <charset val="134"/>
        <scheme val="minor"/>
      </rPr>
      <t>2 Week</t>
    </r>
  </si>
  <si>
    <r>
      <rPr>
        <b/>
        <sz val="18"/>
        <color theme="1"/>
        <rFont val="Calibri"/>
        <charset val="134"/>
        <scheme val="minor"/>
      </rPr>
      <t xml:space="preserve">สรุปอัตรางานแจ้งซ่อม กรกฏาคม 69 </t>
    </r>
    <r>
      <rPr>
        <b/>
        <sz val="18"/>
        <color rgb="FFFF0000"/>
        <rFont val="Calibri"/>
        <charset val="134"/>
        <scheme val="minor"/>
      </rPr>
      <t>3 Week</t>
    </r>
  </si>
  <si>
    <r>
      <rPr>
        <b/>
        <sz val="18"/>
        <color theme="1"/>
        <rFont val="Calibri"/>
        <charset val="134"/>
        <scheme val="minor"/>
      </rPr>
      <t xml:space="preserve">สรุปอัตรางานแจ้งซ่อม กรกฏาคม 69 </t>
    </r>
    <r>
      <rPr>
        <b/>
        <sz val="18"/>
        <color rgb="FFFF0000"/>
        <rFont val="Calibri"/>
        <charset val="134"/>
        <scheme val="minor"/>
      </rPr>
      <t>4 Week</t>
    </r>
  </si>
  <si>
    <t>เดือน เมษายน 69</t>
  </si>
  <si>
    <t>งานตามแผน</t>
  </si>
  <si>
    <t>งานแจ้งซ้อม</t>
  </si>
  <si>
    <t>รวมงานสำเร็จ</t>
  </si>
  <si>
    <t>เดือน พฤษภาคม 69</t>
  </si>
  <si>
    <t xml:space="preserve">Comment P'Fluke </t>
  </si>
  <si>
    <t xml:space="preserve">Comment </t>
  </si>
  <si>
    <t>Date: 22 April 2026</t>
  </si>
  <si>
    <t xml:space="preserve">1. Stock ของที่มีการนำไปใช้ </t>
  </si>
  <si>
    <t>1. ทำไมถึงแยกประเภทงานแบบนี้ ใช้เกณฑ์อะไร เช่น จากประสบการณ์ที่เคยตรวจเช็ค</t>
  </si>
  <si>
    <t>2. ค่าใช้จ่าย แบ่งเป็นแต่ละงาน, แต่ละระบบ, แต่ละสัปดาห์ และแต่ละเดือน</t>
  </si>
  <si>
    <t>2. ศึกษาเรื่องหลักการแบ่งความสำคัญ และเร่งด่วนของงาน (มีกราฟในเน็ต) เพื่อใช้ในการเลือกงาน</t>
  </si>
  <si>
    <t>3. เก็บข้อมูลส่วนงานที่ต้องซ่อมซ้ำบ่อยๆ</t>
  </si>
  <si>
    <t>3. ทำตารางที่สรุปตัวเลขจำนวนงานตามแผน และงานที่ทำไปแล้ว สำหรับวางแผนในการรับงาน assign ที่ไม่ใช่งานซ่อม</t>
  </si>
  <si>
    <t xml:space="preserve">4. มีระยะเวลาที่ใช้ของแต่ละงาน เพื่อใช้ประเมินเวลาในการรับงานอื่นๆ </t>
  </si>
  <si>
    <t>4. ในตารางใส่คอลัมที่บอกความเร่งด่วนของงานด้วย</t>
  </si>
  <si>
    <t>5. จำนวนคนที่ใช้ในการซ่อมแต่ละงาน</t>
  </si>
  <si>
    <t>5. กราฟแสดงความคืบหน้าของงาน--&gt; แสดงแผน และส่วนที่ทำเสร็จ สหรับนำเสนอ</t>
  </si>
  <si>
    <t>6. ความเสี่ยงแต่ละงาน  ความอันตราย และผลกระทบที่อาจจะเกิดขึ้น</t>
  </si>
  <si>
    <t>6. กราฟวงบอกงานทั้งหมดงานที่เหลืองานที่เสร็จ</t>
  </si>
  <si>
    <t>7. Remark แต่ละงานว่าทำไมใช้เวลาเร็ว-ช้า, และปริมาณงานที่ทำได้มาก-น้อย เพราะอะไร</t>
  </si>
  <si>
    <t>Date: 4 May 2026</t>
  </si>
  <si>
    <t>8. อัตราการแจ้งซ่อมของแต่ละงาน งานส่วนไหนซ่อมบ่อย ส่วนไหนไม่ค่อยได้ซ่อม</t>
  </si>
  <si>
    <t>1. ตารางแบ่งจำนวนงานตามประเภทให้เพิ่ม คำว่าชั้นหน้าตัวเลขชั้นเพื่อความชัดเจน</t>
  </si>
  <si>
    <t>2. จัดให้ผลรวมงานของแต่ละประเภท และแต่ละชั้นอยู่แถวล่างของชั้นนั้นๆ หรือประเภทนั้นๆ แทนอยู่ด้านบนแบบตอนนี้</t>
  </si>
  <si>
    <t>3. ทำเป็นกราฟออกมา</t>
  </si>
  <si>
    <t>4. ตารางเวลาในการทำงานยังไม่จำเป็น</t>
  </si>
  <si>
    <t>5. หาวิธีเอาตารางสรุปของปิ๊กและตารางข้อมูลแต่ละชั้นและประเภทเข้ามารวมกันเป็น 1 หน้ากระดาษ</t>
  </si>
  <si>
    <t>Date: 15 May 2026</t>
  </si>
  <si>
    <t>1. เพิ่มปฎิทินตารางงานรายเดือน คล้ายในเว็บ</t>
  </si>
  <si>
    <t>อัพเดท 15/6/69</t>
  </si>
  <si>
    <t>สรุปงานซ่อมเมษายนทั้งหมด</t>
  </si>
  <si>
    <t>รอดำเนินการทั้งหมด</t>
  </si>
  <si>
    <t>ไม่สำเร็จ</t>
  </si>
  <si>
    <t>แจ้งซ่อมทั้งหมด</t>
  </si>
  <si>
    <t>สรุปงานซ่อมรายสัปดาห์</t>
  </si>
  <si>
    <t>สรุปผลงานซ่อมแบ่งตามประเภทงานและชั้นในอาคาร</t>
  </si>
  <si>
    <t>นับจำนวน ของ สำเร็จ</t>
  </si>
  <si>
    <t xml:space="preserve">  งานซ่อม</t>
  </si>
  <si>
    <t>ประเภทงาน</t>
  </si>
  <si>
    <t>จำนวนงานที่สำเร็จ</t>
  </si>
  <si>
    <t>ผลรวมงานทั้งหมด</t>
  </si>
  <si>
    <t>ผลรวมทั้งหมด</t>
  </si>
  <si>
    <t>กานต์</t>
  </si>
  <si>
    <t>อาคาร</t>
  </si>
  <si>
    <t>บริหาร</t>
  </si>
  <si>
    <t>P'เจน</t>
  </si>
  <si>
    <t>อ๋อง</t>
  </si>
  <si>
    <t>P'แนน</t>
  </si>
  <si>
    <t>ป้อน</t>
  </si>
  <si>
    <t>น๊อต</t>
  </si>
  <si>
    <t>P'Big</t>
  </si>
  <si>
    <t>การคลัง</t>
  </si>
  <si>
    <t>P'กอร์ฟ</t>
  </si>
  <si>
    <t>ทรายถังน้ำมันFire pump</t>
  </si>
  <si>
    <t>P'ฟลุค</t>
  </si>
  <si>
    <t>ตรวจสอบตำแหน่งที่มีน้ำรั่ว</t>
  </si>
  <si>
    <t>ทุกชั้น</t>
  </si>
  <si>
    <t>หลอดแสดงสถานะตู้PAU-2-01 เสีย 2 หลอด</t>
  </si>
  <si>
    <t>ทางขึ้นลานจอดรถ</t>
  </si>
  <si>
    <t>ประตูระเบียงชั้น7 ปิดไม่ได้</t>
  </si>
  <si>
    <t>ทางออกไประเบียง</t>
  </si>
  <si>
    <t>น้ำหยดในห้อง server ของห้องประชุมสขสามัคคี</t>
  </si>
  <si>
    <t>ห้องด้านหลังเวที</t>
  </si>
  <si>
    <t>ฝาปิดตู้ FC-13 ในห้อง EE-14 หลุด</t>
  </si>
  <si>
    <t>ห้องEE-14</t>
  </si>
  <si>
    <t>P'จูน</t>
  </si>
  <si>
    <t>ยั่งยืน</t>
  </si>
  <si>
    <t>แผ่นกั้นโต๊ะทำงานหลุด</t>
  </si>
  <si>
    <t>ตารางแสดงตำแหน่งน้ำรั่วซึมภายในอาคาร</t>
  </si>
  <si>
    <t>รูปภาพ</t>
  </si>
  <si>
    <t>หลังม่านขวาสุดด้านหลังรูปในห้องเลาจ์</t>
  </si>
  <si>
    <t>มีรอยน้ำบริเวณใต้ม่าน และคานด้านบน</t>
  </si>
  <si>
    <t>ในห้องรองสุรัตน์ แถวม่านขวามือของโต๊ะทำงาน</t>
  </si>
  <si>
    <t>มีน้ำหยดลงมาตามผนังฝ้า</t>
  </si>
  <si>
    <t>ในห้องควบคุมของห้องประชุมสุขสามัคคี</t>
  </si>
  <si>
    <t>มีน้ำหยดลงมาจากฝ้าตอนฝนตก</t>
  </si>
  <si>
    <t>รายการตรวจเช็ค ม่าน</t>
  </si>
  <si>
    <t>ปกติ</t>
  </si>
  <si>
    <t>เสีย</t>
  </si>
  <si>
    <t>AB</t>
  </si>
  <si>
    <t>สลิงหย่อน/ผ้ากินขอบ</t>
  </si>
  <si>
    <t>สลิงหย่อน</t>
  </si>
  <si>
    <t>N</t>
  </si>
  <si>
    <t>ตรงกลาง</t>
  </si>
  <si>
    <t>ห้องถ่ายเอกสาร</t>
  </si>
  <si>
    <t>กินขอบ</t>
  </si>
  <si>
    <t>ด้านหน้าห้องคุณบัญญัติ</t>
  </si>
  <si>
    <t>ฝั่งวัด+ห้องครัว</t>
  </si>
  <si>
    <t>ห้องประชุมสุขสามัคคี</t>
  </si>
  <si>
    <t>ห้อง IT</t>
  </si>
  <si>
    <t>ห้องประชุมชั้น2</t>
  </si>
  <si>
    <t>วันที่ทำการ ตรวจสอบ</t>
  </si>
  <si>
    <t>ผู้ตรวจ</t>
  </si>
  <si>
    <t>สรุป</t>
  </si>
  <si>
    <t>Stock เบิก</t>
  </si>
  <si>
    <t>ชื่ออุปกรณ์</t>
  </si>
  <si>
    <t>จำนวน</t>
  </si>
  <si>
    <t>หน่วย</t>
  </si>
  <si>
    <t>ชื่อผู้รับ</t>
  </si>
  <si>
    <t>หลอดเสียบ 2 ขา Warm white</t>
  </si>
  <si>
    <t>ดวง</t>
  </si>
  <si>
    <t>รายการเบิก</t>
  </si>
  <si>
    <t>รายการรับ</t>
  </si>
  <si>
    <t>Stock</t>
  </si>
  <si>
    <t>หลอด รุ่น EVE LED A60 warmwhite 3000K</t>
  </si>
  <si>
    <t>ชุดสายฉีดชำระ</t>
  </si>
  <si>
    <t>หลอด LED แสงสีขาว 6500K</t>
  </si>
  <si>
    <t>หลอดไฟ LED NEOX เปลวไฟ</t>
  </si>
  <si>
    <t>โคมไฟดาวน์ไลท์ฝังฟ้า SW-661</t>
  </si>
  <si>
    <t>FAUCET ก็อกน้ำ</t>
  </si>
  <si>
    <t>OPPLE หลอดไฟยาว 4000K Cool White</t>
  </si>
  <si>
    <t>LED สำหรับโคมไฟเพดาน 36W 6500K</t>
  </si>
  <si>
    <t>COB LINEAR FLEX,L&amp;E</t>
  </si>
  <si>
    <t>OPPLE  4000K 15W หลอดโคม</t>
  </si>
  <si>
    <t>หลอดเสียบ 2 ขา  Cool white</t>
  </si>
  <si>
    <t>LED 6500K Daylight</t>
  </si>
  <si>
    <t>หัวต่อก็อก</t>
  </si>
  <si>
    <t>โถส้วมห้องที่3น้ำออก 2 ช่อง ห้องน้ำหญิง</t>
  </si>
  <si>
    <t>ตรวจเช็คไฟส่องสว่าง</t>
  </si>
  <si>
    <t>PM-MT</t>
  </si>
  <si>
    <t>ตรวจเช็คก็อกน้ำ</t>
  </si>
  <si>
    <t>เอส</t>
  </si>
  <si>
    <t>ประตูSt2 เสียงดังเวลาปิด ชั้น5</t>
  </si>
  <si>
    <t>แซ็ก</t>
  </si>
  <si>
    <t>ตู้ Control cooling 02 น็อตหลุด</t>
  </si>
  <si>
    <t xml:space="preserve">ไฟไม่ติดห้องน้ำชายชั้น5 </t>
  </si>
  <si>
    <t>ไฟเส้นไม่ติดห้องน้ำชายชั้น 6</t>
  </si>
  <si>
    <t>ไฟไม่ติดลานจอดรถ</t>
  </si>
  <si>
    <t>พี่ฟลุ๊ค</t>
  </si>
  <si>
    <t>Landscape ไม่มีที่ปิด</t>
  </si>
  <si>
    <t>โถปัสสาวะชายน้ำไหลไม่หยุด</t>
  </si>
  <si>
    <t>ขอบคิ้วหลุดห้องน้ำหญิงชั้น10</t>
  </si>
  <si>
    <t>ก็อกน้ำไม่ไหลห้องน้ำชาย นอก</t>
  </si>
  <si>
    <t>โถปัสสาวะชายชั้น 7 ตัวที่3 ท่อรั่ว</t>
  </si>
  <si>
    <t>พี่น็อต</t>
  </si>
  <si>
    <t>น้ำแอร์พากเพียรหยด</t>
  </si>
  <si>
    <t>บันไดกลางชั้น8ขอบคิ้วบันไดหลุด</t>
  </si>
  <si>
    <t>เจน</t>
  </si>
  <si>
    <t>ท่อน้ำห้องขยะตัน</t>
  </si>
  <si>
    <t>Supattra</t>
  </si>
  <si>
    <t>ก็อกน้ำปิดไม่ได้ห้องน้ำ รปภ ชั้น G</t>
  </si>
  <si>
    <t>ตารางติดตามความคืบหน้างานซ่อมรายเดือน</t>
  </si>
  <si>
    <t>อัปเดตปริมาณงานรอบเดือน</t>
  </si>
  <si>
    <t xml:space="preserve"> </t>
  </si>
  <si>
    <t xml:space="preserve"> ปริมาณงานสะสม =</t>
  </si>
  <si>
    <t>แจ้งซ่อม</t>
  </si>
  <si>
    <t>แก้ไขสลิงต้นไม้งอ</t>
  </si>
  <si>
    <t>พนักงาน</t>
  </si>
  <si>
    <t>แขนเก้าอี้โยก เนื่องจากสกรูยึดหลุด</t>
  </si>
  <si>
    <t>โต๊ะติดหน้าต่างมุมซ้ายบนสุดฝั่งโลตัส</t>
  </si>
  <si>
    <t>ต้นโอ๊ค</t>
  </si>
  <si>
    <t>อุปกรณ์เกจหัก ที่ห้อง Fire pump</t>
  </si>
  <si>
    <t>สายไฟไม่เรียบร้อย ร้านกาแฟ</t>
  </si>
  <si>
    <t>น้ำหยดที่โต๊ะทำงานรองสุรัตน์</t>
  </si>
  <si>
    <t>ค่าใช้จ่าย</t>
  </si>
  <si>
    <t>พี่ณี</t>
  </si>
  <si>
    <t>กลอนประตูโยก ST ชั้น3</t>
  </si>
  <si>
    <t>ก็อกน้ำไม่ไหล ห้องน้ำชาย ชั้น 6 นอก M-6-AF-1</t>
  </si>
  <si>
    <t>ก็อกน้ำไหลไม่หยุดห้องน้ำ รปภ  ชั้นG</t>
  </si>
  <si>
    <t>ไม้กั้นตรงป้อม รปภ เปิด-ปิดเอง</t>
  </si>
  <si>
    <t>น้าเบิร์ด</t>
  </si>
  <si>
    <t>รปภ</t>
  </si>
  <si>
    <t>ป้อม รปภ</t>
  </si>
  <si>
    <t>แป้นกดลิฟปิดไม่สนิท</t>
  </si>
  <si>
    <t>ลิฟท์กลางด้าน L2-3</t>
  </si>
  <si>
    <t>ที่กั้นระหว่างโต๊ะหลุด</t>
  </si>
  <si>
    <t>ฝ่ายตรวจสอบ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</si>
</sst>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;;;"/>
    <numFmt numFmtId="165" formatCode="[$-101041E]d\ mmm\ yy;@"/>
    <numFmt numFmtId="166" formatCode="[$-409]d\-mmm\-yyyy;@"/>
    <numFmt numFmtId="167" formatCode="[$-107041E]d\ mmm\ yy;@"/>
    <numFmt numFmtId="168" formatCode="[$-107041E]d\ mmmm\ yyyy;@"/>
  </numFmts>
  <fonts count="97">
    <font>
      <sz val="11"/>
      <color theme="1"/>
      <name val="Calibri"/>
      <charset val="222"/>
      <scheme val="minor"/>
    </font>
    <font>
      <sz val="11"/>
      <color theme="1"/>
      <name val="Calibri"/>
      <family val="2"/>
      <charset val="222"/>
      <scheme val="minor"/>
    </font>
    <font>
      <b/>
      <sz val="11"/>
      <color theme="1"/>
      <name val="Muangthaicap Modern Medium"/>
      <charset val="134"/>
    </font>
    <font>
      <sz val="11"/>
      <color theme="1"/>
      <name val="Muangthaicap Modern Medium"/>
      <charset val="134"/>
    </font>
    <font>
      <b/>
      <sz val="11"/>
      <name val="Muangthaicap Modern Medium"/>
      <charset val="134"/>
    </font>
    <font>
      <b/>
      <sz val="11"/>
      <color rgb="FF00B050"/>
      <name val="Muangthaicap Modern Medium"/>
      <charset val="134"/>
    </font>
    <font>
      <b/>
      <sz val="11"/>
      <color rgb="FFFF0000"/>
      <name val="Muangthaicap Modern Medium"/>
      <charset val="134"/>
    </font>
    <font>
      <sz val="11"/>
      <color theme="1"/>
      <name val="Muangthaicap Modern Medium"/>
      <charset val="222"/>
    </font>
    <font>
      <sz val="14"/>
      <color theme="1"/>
      <name val="PSL Text Pro (เท็กซ์)"/>
      <charset val="134"/>
    </font>
    <font>
      <sz val="14"/>
      <name val="PSL Text Pro (เท็กซ์)"/>
      <charset val="134"/>
    </font>
    <font>
      <b/>
      <sz val="11"/>
      <color theme="0"/>
      <name val="Calibri"/>
      <charset val="134"/>
      <scheme val="minor"/>
    </font>
    <font>
      <sz val="11"/>
      <name val="Calibri"/>
      <charset val="222"/>
      <scheme val="minor"/>
    </font>
    <font>
      <sz val="14.7"/>
      <color theme="1"/>
      <name val="Leelawadee UI"/>
      <charset val="134"/>
    </font>
    <font>
      <b/>
      <sz val="18"/>
      <color theme="1"/>
      <name val="Muangthaicap Modern Medium"/>
      <charset val="134"/>
    </font>
    <font>
      <b/>
      <sz val="12"/>
      <color theme="1"/>
      <name val="Muangthaicap Modern Medium"/>
      <charset val="134"/>
    </font>
    <font>
      <b/>
      <sz val="24"/>
      <color rgb="FFFF0000"/>
      <name val="Muangthaicap Modern Medium"/>
      <charset val="134"/>
    </font>
    <font>
      <b/>
      <sz val="26"/>
      <color theme="9"/>
      <name val="Muangthaicap Modern Medium"/>
      <charset val="134"/>
    </font>
    <font>
      <b/>
      <sz val="11"/>
      <color theme="1"/>
      <name val="Calibri"/>
      <charset val="134"/>
      <scheme val="minor"/>
    </font>
    <font>
      <b/>
      <sz val="26"/>
      <color theme="4"/>
      <name val="Muangthaicap Modern Medium"/>
      <charset val="134"/>
    </font>
    <font>
      <b/>
      <sz val="18"/>
      <color theme="1"/>
      <name val="Muangthaicap Modern Medium"/>
      <charset val="134"/>
    </font>
    <font>
      <b/>
      <u val="double"/>
      <sz val="11"/>
      <color rgb="FF00B050"/>
      <name val="Muangthaicap Modern Medium"/>
      <charset val="134"/>
    </font>
    <font>
      <sz val="18"/>
      <color theme="1"/>
      <name val="Muangthaicap Modern Medium"/>
      <charset val="134"/>
    </font>
    <font>
      <b/>
      <sz val="18"/>
      <color theme="4"/>
      <name val="Muangthaicap Modern Medium"/>
      <charset val="134"/>
    </font>
    <font>
      <b/>
      <u val="double"/>
      <sz val="18"/>
      <color rgb="FF00B050"/>
      <name val="Muangthaicap Modern Medium"/>
      <charset val="134"/>
    </font>
    <font>
      <b/>
      <sz val="18"/>
      <color theme="1"/>
      <name val="Muangthaicap Modern Medium"/>
      <charset val="222"/>
    </font>
    <font>
      <b/>
      <sz val="18"/>
      <color theme="1"/>
      <name val="Calibri"/>
      <charset val="222"/>
      <scheme val="minor"/>
    </font>
    <font>
      <sz val="18"/>
      <color theme="1"/>
      <name val="Muangthaicap Modern Medium"/>
      <charset val="222"/>
    </font>
    <font>
      <sz val="24"/>
      <color rgb="FFFF0000"/>
      <name val="Muangthaicap Modern Medium"/>
      <charset val="222"/>
    </font>
    <font>
      <sz val="26"/>
      <color theme="9"/>
      <name val="Muangthaicap Modern Medium"/>
      <charset val="222"/>
    </font>
    <font>
      <sz val="12"/>
      <color theme="1"/>
      <name val="Muangthaicap Modern Medium"/>
      <charset val="134"/>
    </font>
    <font>
      <sz val="11"/>
      <color theme="0"/>
      <name val="Calibri"/>
      <charset val="222"/>
      <scheme val="minor"/>
    </font>
    <font>
      <sz val="11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8"/>
      <color theme="1"/>
      <name val="Muangthaicap Modern Medium"/>
      <charset val="134"/>
    </font>
    <font>
      <sz val="8"/>
      <color theme="1"/>
      <name val="Calibri"/>
      <charset val="222"/>
      <scheme val="minor"/>
    </font>
    <font>
      <sz val="8"/>
      <color rgb="FF000000"/>
      <name val="Arial"/>
      <charset val="134"/>
    </font>
    <font>
      <sz val="11"/>
      <color rgb="FFFF0000"/>
      <name val="Muangthaicap Modern Medium"/>
      <charset val="134"/>
    </font>
    <font>
      <sz val="10"/>
      <color theme="1"/>
      <name val="Muangthaicap Modern Medium"/>
      <charset val="134"/>
    </font>
    <font>
      <b/>
      <sz val="12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222"/>
      <scheme val="minor"/>
    </font>
    <font>
      <b/>
      <sz val="1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1"/>
      <name val="Calibri"/>
      <charset val="134"/>
      <scheme val="minor"/>
    </font>
    <font>
      <b/>
      <sz val="22"/>
      <color theme="1"/>
      <name val="Muangthaicap Modern Medium"/>
      <charset val="222"/>
    </font>
    <font>
      <b/>
      <sz val="16"/>
      <color theme="1"/>
      <name val="Muang"/>
      <charset val="222"/>
    </font>
    <font>
      <b/>
      <sz val="16"/>
      <color rgb="FFFF0000"/>
      <name val="Muangthaicap Modern Medium"/>
      <charset val="222"/>
    </font>
    <font>
      <b/>
      <sz val="16"/>
      <color theme="1"/>
      <name val="Muangthaicap Modern Medium"/>
      <charset val="222"/>
    </font>
    <font>
      <b/>
      <sz val="18"/>
      <color theme="0"/>
      <name val="Calibri"/>
      <charset val="134"/>
      <scheme val="minor"/>
    </font>
    <font>
      <b/>
      <sz val="18"/>
      <color theme="9" tint="-0.249977111117893"/>
      <name val="Calibri"/>
      <charset val="134"/>
      <scheme val="minor"/>
    </font>
    <font>
      <b/>
      <sz val="18"/>
      <color theme="7"/>
      <name val="Calibri"/>
      <charset val="134"/>
      <scheme val="minor"/>
    </font>
    <font>
      <b/>
      <sz val="18"/>
      <color rgb="FFFF0000"/>
      <name val="Calibri"/>
      <charset val="134"/>
      <scheme val="minor"/>
    </font>
    <font>
      <sz val="11"/>
      <color theme="0"/>
      <name val="Muangthaicap Modern Medium"/>
      <charset val="134"/>
    </font>
    <font>
      <sz val="11"/>
      <name val="Courier New"/>
      <charset val="134"/>
    </font>
    <font>
      <sz val="12"/>
      <color rgb="FF111827"/>
      <name val="Muangthaicap Modern Medium"/>
      <charset val="134"/>
    </font>
    <font>
      <sz val="11"/>
      <color rgb="FF111827"/>
      <name val="Muangthaicap Modern Medium"/>
      <charset val="134"/>
    </font>
    <font>
      <b/>
      <sz val="11"/>
      <color theme="1" tint="0.14996795556505021"/>
      <name val="Muangthaicap Modern Medium"/>
      <charset val="134"/>
    </font>
    <font>
      <b/>
      <sz val="11"/>
      <color theme="2" tint="-0.89996032593768116"/>
      <name val="Calibri"/>
      <charset val="222"/>
      <scheme val="minor"/>
    </font>
    <font>
      <b/>
      <sz val="11"/>
      <color theme="2" tint="-0.89996032593768116"/>
      <name val="Muang"/>
      <charset val="222"/>
    </font>
    <font>
      <sz val="18"/>
      <color theme="1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b/>
      <sz val="14"/>
      <color theme="0"/>
      <name val="Calibri"/>
      <charset val="134"/>
      <scheme val="minor"/>
    </font>
    <font>
      <sz val="14"/>
      <color theme="1"/>
      <name val="Calibri"/>
      <charset val="222"/>
      <scheme val="minor"/>
    </font>
    <font>
      <b/>
      <sz val="20"/>
      <color theme="1"/>
      <name val="Calibri"/>
      <charset val="134"/>
      <scheme val="minor"/>
    </font>
    <font>
      <b/>
      <sz val="22"/>
      <color theme="1"/>
      <name val="Calibri"/>
      <charset val="134"/>
      <scheme val="minor"/>
    </font>
    <font>
      <b/>
      <sz val="18"/>
      <color theme="1"/>
      <name val="Muangthaicap Modern Medium"/>
      <charset val="222"/>
    </font>
    <font>
      <b/>
      <sz val="12"/>
      <color theme="1"/>
      <name val="Muangthaicap Modern Medium"/>
      <charset val="222"/>
    </font>
    <font>
      <b/>
      <sz val="11"/>
      <name val="Muangthaicap Modern Medium"/>
      <charset val="222"/>
    </font>
    <font>
      <b/>
      <u val="double"/>
      <sz val="11"/>
      <color theme="9" tint="-0.249977111117893"/>
      <name val="Muangthaicap Modern Medium"/>
      <charset val="222"/>
    </font>
    <font>
      <sz val="12"/>
      <color theme="1"/>
      <name val="Muangthaicap Modern Medium"/>
      <charset val="222"/>
    </font>
    <font>
      <sz val="12"/>
      <color theme="4" tint="-0.499984740745262"/>
      <name val="Muangthaicap Modern Medium"/>
      <charset val="222"/>
    </font>
    <font>
      <u val="double"/>
      <sz val="12"/>
      <color theme="9" tint="-0.249977111117893"/>
      <name val="Muangthaicap Modern Medium"/>
      <charset val="222"/>
    </font>
    <font>
      <b/>
      <sz val="12"/>
      <name val="Muangthaicap Modern Medium"/>
      <charset val="222"/>
    </font>
    <font>
      <sz val="18"/>
      <color theme="1"/>
      <name val="Muangthaicap Modern Medium"/>
      <charset val="222"/>
    </font>
    <font>
      <b/>
      <sz val="11"/>
      <color rgb="FFFF0000"/>
      <name val="Muangthaicap Modern Medium"/>
      <charset val="222"/>
    </font>
    <font>
      <b/>
      <sz val="11"/>
      <color rgb="FF00B050"/>
      <name val="Muangthaicap Modern Medium"/>
      <charset val="222"/>
    </font>
    <font>
      <b/>
      <sz val="12"/>
      <color rgb="FFFF0000"/>
      <name val="Muangthaicap Modern Medium"/>
      <charset val="222"/>
    </font>
    <font>
      <b/>
      <sz val="11"/>
      <color theme="1"/>
      <name val="Muangthaicap Modern Medium"/>
      <charset val="222"/>
    </font>
    <font>
      <b/>
      <sz val="11"/>
      <color theme="1"/>
      <name val="Muangthaicap Modern Medium"/>
      <charset val="222"/>
    </font>
    <font>
      <sz val="11"/>
      <color rgb="FFFF0000"/>
      <name val="Calibri"/>
      <charset val="222"/>
      <scheme val="minor"/>
    </font>
    <font>
      <b/>
      <sz val="11"/>
      <color rgb="FFFF0000"/>
      <name val="Calibri"/>
      <charset val="134"/>
      <scheme val="minor"/>
    </font>
    <font>
      <b/>
      <sz val="9"/>
      <name val="Tahoma"/>
      <charset val="134"/>
    </font>
    <font>
      <sz val="9"/>
      <name val="Tahoma"/>
      <charset val="134"/>
    </font>
    <font>
      <sz val="11"/>
      <color theme="1"/>
      <name val="Calibri"/>
      <charset val="222"/>
      <scheme val="minor"/>
    </font>
    <font>
      <b/>
      <sz val="9"/>
      <name val="Tahoma"/>
      <family val="2"/>
    </font>
    <font>
      <sz val="9"/>
      <name val="Tahoma"/>
      <family val="2"/>
    </font>
    <font>
      <sz val="11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6"/>
      <color theme="1"/>
      <name val="Calibri"/>
      <family val="2"/>
      <scheme val="minor"/>
    </font>
    <font>
      <sz val="11"/>
      <color theme="1"/>
      <name val="Muangthaicap Modern Medium"/>
    </font>
    <font>
      <sz val="11"/>
      <color rgb="FFFF0000"/>
      <name val="Muangthaicap Modern Medium"/>
    </font>
    <font>
      <sz val="12"/>
      <color theme="1"/>
      <name val="Muangthaicap Modern Medium"/>
      <family val="3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Muangthaicap Modern Medium"/>
      <family val="3"/>
    </font>
  </fonts>
  <fills count="4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C73D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gradientFill degree="90">
        <stop position="0">
          <color theme="0"/>
        </stop>
        <stop position="0.5">
          <color rgb="FF00B0F0"/>
        </stop>
        <stop position="1">
          <color theme="0"/>
        </stop>
      </gradientFill>
    </fill>
    <fill>
      <patternFill patternType="solid">
        <fgColor rgb="FFB9ED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AE8AA"/>
        <bgColor indexed="64"/>
      </patternFill>
    </fill>
    <fill>
      <patternFill patternType="solid">
        <fgColor rgb="FFFFFF4F"/>
        <bgColor indexed="64"/>
      </patternFill>
    </fill>
    <fill>
      <patternFill patternType="solid">
        <fgColor rgb="FFFFFF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14999847407452621"/>
        <bgColor theme="4" tint="0.79995117038483843"/>
      </patternFill>
    </fill>
    <fill>
      <patternFill patternType="solid">
        <fgColor indexed="65"/>
        <bgColor indexed="64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/>
      </left>
      <right/>
      <top/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theme="0" tint="-0.249977111117893"/>
      </left>
      <right/>
      <top/>
      <bottom/>
      <diagonal/>
    </border>
    <border>
      <left style="medium">
        <color theme="0" tint="-0.249977111117893"/>
      </left>
      <right style="medium">
        <color theme="0" tint="-0.249977111117893"/>
      </right>
      <top/>
      <bottom/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/>
      <right/>
      <top style="thin">
        <color indexed="65"/>
      </top>
      <bottom/>
      <diagonal/>
    </border>
    <border>
      <left style="thin">
        <color indexed="65"/>
      </left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thin">
        <color theme="4" tint="-0.24994659260841701"/>
      </right>
      <top/>
      <bottom/>
      <diagonal/>
    </border>
  </borders>
  <cellStyleXfs count="3">
    <xf numFmtId="0" fontId="0" fillId="0" borderId="0"/>
    <xf numFmtId="9" fontId="84" fillId="0" borderId="0" applyFont="0" applyFill="0" applyBorder="0" applyAlignment="0" applyProtection="0"/>
    <xf numFmtId="0" fontId="31" fillId="0" borderId="0"/>
  </cellStyleXfs>
  <cellXfs count="600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/>
    <xf numFmtId="0" fontId="8" fillId="0" borderId="1" xfId="0" applyFont="1" applyBorder="1" applyAlignment="1">
      <alignment horizontal="center"/>
    </xf>
    <xf numFmtId="14" fontId="8" fillId="0" borderId="1" xfId="0" applyNumberFormat="1" applyFont="1" applyBorder="1" applyAlignment="1">
      <alignment horizontal="center" vertical="center"/>
    </xf>
    <xf numFmtId="0" fontId="8" fillId="0" borderId="1" xfId="0" applyFont="1" applyBorder="1"/>
    <xf numFmtId="0" fontId="0" fillId="7" borderId="0" xfId="0" applyFill="1"/>
    <xf numFmtId="0" fontId="0" fillId="0" borderId="0" xfId="0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11" fillId="3" borderId="17" xfId="0" applyFont="1" applyFill="1" applyBorder="1"/>
    <xf numFmtId="0" fontId="11" fillId="3" borderId="18" xfId="0" applyFont="1" applyFill="1" applyBorder="1" applyAlignment="1">
      <alignment horizontal="left"/>
    </xf>
    <xf numFmtId="0" fontId="11" fillId="3" borderId="18" xfId="0" applyFont="1" applyFill="1" applyBorder="1" applyAlignment="1">
      <alignment horizontal="center" vertical="center"/>
    </xf>
    <xf numFmtId="0" fontId="11" fillId="3" borderId="18" xfId="0" applyFont="1" applyFill="1" applyBorder="1" applyAlignment="1">
      <alignment horizontal="center"/>
    </xf>
    <xf numFmtId="0" fontId="11" fillId="3" borderId="19" xfId="0" applyFont="1" applyFill="1" applyBorder="1" applyAlignment="1">
      <alignment horizontal="center"/>
    </xf>
    <xf numFmtId="0" fontId="0" fillId="0" borderId="1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14" fontId="0" fillId="0" borderId="20" xfId="0" applyNumberFormat="1" applyBorder="1" applyAlignment="1">
      <alignment vertical="center"/>
    </xf>
    <xf numFmtId="14" fontId="0" fillId="0" borderId="14" xfId="0" applyNumberFormat="1" applyBorder="1" applyAlignment="1">
      <alignment vertic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16" xfId="0" applyBorder="1"/>
    <xf numFmtId="0" fontId="0" fillId="0" borderId="20" xfId="0" applyBorder="1"/>
    <xf numFmtId="14" fontId="0" fillId="0" borderId="20" xfId="0" applyNumberFormat="1" applyBorder="1"/>
    <xf numFmtId="0" fontId="0" fillId="0" borderId="20" xfId="0" applyBorder="1" applyAlignment="1">
      <alignment horizontal="center"/>
    </xf>
    <xf numFmtId="14" fontId="0" fillId="0" borderId="14" xfId="0" applyNumberFormat="1" applyBorder="1"/>
    <xf numFmtId="0" fontId="0" fillId="0" borderId="21" xfId="0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14" fontId="0" fillId="0" borderId="22" xfId="0" applyNumberFormat="1" applyBorder="1"/>
    <xf numFmtId="0" fontId="0" fillId="0" borderId="22" xfId="0" applyBorder="1" applyAlignment="1">
      <alignment horizontal="center"/>
    </xf>
    <xf numFmtId="14" fontId="0" fillId="0" borderId="23" xfId="0" applyNumberFormat="1" applyBorder="1"/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2" xfId="0" applyBorder="1" applyAlignment="1">
      <alignment horizontal="left" vertical="center"/>
    </xf>
    <xf numFmtId="14" fontId="0" fillId="0" borderId="22" xfId="0" applyNumberFormat="1" applyBorder="1" applyAlignment="1">
      <alignment vertical="center"/>
    </xf>
    <xf numFmtId="14" fontId="0" fillId="0" borderId="23" xfId="0" applyNumberFormat="1" applyBorder="1" applyAlignment="1">
      <alignment vertical="center"/>
    </xf>
    <xf numFmtId="0" fontId="12" fillId="0" borderId="0" xfId="0" applyFont="1" applyAlignment="1">
      <alignment vertical="center"/>
    </xf>
    <xf numFmtId="0" fontId="14" fillId="10" borderId="25" xfId="0" applyFont="1" applyFill="1" applyBorder="1" applyAlignment="1">
      <alignment horizontal="center" vertical="center"/>
    </xf>
    <xf numFmtId="0" fontId="14" fillId="11" borderId="26" xfId="0" applyFont="1" applyFill="1" applyBorder="1" applyAlignment="1">
      <alignment horizontal="center" vertical="center"/>
    </xf>
    <xf numFmtId="0" fontId="4" fillId="12" borderId="25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14" fillId="5" borderId="25" xfId="0" applyFont="1" applyFill="1" applyBorder="1" applyAlignment="1">
      <alignment horizontal="center" vertical="center"/>
    </xf>
    <xf numFmtId="0" fontId="14" fillId="13" borderId="25" xfId="0" applyFont="1" applyFill="1" applyBorder="1" applyAlignment="1">
      <alignment horizontal="center" vertical="center"/>
    </xf>
    <xf numFmtId="0" fontId="14" fillId="11" borderId="25" xfId="0" applyFont="1" applyFill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13" fillId="11" borderId="25" xfId="0" applyFont="1" applyFill="1" applyBorder="1" applyAlignment="1">
      <alignment horizontal="center" vertical="center"/>
    </xf>
    <xf numFmtId="0" fontId="13" fillId="11" borderId="26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14" fillId="15" borderId="25" xfId="0" applyFont="1" applyFill="1" applyBorder="1" applyAlignment="1">
      <alignment horizontal="center" vertical="center"/>
    </xf>
    <xf numFmtId="0" fontId="14" fillId="17" borderId="26" xfId="0" applyFont="1" applyFill="1" applyBorder="1" applyAlignment="1">
      <alignment horizontal="center" vertical="center"/>
    </xf>
    <xf numFmtId="0" fontId="2" fillId="16" borderId="25" xfId="0" applyFont="1" applyFill="1" applyBorder="1" applyAlignment="1">
      <alignment horizontal="center" vertical="center"/>
    </xf>
    <xf numFmtId="0" fontId="14" fillId="16" borderId="25" xfId="0" applyFont="1" applyFill="1" applyBorder="1" applyAlignment="1">
      <alignment horizontal="center" vertical="center"/>
    </xf>
    <xf numFmtId="0" fontId="14" fillId="17" borderId="25" xfId="0" applyFont="1" applyFill="1" applyBorder="1" applyAlignment="1">
      <alignment horizontal="center" vertical="center"/>
    </xf>
    <xf numFmtId="0" fontId="13" fillId="16" borderId="25" xfId="0" applyFont="1" applyFill="1" applyBorder="1" applyAlignment="1">
      <alignment horizontal="center" vertical="center"/>
    </xf>
    <xf numFmtId="0" fontId="13" fillId="17" borderId="25" xfId="0" applyFont="1" applyFill="1" applyBorder="1" applyAlignment="1">
      <alignment horizontal="center" vertical="center"/>
    </xf>
    <xf numFmtId="0" fontId="13" fillId="17" borderId="26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7" borderId="1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13" fillId="20" borderId="1" xfId="0" applyFont="1" applyFill="1" applyBorder="1" applyAlignment="1">
      <alignment horizontal="center" vertical="center"/>
    </xf>
    <xf numFmtId="0" fontId="13" fillId="21" borderId="1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19" fillId="22" borderId="1" xfId="0" applyFont="1" applyFill="1" applyBorder="1" applyAlignment="1">
      <alignment horizontal="center" vertical="center"/>
    </xf>
    <xf numFmtId="0" fontId="13" fillId="23" borderId="1" xfId="0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center" vertical="center"/>
    </xf>
    <xf numFmtId="0" fontId="24" fillId="23" borderId="6" xfId="0" applyFont="1" applyFill="1" applyBorder="1" applyAlignment="1">
      <alignment horizontal="center" vertical="center"/>
    </xf>
    <xf numFmtId="0" fontId="25" fillId="23" borderId="1" xfId="0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2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0" xfId="0" applyFont="1" applyAlignment="1">
      <alignment vertical="center"/>
    </xf>
    <xf numFmtId="0" fontId="0" fillId="24" borderId="0" xfId="0" applyFill="1"/>
    <xf numFmtId="0" fontId="0" fillId="25" borderId="0" xfId="0" applyFill="1" applyAlignment="1">
      <alignment vertical="center"/>
    </xf>
    <xf numFmtId="0" fontId="30" fillId="26" borderId="30" xfId="0" applyFont="1" applyFill="1" applyBorder="1" applyAlignment="1">
      <alignment vertical="center"/>
    </xf>
    <xf numFmtId="0" fontId="0" fillId="14" borderId="0" xfId="0" applyFill="1"/>
    <xf numFmtId="0" fontId="31" fillId="15" borderId="0" xfId="0" applyFont="1" applyFill="1" applyAlignment="1">
      <alignment vertical="center"/>
    </xf>
    <xf numFmtId="0" fontId="0" fillId="15" borderId="0" xfId="0" applyFill="1"/>
    <xf numFmtId="0" fontId="0" fillId="27" borderId="0" xfId="0" applyFill="1"/>
    <xf numFmtId="0" fontId="0" fillId="12" borderId="0" xfId="0" applyFill="1"/>
    <xf numFmtId="0" fontId="0" fillId="0" borderId="31" xfId="0" applyBorder="1"/>
    <xf numFmtId="0" fontId="0" fillId="17" borderId="0" xfId="0" applyFill="1"/>
    <xf numFmtId="0" fontId="3" fillId="28" borderId="25" xfId="0" applyFont="1" applyFill="1" applyBorder="1" applyAlignment="1">
      <alignment horizontal="center"/>
    </xf>
    <xf numFmtId="0" fontId="3" fillId="0" borderId="25" xfId="0" applyFont="1" applyBorder="1" applyAlignment="1">
      <alignment horizontal="right"/>
    </xf>
    <xf numFmtId="0" fontId="3" fillId="0" borderId="25" xfId="0" applyFont="1" applyBorder="1" applyAlignment="1">
      <alignment horizontal="center"/>
    </xf>
    <xf numFmtId="0" fontId="3" fillId="29" borderId="25" xfId="0" applyFont="1" applyFill="1" applyBorder="1" applyAlignment="1">
      <alignment horizontal="right"/>
    </xf>
    <xf numFmtId="0" fontId="3" fillId="29" borderId="25" xfId="0" applyFont="1" applyFill="1" applyBorder="1" applyAlignment="1">
      <alignment horizontal="center"/>
    </xf>
    <xf numFmtId="0" fontId="3" fillId="23" borderId="25" xfId="0" applyFont="1" applyFill="1" applyBorder="1" applyAlignment="1">
      <alignment horizontal="right"/>
    </xf>
    <xf numFmtId="0" fontId="3" fillId="23" borderId="25" xfId="0" applyFont="1" applyFill="1" applyBorder="1" applyAlignment="1">
      <alignment horizontal="center"/>
    </xf>
    <xf numFmtId="0" fontId="3" fillId="4" borderId="25" xfId="0" applyFont="1" applyFill="1" applyBorder="1" applyAlignment="1">
      <alignment horizontal="right" vertical="center"/>
    </xf>
    <xf numFmtId="0" fontId="3" fillId="4" borderId="25" xfId="0" applyFont="1" applyFill="1" applyBorder="1" applyAlignment="1">
      <alignment horizontal="center" vertical="center"/>
    </xf>
    <xf numFmtId="0" fontId="33" fillId="0" borderId="25" xfId="0" applyFont="1" applyBorder="1"/>
    <xf numFmtId="0" fontId="31" fillId="0" borderId="25" xfId="0" applyFont="1" applyBorder="1"/>
    <xf numFmtId="0" fontId="0" fillId="0" borderId="25" xfId="0" applyBorder="1"/>
    <xf numFmtId="0" fontId="3" fillId="27" borderId="32" xfId="0" applyFont="1" applyFill="1" applyBorder="1"/>
    <xf numFmtId="0" fontId="3" fillId="27" borderId="32" xfId="0" applyFont="1" applyFill="1" applyBorder="1" applyAlignment="1">
      <alignment horizontal="center"/>
    </xf>
    <xf numFmtId="0" fontId="3" fillId="0" borderId="32" xfId="0" applyFont="1" applyBorder="1"/>
    <xf numFmtId="0" fontId="3" fillId="0" borderId="32" xfId="0" applyFont="1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27" borderId="32" xfId="0" applyFont="1" applyFill="1" applyBorder="1" applyAlignment="1">
      <alignment horizontal="center" vertical="center"/>
    </xf>
    <xf numFmtId="0" fontId="3" fillId="27" borderId="33" xfId="0" applyFont="1" applyFill="1" applyBorder="1" applyAlignment="1">
      <alignment horizontal="center"/>
    </xf>
    <xf numFmtId="0" fontId="3" fillId="27" borderId="34" xfId="0" applyFont="1" applyFill="1" applyBorder="1" applyAlignment="1">
      <alignment horizontal="center"/>
    </xf>
    <xf numFmtId="0" fontId="34" fillId="0" borderId="0" xfId="0" applyFont="1"/>
    <xf numFmtId="0" fontId="34" fillId="27" borderId="32" xfId="0" applyFont="1" applyFill="1" applyBorder="1" applyAlignment="1">
      <alignment horizontal="center" vertical="center"/>
    </xf>
    <xf numFmtId="0" fontId="34" fillId="27" borderId="35" xfId="0" applyFont="1" applyFill="1" applyBorder="1"/>
    <xf numFmtId="0" fontId="35" fillId="0" borderId="0" xfId="0" applyFont="1"/>
    <xf numFmtId="0" fontId="3" fillId="0" borderId="34" xfId="0" applyFont="1" applyBorder="1"/>
    <xf numFmtId="0" fontId="3" fillId="0" borderId="37" xfId="0" applyFont="1" applyBorder="1" applyAlignment="1">
      <alignment horizontal="center"/>
    </xf>
    <xf numFmtId="0" fontId="3" fillId="0" borderId="38" xfId="0" applyFont="1" applyBorder="1"/>
    <xf numFmtId="0" fontId="34" fillId="27" borderId="39" xfId="0" applyFont="1" applyFill="1" applyBorder="1" applyAlignment="1">
      <alignment horizontal="center"/>
    </xf>
    <xf numFmtId="0" fontId="34" fillId="0" borderId="32" xfId="0" applyFont="1" applyBorder="1"/>
    <xf numFmtId="3" fontId="36" fillId="0" borderId="32" xfId="0" applyNumberFormat="1" applyFont="1" applyBorder="1"/>
    <xf numFmtId="0" fontId="34" fillId="0" borderId="0" xfId="0" applyFont="1" applyAlignment="1">
      <alignment horizontal="left"/>
    </xf>
    <xf numFmtId="0" fontId="37" fillId="7" borderId="0" xfId="0" applyFont="1" applyFill="1"/>
    <xf numFmtId="0" fontId="34" fillId="0" borderId="0" xfId="0" applyFont="1" applyAlignment="1">
      <alignment horizontal="center"/>
    </xf>
    <xf numFmtId="0" fontId="34" fillId="27" borderId="32" xfId="0" applyFont="1" applyFill="1" applyBorder="1" applyAlignment="1">
      <alignment horizontal="center"/>
    </xf>
    <xf numFmtId="0" fontId="33" fillId="0" borderId="0" xfId="0" applyFont="1"/>
    <xf numFmtId="0" fontId="31" fillId="0" borderId="0" xfId="0" applyFont="1"/>
    <xf numFmtId="0" fontId="4" fillId="10" borderId="2" xfId="0" applyFont="1" applyFill="1" applyBorder="1"/>
    <xf numFmtId="0" fontId="4" fillId="10" borderId="3" xfId="0" applyFont="1" applyFill="1" applyBorder="1"/>
    <xf numFmtId="0" fontId="4" fillId="10" borderId="4" xfId="0" applyFont="1" applyFill="1" applyBorder="1"/>
    <xf numFmtId="0" fontId="3" fillId="0" borderId="5" xfId="0" applyFont="1" applyBorder="1"/>
    <xf numFmtId="0" fontId="3" fillId="0" borderId="1" xfId="0" applyFont="1" applyBorder="1"/>
    <xf numFmtId="0" fontId="3" fillId="0" borderId="6" xfId="0" applyFont="1" applyBorder="1"/>
    <xf numFmtId="0" fontId="38" fillId="0" borderId="9" xfId="0" applyFont="1" applyBorder="1"/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27" borderId="1" xfId="0" applyFont="1" applyFill="1" applyBorder="1" applyAlignment="1">
      <alignment horizontal="center" vertical="center"/>
    </xf>
    <xf numFmtId="0" fontId="3" fillId="27" borderId="5" xfId="0" applyFont="1" applyFill="1" applyBorder="1" applyAlignment="1">
      <alignment horizontal="center" vertical="center"/>
    </xf>
    <xf numFmtId="0" fontId="3" fillId="27" borderId="1" xfId="0" applyFont="1" applyFill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7" fillId="7" borderId="1" xfId="0" applyFont="1" applyFill="1" applyBorder="1" applyAlignment="1">
      <alignment vertical="center"/>
    </xf>
    <xf numFmtId="0" fontId="17" fillId="7" borderId="41" xfId="0" applyFont="1" applyFill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41" fillId="0" borderId="41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0" fillId="0" borderId="41" xfId="0" applyBorder="1" applyAlignment="1">
      <alignment vertical="center"/>
    </xf>
    <xf numFmtId="0" fontId="31" fillId="0" borderId="41" xfId="0" applyFont="1" applyBorder="1" applyAlignment="1">
      <alignment vertical="center"/>
    </xf>
    <xf numFmtId="9" fontId="17" fillId="0" borderId="41" xfId="1" applyFont="1" applyFill="1" applyBorder="1" applyAlignment="1">
      <alignment vertical="center"/>
    </xf>
    <xf numFmtId="9" fontId="17" fillId="0" borderId="41" xfId="1" applyFont="1" applyBorder="1" applyAlignment="1">
      <alignment vertical="center"/>
    </xf>
    <xf numFmtId="0" fontId="17" fillId="31" borderId="41" xfId="0" applyFont="1" applyFill="1" applyBorder="1" applyAlignment="1">
      <alignment horizontal="left" vertical="center"/>
    </xf>
    <xf numFmtId="0" fontId="17" fillId="31" borderId="41" xfId="0" applyFont="1" applyFill="1" applyBorder="1" applyAlignment="1">
      <alignment vertical="center"/>
    </xf>
    <xf numFmtId="9" fontId="17" fillId="31" borderId="41" xfId="1" applyFont="1" applyFill="1" applyBorder="1" applyAlignment="1">
      <alignment vertical="center"/>
    </xf>
    <xf numFmtId="0" fontId="17" fillId="5" borderId="41" xfId="0" applyFont="1" applyFill="1" applyBorder="1" applyAlignment="1">
      <alignment horizontal="left" vertical="center"/>
    </xf>
    <xf numFmtId="0" fontId="17" fillId="32" borderId="41" xfId="0" applyFont="1" applyFill="1" applyBorder="1" applyAlignment="1">
      <alignment vertical="center"/>
    </xf>
    <xf numFmtId="9" fontId="0" fillId="0" borderId="0" xfId="1" applyFont="1" applyAlignment="1">
      <alignment vertical="center"/>
    </xf>
    <xf numFmtId="0" fontId="17" fillId="33" borderId="41" xfId="0" applyFont="1" applyFill="1" applyBorder="1" applyAlignment="1">
      <alignment horizontal="left" vertical="center"/>
    </xf>
    <xf numFmtId="0" fontId="17" fillId="34" borderId="41" xfId="0" applyFont="1" applyFill="1" applyBorder="1" applyAlignment="1">
      <alignment horizontal="right" vertical="center"/>
    </xf>
    <xf numFmtId="0" fontId="17" fillId="22" borderId="41" xfId="0" applyFont="1" applyFill="1" applyBorder="1" applyAlignment="1">
      <alignment horizontal="left" vertical="center"/>
    </xf>
    <xf numFmtId="0" fontId="17" fillId="35" borderId="41" xfId="0" applyFont="1" applyFill="1" applyBorder="1" applyAlignment="1">
      <alignment horizontal="right" vertical="center"/>
    </xf>
    <xf numFmtId="0" fontId="39" fillId="14" borderId="41" xfId="0" applyFont="1" applyFill="1" applyBorder="1"/>
    <xf numFmtId="0" fontId="17" fillId="14" borderId="41" xfId="0" applyFont="1" applyFill="1" applyBorder="1"/>
    <xf numFmtId="9" fontId="0" fillId="0" borderId="0" xfId="1" applyFont="1"/>
    <xf numFmtId="9" fontId="41" fillId="0" borderId="41" xfId="1" applyFont="1" applyFill="1" applyBorder="1" applyAlignment="1">
      <alignment vertical="center"/>
    </xf>
    <xf numFmtId="0" fontId="17" fillId="0" borderId="41" xfId="0" applyFont="1" applyBorder="1" applyAlignment="1">
      <alignment vertical="center"/>
    </xf>
    <xf numFmtId="0" fontId="31" fillId="0" borderId="0" xfId="2" applyAlignment="1">
      <alignment vertical="center"/>
    </xf>
    <xf numFmtId="0" fontId="31" fillId="0" borderId="0" xfId="2"/>
    <xf numFmtId="0" fontId="31" fillId="0" borderId="0" xfId="2" applyAlignment="1">
      <alignment horizontal="center"/>
    </xf>
    <xf numFmtId="165" fontId="31" fillId="0" borderId="0" xfId="2" applyNumberFormat="1"/>
    <xf numFmtId="10" fontId="31" fillId="0" borderId="0" xfId="2" applyNumberFormat="1"/>
    <xf numFmtId="0" fontId="44" fillId="36" borderId="17" xfId="2" applyFont="1" applyFill="1" applyBorder="1"/>
    <xf numFmtId="0" fontId="44" fillId="36" borderId="18" xfId="2" applyFont="1" applyFill="1" applyBorder="1" applyAlignment="1">
      <alignment horizontal="left"/>
    </xf>
    <xf numFmtId="0" fontId="44" fillId="36" borderId="18" xfId="2" applyFont="1" applyFill="1" applyBorder="1" applyAlignment="1">
      <alignment horizontal="center"/>
    </xf>
    <xf numFmtId="0" fontId="44" fillId="36" borderId="18" xfId="2" applyFont="1" applyFill="1" applyBorder="1" applyAlignment="1">
      <alignment horizontal="center" vertical="center"/>
    </xf>
    <xf numFmtId="165" fontId="44" fillId="36" borderId="18" xfId="2" applyNumberFormat="1" applyFont="1" applyFill="1" applyBorder="1" applyAlignment="1">
      <alignment horizontal="center"/>
    </xf>
    <xf numFmtId="10" fontId="44" fillId="36" borderId="18" xfId="2" applyNumberFormat="1" applyFont="1" applyFill="1" applyBorder="1" applyAlignment="1">
      <alignment horizontal="center"/>
    </xf>
    <xf numFmtId="165" fontId="44" fillId="36" borderId="19" xfId="2" applyNumberFormat="1" applyFont="1" applyFill="1" applyBorder="1" applyAlignment="1">
      <alignment horizontal="center"/>
    </xf>
    <xf numFmtId="0" fontId="31" fillId="0" borderId="16" xfId="2" applyBorder="1" applyAlignment="1">
      <alignment vertical="center"/>
    </xf>
    <xf numFmtId="0" fontId="31" fillId="0" borderId="20" xfId="2" applyBorder="1" applyAlignment="1">
      <alignment vertical="center"/>
    </xf>
    <xf numFmtId="0" fontId="31" fillId="0" borderId="20" xfId="2" applyBorder="1" applyAlignment="1">
      <alignment horizontal="left" vertical="center"/>
    </xf>
    <xf numFmtId="0" fontId="31" fillId="0" borderId="20" xfId="2" applyBorder="1" applyAlignment="1">
      <alignment horizontal="center" vertical="center"/>
    </xf>
    <xf numFmtId="165" fontId="31" fillId="0" borderId="20" xfId="2" applyNumberFormat="1" applyBorder="1" applyAlignment="1">
      <alignment vertical="center"/>
    </xf>
    <xf numFmtId="10" fontId="31" fillId="0" borderId="20" xfId="2" applyNumberFormat="1" applyBorder="1" applyAlignment="1">
      <alignment horizontal="center" vertical="center"/>
    </xf>
    <xf numFmtId="165" fontId="31" fillId="0" borderId="14" xfId="2" applyNumberFormat="1" applyBorder="1" applyAlignment="1">
      <alignment vertical="center"/>
    </xf>
    <xf numFmtId="10" fontId="31" fillId="0" borderId="7" xfId="2" applyNumberFormat="1" applyBorder="1" applyAlignment="1">
      <alignment horizontal="center" vertical="center"/>
    </xf>
    <xf numFmtId="0" fontId="31" fillId="0" borderId="20" xfId="2" applyBorder="1" applyAlignment="1">
      <alignment vertical="center" wrapText="1"/>
    </xf>
    <xf numFmtId="0" fontId="31" fillId="0" borderId="16" xfId="2" applyBorder="1"/>
    <xf numFmtId="0" fontId="31" fillId="0" borderId="20" xfId="2" applyBorder="1"/>
    <xf numFmtId="165" fontId="31" fillId="0" borderId="20" xfId="2" applyNumberFormat="1" applyBorder="1"/>
    <xf numFmtId="165" fontId="31" fillId="0" borderId="14" xfId="2" applyNumberFormat="1" applyBorder="1"/>
    <xf numFmtId="0" fontId="31" fillId="0" borderId="21" xfId="2" applyBorder="1"/>
    <xf numFmtId="0" fontId="31" fillId="0" borderId="22" xfId="2" applyBorder="1"/>
    <xf numFmtId="0" fontId="31" fillId="0" borderId="22" xfId="2" applyBorder="1" applyAlignment="1">
      <alignment vertical="center"/>
    </xf>
    <xf numFmtId="0" fontId="31" fillId="0" borderId="22" xfId="2" applyBorder="1" applyAlignment="1">
      <alignment horizontal="center" vertical="center"/>
    </xf>
    <xf numFmtId="165" fontId="31" fillId="0" borderId="22" xfId="2" applyNumberFormat="1" applyBorder="1"/>
    <xf numFmtId="165" fontId="31" fillId="0" borderId="23" xfId="2" applyNumberFormat="1" applyBorder="1"/>
    <xf numFmtId="0" fontId="32" fillId="17" borderId="0" xfId="2" applyFont="1" applyFill="1" applyAlignment="1">
      <alignment horizontal="center" vertical="center"/>
    </xf>
    <xf numFmtId="0" fontId="44" fillId="36" borderId="17" xfId="2" applyFont="1" applyFill="1" applyBorder="1" applyAlignment="1">
      <alignment vertical="center"/>
    </xf>
    <xf numFmtId="0" fontId="44" fillId="36" borderId="18" xfId="2" applyFont="1" applyFill="1" applyBorder="1" applyAlignment="1">
      <alignment horizontal="left" vertical="center"/>
    </xf>
    <xf numFmtId="165" fontId="44" fillId="36" borderId="18" xfId="2" applyNumberFormat="1" applyFont="1" applyFill="1" applyBorder="1" applyAlignment="1">
      <alignment horizontal="center" vertical="center"/>
    </xf>
    <xf numFmtId="10" fontId="44" fillId="36" borderId="18" xfId="2" applyNumberFormat="1" applyFont="1" applyFill="1" applyBorder="1" applyAlignment="1">
      <alignment horizontal="center" vertical="center"/>
    </xf>
    <xf numFmtId="165" fontId="44" fillId="36" borderId="30" xfId="2" applyNumberFormat="1" applyFont="1" applyFill="1" applyBorder="1" applyAlignment="1">
      <alignment horizontal="center" vertical="center"/>
    </xf>
    <xf numFmtId="165" fontId="44" fillId="36" borderId="0" xfId="2" applyNumberFormat="1" applyFont="1" applyFill="1" applyAlignment="1">
      <alignment horizontal="center" vertical="center"/>
    </xf>
    <xf numFmtId="165" fontId="31" fillId="0" borderId="20" xfId="2" applyNumberFormat="1" applyBorder="1" applyAlignment="1">
      <alignment horizontal="center" vertical="center"/>
    </xf>
    <xf numFmtId="0" fontId="31" fillId="0" borderId="1" xfId="2" applyBorder="1" applyAlignment="1">
      <alignment horizontal="center" vertical="center"/>
    </xf>
    <xf numFmtId="0" fontId="31" fillId="0" borderId="0" xfId="2" applyAlignment="1">
      <alignment horizontal="center" vertical="center"/>
    </xf>
    <xf numFmtId="0" fontId="17" fillId="0" borderId="0" xfId="2" applyFont="1"/>
    <xf numFmtId="10" fontId="17" fillId="0" borderId="0" xfId="2" applyNumberFormat="1" applyFont="1"/>
    <xf numFmtId="165" fontId="31" fillId="0" borderId="20" xfId="2" applyNumberFormat="1" applyBorder="1" applyAlignment="1">
      <alignment horizontal="center"/>
    </xf>
    <xf numFmtId="0" fontId="31" fillId="0" borderId="1" xfId="2" applyBorder="1" applyAlignment="1">
      <alignment vertical="center"/>
    </xf>
    <xf numFmtId="165" fontId="31" fillId="0" borderId="1" xfId="2" applyNumberFormat="1" applyBorder="1" applyAlignment="1">
      <alignment horizontal="center" vertical="center"/>
    </xf>
    <xf numFmtId="10" fontId="31" fillId="0" borderId="1" xfId="2" applyNumberFormat="1" applyBorder="1" applyAlignment="1">
      <alignment horizontal="center" vertical="center"/>
    </xf>
    <xf numFmtId="0" fontId="31" fillId="0" borderId="1" xfId="2" applyBorder="1"/>
    <xf numFmtId="165" fontId="31" fillId="0" borderId="1" xfId="2" applyNumberFormat="1" applyBorder="1" applyAlignment="1">
      <alignment horizontal="center"/>
    </xf>
    <xf numFmtId="0" fontId="31" fillId="0" borderId="7" xfId="2" applyBorder="1" applyAlignment="1">
      <alignment horizontal="center" vertical="center"/>
    </xf>
    <xf numFmtId="0" fontId="31" fillId="0" borderId="7" xfId="2" applyBorder="1"/>
    <xf numFmtId="0" fontId="31" fillId="0" borderId="22" xfId="2" applyBorder="1" applyAlignment="1">
      <alignment horizontal="left" vertical="center"/>
    </xf>
    <xf numFmtId="165" fontId="31" fillId="0" borderId="7" xfId="2" applyNumberFormat="1" applyBorder="1" applyAlignment="1">
      <alignment horizontal="center"/>
    </xf>
    <xf numFmtId="0" fontId="31" fillId="0" borderId="1" xfId="2" applyBorder="1" applyAlignment="1">
      <alignment horizontal="left" vertical="center"/>
    </xf>
    <xf numFmtId="0" fontId="31" fillId="0" borderId="44" xfId="2" applyBorder="1" applyAlignment="1">
      <alignment vertical="center"/>
    </xf>
    <xf numFmtId="0" fontId="31" fillId="0" borderId="7" xfId="2" applyBorder="1" applyAlignment="1">
      <alignment vertical="center"/>
    </xf>
    <xf numFmtId="165" fontId="31" fillId="0" borderId="7" xfId="2" applyNumberFormat="1" applyBorder="1" applyAlignment="1">
      <alignment horizontal="center" vertical="center"/>
    </xf>
    <xf numFmtId="0" fontId="31" fillId="0" borderId="1" xfId="2" applyBorder="1" applyAlignment="1">
      <alignment horizontal="center"/>
    </xf>
    <xf numFmtId="0" fontId="31" fillId="0" borderId="45" xfId="2" applyBorder="1" applyAlignment="1">
      <alignment vertical="center"/>
    </xf>
    <xf numFmtId="0" fontId="42" fillId="36" borderId="17" xfId="2" applyFont="1" applyFill="1" applyBorder="1" applyAlignment="1">
      <alignment horizontal="center" vertical="center"/>
    </xf>
    <xf numFmtId="0" fontId="42" fillId="36" borderId="18" xfId="2" applyFont="1" applyFill="1" applyBorder="1" applyAlignment="1">
      <alignment horizontal="center" vertical="center"/>
    </xf>
    <xf numFmtId="165" fontId="42" fillId="36" borderId="18" xfId="2" applyNumberFormat="1" applyFont="1" applyFill="1" applyBorder="1" applyAlignment="1">
      <alignment horizontal="center" vertical="center"/>
    </xf>
    <xf numFmtId="10" fontId="42" fillId="36" borderId="18" xfId="2" applyNumberFormat="1" applyFont="1" applyFill="1" applyBorder="1" applyAlignment="1">
      <alignment horizontal="center" vertical="center"/>
    </xf>
    <xf numFmtId="165" fontId="42" fillId="36" borderId="30" xfId="2" applyNumberFormat="1" applyFont="1" applyFill="1" applyBorder="1" applyAlignment="1">
      <alignment horizontal="center" vertical="center"/>
    </xf>
    <xf numFmtId="165" fontId="42" fillId="36" borderId="0" xfId="2" applyNumberFormat="1" applyFont="1" applyFill="1" applyAlignment="1">
      <alignment horizontal="center" vertical="center"/>
    </xf>
    <xf numFmtId="0" fontId="44" fillId="0" borderId="20" xfId="2" applyFont="1" applyBorder="1" applyAlignment="1">
      <alignment vertical="center"/>
    </xf>
    <xf numFmtId="0" fontId="44" fillId="0" borderId="20" xfId="2" applyFont="1" applyBorder="1" applyAlignment="1">
      <alignment horizontal="left" vertical="center"/>
    </xf>
    <xf numFmtId="0" fontId="44" fillId="0" borderId="20" xfId="2" applyFont="1" applyBorder="1" applyAlignment="1">
      <alignment horizontal="center" vertical="center"/>
    </xf>
    <xf numFmtId="165" fontId="44" fillId="0" borderId="20" xfId="2" applyNumberFormat="1" applyFont="1" applyBorder="1" applyAlignment="1">
      <alignment horizontal="center" vertical="center"/>
    </xf>
    <xf numFmtId="10" fontId="44" fillId="0" borderId="20" xfId="2" applyNumberFormat="1" applyFont="1" applyBorder="1" applyAlignment="1">
      <alignment horizontal="center" vertical="center"/>
    </xf>
    <xf numFmtId="0" fontId="44" fillId="0" borderId="1" xfId="2" applyFont="1" applyBorder="1" applyAlignment="1">
      <alignment horizontal="center" vertical="center"/>
    </xf>
    <xf numFmtId="0" fontId="44" fillId="0" borderId="0" xfId="2" applyFont="1" applyAlignment="1">
      <alignment horizontal="center" vertical="center"/>
    </xf>
    <xf numFmtId="0" fontId="42" fillId="36" borderId="1" xfId="2" applyFont="1" applyFill="1" applyBorder="1" applyAlignment="1">
      <alignment horizontal="center" vertical="center"/>
    </xf>
    <xf numFmtId="165" fontId="42" fillId="36" borderId="1" xfId="2" applyNumberFormat="1" applyFont="1" applyFill="1" applyBorder="1" applyAlignment="1">
      <alignment horizontal="center" vertical="center"/>
    </xf>
    <xf numFmtId="10" fontId="42" fillId="36" borderId="1" xfId="2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15" borderId="0" xfId="0" applyFont="1" applyFill="1"/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47" xfId="0" applyFont="1" applyBorder="1" applyAlignment="1">
      <alignment vertical="center"/>
    </xf>
    <xf numFmtId="0" fontId="49" fillId="0" borderId="48" xfId="0" applyFont="1" applyBorder="1" applyAlignment="1">
      <alignment vertical="center"/>
    </xf>
    <xf numFmtId="0" fontId="32" fillId="14" borderId="49" xfId="0" applyFont="1" applyFill="1" applyBorder="1" applyAlignment="1">
      <alignment horizontal="left" vertical="center"/>
    </xf>
    <xf numFmtId="0" fontId="49" fillId="14" borderId="49" xfId="0" applyFont="1" applyFill="1" applyBorder="1" applyAlignment="1">
      <alignment horizontal="center" vertical="center"/>
    </xf>
    <xf numFmtId="0" fontId="50" fillId="14" borderId="49" xfId="0" applyFont="1" applyFill="1" applyBorder="1" applyAlignment="1">
      <alignment horizontal="left" vertical="center"/>
    </xf>
    <xf numFmtId="0" fontId="51" fillId="14" borderId="47" xfId="0" applyFont="1" applyFill="1" applyBorder="1" applyAlignment="1">
      <alignment horizontal="left" vertical="center"/>
    </xf>
    <xf numFmtId="0" fontId="49" fillId="14" borderId="49" xfId="0" applyFont="1" applyFill="1" applyBorder="1" applyAlignment="1">
      <alignment vertical="center"/>
    </xf>
    <xf numFmtId="0" fontId="52" fillId="14" borderId="49" xfId="0" applyFont="1" applyFill="1" applyBorder="1" applyAlignment="1">
      <alignment horizontal="center" vertical="center"/>
    </xf>
    <xf numFmtId="0" fontId="52" fillId="14" borderId="0" xfId="0" applyFont="1" applyFill="1" applyAlignment="1">
      <alignment horizontal="center" vertical="center"/>
    </xf>
    <xf numFmtId="0" fontId="49" fillId="0" borderId="49" xfId="0" applyFont="1" applyBorder="1" applyAlignment="1">
      <alignment vertical="center"/>
    </xf>
    <xf numFmtId="0" fontId="3" fillId="2" borderId="0" xfId="0" applyFont="1" applyFill="1" applyAlignment="1">
      <alignment horizontal="center"/>
    </xf>
    <xf numFmtId="0" fontId="5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/>
    </xf>
    <xf numFmtId="14" fontId="3" fillId="0" borderId="1" xfId="0" applyNumberFormat="1" applyFont="1" applyBorder="1"/>
    <xf numFmtId="2" fontId="3" fillId="0" borderId="3" xfId="0" applyNumberFormat="1" applyFont="1" applyBorder="1" applyAlignment="1">
      <alignment horizontal="center"/>
    </xf>
    <xf numFmtId="2" fontId="3" fillId="0" borderId="3" xfId="0" applyNumberFormat="1" applyFont="1" applyBorder="1"/>
    <xf numFmtId="0" fontId="55" fillId="0" borderId="1" xfId="0" applyFont="1" applyBorder="1"/>
    <xf numFmtId="166" fontId="3" fillId="0" borderId="1" xfId="0" applyNumberFormat="1" applyFont="1" applyBorder="1"/>
    <xf numFmtId="0" fontId="56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14" fontId="3" fillId="0" borderId="1" xfId="0" applyNumberFormat="1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166" fontId="3" fillId="0" borderId="1" xfId="0" applyNumberFormat="1" applyFont="1" applyBorder="1" applyAlignment="1">
      <alignment horizontal="right"/>
    </xf>
    <xf numFmtId="2" fontId="3" fillId="0" borderId="3" xfId="0" applyNumberFormat="1" applyFont="1" applyBorder="1" applyAlignment="1">
      <alignment horizontal="right"/>
    </xf>
    <xf numFmtId="0" fontId="56" fillId="0" borderId="1" xfId="0" applyFont="1" applyBorder="1"/>
    <xf numFmtId="0" fontId="3" fillId="0" borderId="3" xfId="0" applyFont="1" applyBorder="1"/>
    <xf numFmtId="0" fontId="3" fillId="0" borderId="3" xfId="0" applyFont="1" applyBorder="1" applyAlignment="1">
      <alignment horizontal="left"/>
    </xf>
    <xf numFmtId="0" fontId="3" fillId="13" borderId="3" xfId="0" applyFont="1" applyFill="1" applyBorder="1"/>
    <xf numFmtId="0" fontId="3" fillId="13" borderId="1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left"/>
    </xf>
    <xf numFmtId="0" fontId="3" fillId="13" borderId="1" xfId="0" applyFont="1" applyFill="1" applyBorder="1"/>
    <xf numFmtId="0" fontId="3" fillId="13" borderId="1" xfId="0" applyFont="1" applyFill="1" applyBorder="1" applyAlignment="1">
      <alignment horizontal="center"/>
    </xf>
    <xf numFmtId="166" fontId="3" fillId="13" borderId="1" xfId="0" applyNumberFormat="1" applyFont="1" applyFill="1" applyBorder="1"/>
    <xf numFmtId="2" fontId="3" fillId="13" borderId="3" xfId="0" applyNumberFormat="1" applyFont="1" applyFill="1" applyBorder="1" applyAlignment="1">
      <alignment horizontal="center"/>
    </xf>
    <xf numFmtId="2" fontId="3" fillId="13" borderId="3" xfId="0" applyNumberFormat="1" applyFont="1" applyFill="1" applyBorder="1"/>
    <xf numFmtId="0" fontId="3" fillId="0" borderId="7" xfId="0" applyFont="1" applyBorder="1"/>
    <xf numFmtId="0" fontId="3" fillId="0" borderId="7" xfId="0" applyFont="1" applyBorder="1" applyAlignment="1">
      <alignment horizontal="center"/>
    </xf>
    <xf numFmtId="0" fontId="3" fillId="0" borderId="6" xfId="0" applyFont="1" applyBorder="1" applyAlignment="1">
      <alignment vertical="center"/>
    </xf>
    <xf numFmtId="167" fontId="3" fillId="0" borderId="1" xfId="0" applyNumberFormat="1" applyFont="1" applyBorder="1"/>
    <xf numFmtId="2" fontId="3" fillId="0" borderId="1" xfId="0" applyNumberFormat="1" applyFont="1" applyBorder="1" applyAlignment="1">
      <alignment horizontal="center"/>
    </xf>
    <xf numFmtId="2" fontId="3" fillId="0" borderId="9" xfId="0" applyNumberFormat="1" applyFont="1" applyBorder="1"/>
    <xf numFmtId="0" fontId="3" fillId="0" borderId="9" xfId="0" applyFont="1" applyBorder="1" applyAlignment="1">
      <alignment horizontal="center"/>
    </xf>
    <xf numFmtId="165" fontId="3" fillId="0" borderId="1" xfId="0" applyNumberFormat="1" applyFont="1" applyBorder="1" applyAlignment="1">
      <alignment vertical="center"/>
    </xf>
    <xf numFmtId="2" fontId="3" fillId="0" borderId="5" xfId="0" applyNumberFormat="1" applyFont="1" applyBorder="1"/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167" fontId="3" fillId="0" borderId="7" xfId="0" applyNumberFormat="1" applyFont="1" applyBorder="1"/>
    <xf numFmtId="0" fontId="3" fillId="0" borderId="51" xfId="0" applyFont="1" applyBorder="1" applyAlignment="1">
      <alignment horizontal="center"/>
    </xf>
    <xf numFmtId="2" fontId="3" fillId="0" borderId="51" xfId="0" applyNumberFormat="1" applyFont="1" applyBorder="1" applyAlignment="1">
      <alignment horizontal="center"/>
    </xf>
    <xf numFmtId="2" fontId="3" fillId="0" borderId="51" xfId="0" applyNumberFormat="1" applyFont="1" applyBorder="1"/>
    <xf numFmtId="0" fontId="57" fillId="0" borderId="1" xfId="0" applyFont="1" applyBorder="1"/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/>
    </xf>
    <xf numFmtId="2" fontId="3" fillId="0" borderId="3" xfId="0" applyNumberFormat="1" applyFont="1" applyBorder="1" applyAlignment="1">
      <alignment vertical="center" wrapText="1"/>
    </xf>
    <xf numFmtId="2" fontId="3" fillId="0" borderId="3" xfId="0" applyNumberFormat="1" applyFont="1" applyBorder="1" applyAlignment="1">
      <alignment wrapText="1"/>
    </xf>
    <xf numFmtId="165" fontId="3" fillId="0" borderId="1" xfId="0" applyNumberFormat="1" applyFont="1" applyBorder="1"/>
    <xf numFmtId="167" fontId="3" fillId="0" borderId="1" xfId="0" applyNumberFormat="1" applyFont="1" applyBorder="1" applyAlignment="1">
      <alignment vertical="center"/>
    </xf>
    <xf numFmtId="2" fontId="3" fillId="0" borderId="1" xfId="0" applyNumberFormat="1" applyFont="1" applyBorder="1"/>
    <xf numFmtId="0" fontId="54" fillId="15" borderId="0" xfId="0" applyFont="1" applyFill="1" applyAlignment="1">
      <alignment horizontal="center" vertical="center"/>
    </xf>
    <xf numFmtId="0" fontId="3" fillId="15" borderId="7" xfId="0" applyFont="1" applyFill="1" applyBorder="1"/>
    <xf numFmtId="0" fontId="3" fillId="15" borderId="7" xfId="0" applyFont="1" applyFill="1" applyBorder="1" applyAlignment="1">
      <alignment horizontal="center" vertical="center"/>
    </xf>
    <xf numFmtId="0" fontId="3" fillId="15" borderId="7" xfId="0" applyFont="1" applyFill="1" applyBorder="1" applyAlignment="1">
      <alignment horizontal="center"/>
    </xf>
    <xf numFmtId="14" fontId="3" fillId="15" borderId="7" xfId="0" applyNumberFormat="1" applyFont="1" applyFill="1" applyBorder="1"/>
    <xf numFmtId="0" fontId="3" fillId="15" borderId="51" xfId="0" applyFont="1" applyFill="1" applyBorder="1" applyAlignment="1">
      <alignment horizontal="center"/>
    </xf>
    <xf numFmtId="2" fontId="3" fillId="15" borderId="51" xfId="0" applyNumberFormat="1" applyFont="1" applyFill="1" applyBorder="1" applyAlignment="1">
      <alignment horizontal="center"/>
    </xf>
    <xf numFmtId="2" fontId="3" fillId="15" borderId="51" xfId="0" applyNumberFormat="1" applyFont="1" applyFill="1" applyBorder="1"/>
    <xf numFmtId="0" fontId="3" fillId="15" borderId="0" xfId="0" applyFont="1" applyFill="1" applyAlignment="1">
      <alignment horizontal="center"/>
    </xf>
    <xf numFmtId="0" fontId="54" fillId="0" borderId="1" xfId="0" applyFont="1" applyBorder="1" applyAlignment="1">
      <alignment horizontal="center" vertical="center"/>
    </xf>
    <xf numFmtId="0" fontId="31" fillId="19" borderId="1" xfId="2" applyFill="1" applyBorder="1" applyAlignment="1">
      <alignment horizontal="left" vertical="center"/>
    </xf>
    <xf numFmtId="0" fontId="31" fillId="19" borderId="1" xfId="2" applyFill="1" applyBorder="1" applyAlignment="1">
      <alignment horizontal="center" vertical="center"/>
    </xf>
    <xf numFmtId="168" fontId="3" fillId="0" borderId="1" xfId="0" applyNumberFormat="1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vertical="center" wrapText="1"/>
    </xf>
    <xf numFmtId="168" fontId="3" fillId="0" borderId="0" xfId="0" applyNumberFormat="1" applyFont="1" applyAlignment="1">
      <alignment vertical="center"/>
    </xf>
    <xf numFmtId="14" fontId="3" fillId="0" borderId="0" xfId="0" applyNumberFormat="1" applyFont="1"/>
    <xf numFmtId="0" fontId="58" fillId="3" borderId="0" xfId="0" applyFont="1" applyFill="1" applyAlignment="1">
      <alignment horizontal="center" vertical="center"/>
    </xf>
    <xf numFmtId="0" fontId="58" fillId="3" borderId="52" xfId="0" applyFont="1" applyFill="1" applyBorder="1" applyAlignment="1">
      <alignment horizontal="center" vertical="center"/>
    </xf>
    <xf numFmtId="0" fontId="59" fillId="3" borderId="52" xfId="0" applyFont="1" applyFill="1" applyBorder="1" applyAlignment="1">
      <alignment horizontal="center" vertical="center"/>
    </xf>
    <xf numFmtId="0" fontId="58" fillId="3" borderId="53" xfId="0" applyFont="1" applyFill="1" applyBorder="1" applyAlignment="1">
      <alignment horizontal="center" vertical="center"/>
    </xf>
    <xf numFmtId="0" fontId="58" fillId="3" borderId="54" xfId="0" applyFont="1" applyFill="1" applyBorder="1" applyAlignment="1">
      <alignment horizontal="center" vertical="center"/>
    </xf>
    <xf numFmtId="0" fontId="0" fillId="19" borderId="55" xfId="0" applyFill="1" applyBorder="1" applyAlignment="1">
      <alignment horizontal="center"/>
    </xf>
    <xf numFmtId="165" fontId="31" fillId="19" borderId="55" xfId="2" applyNumberFormat="1" applyFill="1" applyBorder="1" applyAlignment="1">
      <alignment horizontal="center" vertical="center"/>
    </xf>
    <xf numFmtId="0" fontId="31" fillId="19" borderId="55" xfId="2" applyFill="1" applyBorder="1" applyAlignment="1">
      <alignment horizontal="center" vertical="center"/>
    </xf>
    <xf numFmtId="0" fontId="0" fillId="19" borderId="56" xfId="0" applyFill="1" applyBorder="1" applyAlignment="1">
      <alignment horizontal="center"/>
    </xf>
    <xf numFmtId="0" fontId="0" fillId="19" borderId="57" xfId="0" applyFill="1" applyBorder="1" applyAlignment="1">
      <alignment horizontal="center"/>
    </xf>
    <xf numFmtId="0" fontId="0" fillId="0" borderId="58" xfId="0" applyBorder="1"/>
    <xf numFmtId="165" fontId="31" fillId="19" borderId="55" xfId="2" applyNumberFormat="1" applyFill="1" applyBorder="1" applyAlignment="1">
      <alignment horizontal="center"/>
    </xf>
    <xf numFmtId="0" fontId="31" fillId="19" borderId="55" xfId="2" applyFill="1" applyBorder="1" applyAlignment="1">
      <alignment horizontal="center"/>
    </xf>
    <xf numFmtId="0" fontId="31" fillId="37" borderId="55" xfId="2" applyFill="1" applyBorder="1" applyAlignment="1">
      <alignment horizontal="center" vertical="center"/>
    </xf>
    <xf numFmtId="0" fontId="0" fillId="19" borderId="59" xfId="0" applyFill="1" applyBorder="1" applyAlignment="1">
      <alignment horizontal="center"/>
    </xf>
    <xf numFmtId="0" fontId="0" fillId="7" borderId="60" xfId="0" applyFill="1" applyBorder="1"/>
    <xf numFmtId="0" fontId="60" fillId="0" borderId="0" xfId="0" applyFont="1" applyAlignment="1">
      <alignment horizontal="center" vertical="center"/>
    </xf>
    <xf numFmtId="0" fontId="63" fillId="10" borderId="41" xfId="0" applyFont="1" applyFill="1" applyBorder="1" applyAlignment="1">
      <alignment vertical="center"/>
    </xf>
    <xf numFmtId="0" fontId="31" fillId="10" borderId="41" xfId="0" applyFont="1" applyFill="1" applyBorder="1" applyAlignment="1">
      <alignment vertical="center"/>
    </xf>
    <xf numFmtId="9" fontId="17" fillId="10" borderId="41" xfId="1" applyFont="1" applyFill="1" applyBorder="1" applyAlignment="1">
      <alignment vertical="center"/>
    </xf>
    <xf numFmtId="0" fontId="17" fillId="10" borderId="41" xfId="0" applyFont="1" applyFill="1" applyBorder="1" applyAlignment="1">
      <alignment vertical="center"/>
    </xf>
    <xf numFmtId="0" fontId="63" fillId="0" borderId="41" xfId="0" applyFont="1" applyBorder="1" applyAlignment="1">
      <alignment vertical="center"/>
    </xf>
    <xf numFmtId="9" fontId="41" fillId="0" borderId="41" xfId="1" applyFont="1" applyBorder="1" applyAlignment="1">
      <alignment vertical="center"/>
    </xf>
    <xf numFmtId="0" fontId="17" fillId="7" borderId="41" xfId="0" applyFont="1" applyFill="1" applyBorder="1" applyAlignment="1">
      <alignment vertical="center"/>
    </xf>
    <xf numFmtId="0" fontId="40" fillId="31" borderId="41" xfId="0" applyFont="1" applyFill="1" applyBorder="1" applyAlignment="1">
      <alignment horizontal="left" vertical="center"/>
    </xf>
    <xf numFmtId="0" fontId="17" fillId="38" borderId="41" xfId="0" applyFont="1" applyFill="1" applyBorder="1" applyAlignment="1">
      <alignment vertical="center"/>
    </xf>
    <xf numFmtId="0" fontId="40" fillId="5" borderId="41" xfId="0" applyFont="1" applyFill="1" applyBorder="1" applyAlignment="1">
      <alignment horizontal="left" vertical="center"/>
    </xf>
    <xf numFmtId="0" fontId="40" fillId="33" borderId="41" xfId="0" applyFont="1" applyFill="1" applyBorder="1" applyAlignment="1">
      <alignment horizontal="left" vertical="center"/>
    </xf>
    <xf numFmtId="0" fontId="40" fillId="22" borderId="41" xfId="0" applyFont="1" applyFill="1" applyBorder="1" applyAlignment="1">
      <alignment horizontal="left" vertical="center"/>
    </xf>
    <xf numFmtId="0" fontId="40" fillId="14" borderId="41" xfId="0" applyFont="1" applyFill="1" applyBorder="1"/>
    <xf numFmtId="0" fontId="39" fillId="0" borderId="0" xfId="0" applyFont="1"/>
    <xf numFmtId="0" fontId="17" fillId="0" borderId="0" xfId="0" applyFont="1"/>
    <xf numFmtId="0" fontId="0" fillId="10" borderId="41" xfId="0" applyFill="1" applyBorder="1" applyAlignment="1">
      <alignment vertical="center"/>
    </xf>
    <xf numFmtId="0" fontId="17" fillId="10" borderId="0" xfId="0" applyFont="1" applyFill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17" fillId="31" borderId="0" xfId="0" applyFont="1" applyFill="1" applyAlignment="1">
      <alignment horizontal="right" vertical="center"/>
    </xf>
    <xf numFmtId="0" fontId="0" fillId="0" borderId="41" xfId="0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67" fillId="16" borderId="1" xfId="0" applyFont="1" applyFill="1" applyBorder="1" applyAlignment="1">
      <alignment horizontal="center" vertical="center"/>
    </xf>
    <xf numFmtId="0" fontId="67" fillId="17" borderId="1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67" fillId="29" borderId="1" xfId="0" applyFont="1" applyFill="1" applyBorder="1" applyAlignment="1">
      <alignment horizontal="center" vertical="center"/>
    </xf>
    <xf numFmtId="0" fontId="67" fillId="31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0" fillId="19" borderId="1" xfId="0" applyFont="1" applyFill="1" applyBorder="1" applyAlignment="1">
      <alignment horizontal="center" vertical="center"/>
    </xf>
    <xf numFmtId="0" fontId="70" fillId="20" borderId="1" xfId="0" applyFont="1" applyFill="1" applyBorder="1" applyAlignment="1">
      <alignment horizontal="center" vertical="center"/>
    </xf>
    <xf numFmtId="0" fontId="70" fillId="21" borderId="1" xfId="0" applyFont="1" applyFill="1" applyBorder="1" applyAlignment="1">
      <alignment horizontal="center" vertical="center"/>
    </xf>
    <xf numFmtId="0" fontId="71" fillId="3" borderId="1" xfId="0" applyFont="1" applyFill="1" applyBorder="1" applyAlignment="1">
      <alignment horizontal="center" vertical="center"/>
    </xf>
    <xf numFmtId="0" fontId="72" fillId="3" borderId="1" xfId="0" applyFont="1" applyFill="1" applyBorder="1" applyAlignment="1">
      <alignment horizontal="center" vertical="center"/>
    </xf>
    <xf numFmtId="0" fontId="67" fillId="22" borderId="1" xfId="0" applyFont="1" applyFill="1" applyBorder="1" applyAlignment="1">
      <alignment horizontal="center" vertical="center"/>
    </xf>
    <xf numFmtId="0" fontId="67" fillId="35" borderId="1" xfId="0" applyFont="1" applyFill="1" applyBorder="1" applyAlignment="1">
      <alignment horizontal="center" vertical="center"/>
    </xf>
    <xf numFmtId="0" fontId="73" fillId="35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70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80" fillId="0" borderId="0" xfId="0" applyFont="1"/>
    <xf numFmtId="0" fontId="77" fillId="3" borderId="1" xfId="0" quotePrefix="1" applyFont="1" applyFill="1" applyBorder="1" applyAlignment="1">
      <alignment horizontal="center" vertical="center"/>
    </xf>
    <xf numFmtId="0" fontId="77" fillId="35" borderId="1" xfId="0" quotePrefix="1" applyFont="1" applyFill="1" applyBorder="1" applyAlignment="1">
      <alignment horizontal="center" vertical="center"/>
    </xf>
    <xf numFmtId="2" fontId="3" fillId="0" borderId="3" xfId="0" quotePrefix="1" applyNumberFormat="1" applyFont="1" applyBorder="1" applyAlignment="1">
      <alignment vertical="center" wrapText="1"/>
    </xf>
    <xf numFmtId="2" fontId="3" fillId="0" borderId="3" xfId="0" quotePrefix="1" applyNumberFormat="1" applyFont="1" applyBorder="1" applyAlignment="1">
      <alignment wrapText="1"/>
    </xf>
    <xf numFmtId="0" fontId="88" fillId="0" borderId="0" xfId="0" applyFont="1"/>
    <xf numFmtId="0" fontId="42" fillId="0" borderId="41" xfId="0" applyFont="1" applyBorder="1" applyAlignment="1">
      <alignment horizontal="right" vertical="center"/>
    </xf>
    <xf numFmtId="0" fontId="17" fillId="31" borderId="41" xfId="0" applyFont="1" applyFill="1" applyBorder="1" applyAlignment="1">
      <alignment horizontal="right" vertical="center"/>
    </xf>
    <xf numFmtId="0" fontId="0" fillId="0" borderId="61" xfId="0" applyBorder="1" applyAlignment="1">
      <alignment vertical="center"/>
    </xf>
    <xf numFmtId="0" fontId="0" fillId="0" borderId="62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1" xfId="0" applyFont="1" applyBorder="1" applyAlignment="1">
      <alignment horizontal="right" vertical="center"/>
    </xf>
    <xf numFmtId="0" fontId="88" fillId="0" borderId="0" xfId="0" applyFont="1" applyAlignment="1">
      <alignment horizontal="center" vertical="center"/>
    </xf>
    <xf numFmtId="0" fontId="88" fillId="0" borderId="0" xfId="0" applyFont="1" applyAlignment="1">
      <alignment horizontal="right" vertical="center"/>
    </xf>
    <xf numFmtId="0" fontId="79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91" fillId="31" borderId="1" xfId="0" applyFont="1" applyFill="1" applyBorder="1" applyAlignment="1">
      <alignment horizontal="center" vertical="center"/>
    </xf>
    <xf numFmtId="0" fontId="91" fillId="7" borderId="1" xfId="0" applyFont="1" applyFill="1" applyBorder="1" applyAlignment="1">
      <alignment horizontal="center" vertical="center"/>
    </xf>
    <xf numFmtId="0" fontId="91" fillId="41" borderId="1" xfId="0" applyFont="1" applyFill="1" applyBorder="1" applyAlignment="1">
      <alignment vertical="center"/>
    </xf>
    <xf numFmtId="0" fontId="91" fillId="41" borderId="1" xfId="0" applyFont="1" applyFill="1" applyBorder="1" applyAlignment="1">
      <alignment horizontal="center" vertical="center"/>
    </xf>
    <xf numFmtId="0" fontId="92" fillId="41" borderId="1" xfId="0" applyFont="1" applyFill="1" applyBorder="1" applyAlignment="1">
      <alignment horizontal="center" vertical="center"/>
    </xf>
    <xf numFmtId="0" fontId="92" fillId="31" borderId="1" xfId="0" applyFont="1" applyFill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1" fillId="31" borderId="6" xfId="0" applyFont="1" applyFill="1" applyBorder="1" applyAlignment="1">
      <alignment vertical="center"/>
    </xf>
    <xf numFmtId="0" fontId="92" fillId="31" borderId="5" xfId="0" applyFont="1" applyFill="1" applyBorder="1" applyAlignment="1">
      <alignment horizontal="center" vertical="center"/>
    </xf>
    <xf numFmtId="0" fontId="91" fillId="31" borderId="5" xfId="0" applyFont="1" applyFill="1" applyBorder="1" applyAlignment="1">
      <alignment horizontal="center" vertical="center"/>
    </xf>
    <xf numFmtId="0" fontId="89" fillId="0" borderId="1" xfId="2" applyFont="1" applyBorder="1" applyAlignment="1">
      <alignment vertical="center"/>
    </xf>
    <xf numFmtId="0" fontId="44" fillId="0" borderId="1" xfId="2" applyFont="1" applyBorder="1" applyAlignment="1">
      <alignment vertical="center"/>
    </xf>
    <xf numFmtId="0" fontId="44" fillId="0" borderId="1" xfId="2" applyFont="1" applyBorder="1" applyAlignment="1">
      <alignment horizontal="left" vertical="center"/>
    </xf>
    <xf numFmtId="165" fontId="44" fillId="0" borderId="1" xfId="2" applyNumberFormat="1" applyFont="1" applyBorder="1" applyAlignment="1">
      <alignment horizontal="center" vertical="center"/>
    </xf>
    <xf numFmtId="0" fontId="89" fillId="0" borderId="1" xfId="2" applyFont="1" applyBorder="1" applyAlignment="1">
      <alignment horizontal="center" vertical="center"/>
    </xf>
    <xf numFmtId="0" fontId="1" fillId="19" borderId="55" xfId="0" applyFont="1" applyFill="1" applyBorder="1" applyAlignment="1">
      <alignment horizontal="center"/>
    </xf>
    <xf numFmtId="0" fontId="94" fillId="19" borderId="55" xfId="2" applyFont="1" applyFill="1" applyBorder="1" applyAlignment="1">
      <alignment horizontal="center" vertical="center"/>
    </xf>
    <xf numFmtId="0" fontId="94" fillId="37" borderId="55" xfId="2" applyFont="1" applyFill="1" applyBorder="1" applyAlignment="1">
      <alignment horizontal="center" vertical="center"/>
    </xf>
    <xf numFmtId="0" fontId="0" fillId="42" borderId="55" xfId="0" applyFill="1" applyBorder="1" applyAlignment="1">
      <alignment horizontal="center"/>
    </xf>
    <xf numFmtId="0" fontId="31" fillId="42" borderId="55" xfId="2" applyFill="1" applyBorder="1" applyAlignment="1">
      <alignment horizontal="center" vertical="center"/>
    </xf>
    <xf numFmtId="0" fontId="31" fillId="43" borderId="55" xfId="2" applyFill="1" applyBorder="1" applyAlignment="1">
      <alignment horizontal="center" vertical="center"/>
    </xf>
    <xf numFmtId="0" fontId="94" fillId="43" borderId="55" xfId="2" applyFont="1" applyFill="1" applyBorder="1" applyAlignment="1">
      <alignment horizontal="center" vertical="center"/>
    </xf>
    <xf numFmtId="0" fontId="0" fillId="42" borderId="56" xfId="0" applyFill="1" applyBorder="1" applyAlignment="1">
      <alignment horizontal="center"/>
    </xf>
    <xf numFmtId="0" fontId="0" fillId="42" borderId="57" xfId="0" applyFill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1" fillId="15" borderId="55" xfId="2" applyFill="1" applyBorder="1" applyAlignment="1">
      <alignment horizontal="center" vertical="center"/>
    </xf>
    <xf numFmtId="0" fontId="31" fillId="15" borderId="55" xfId="2" applyFill="1" applyBorder="1" applyAlignment="1">
      <alignment horizontal="center"/>
    </xf>
    <xf numFmtId="0" fontId="88" fillId="0" borderId="0" xfId="0" applyFont="1" applyAlignment="1">
      <alignment vertical="center"/>
    </xf>
    <xf numFmtId="0" fontId="88" fillId="0" borderId="0" xfId="0" applyFont="1" applyAlignment="1">
      <alignment horizontal="right"/>
    </xf>
    <xf numFmtId="0" fontId="88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1" fillId="0" borderId="7" xfId="2" applyBorder="1" applyAlignment="1">
      <alignment horizontal="left" vertical="center"/>
    </xf>
    <xf numFmtId="0" fontId="0" fillId="44" borderId="0" xfId="0" applyFill="1" applyAlignment="1">
      <alignment horizontal="center" vertical="center"/>
    </xf>
    <xf numFmtId="0" fontId="0" fillId="44" borderId="65" xfId="0" applyFill="1" applyBorder="1" applyAlignment="1">
      <alignment horizontal="center" vertical="center"/>
    </xf>
    <xf numFmtId="0" fontId="0" fillId="44" borderId="64" xfId="0" applyFill="1" applyBorder="1" applyAlignment="1">
      <alignment horizontal="center" vertical="center"/>
    </xf>
    <xf numFmtId="0" fontId="0" fillId="44" borderId="63" xfId="0" applyFill="1" applyBorder="1" applyAlignment="1">
      <alignment horizontal="center" vertical="center"/>
    </xf>
    <xf numFmtId="164" fontId="96" fillId="0" borderId="66" xfId="0" applyNumberFormat="1" applyFont="1" applyBorder="1" applyAlignment="1">
      <alignment horizontal="center" vertical="center"/>
    </xf>
    <xf numFmtId="164" fontId="96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96" fillId="0" borderId="67" xfId="0" applyFont="1" applyBorder="1" applyAlignment="1">
      <alignment horizontal="center" vertical="center"/>
    </xf>
    <xf numFmtId="0" fontId="93" fillId="0" borderId="66" xfId="0" pivotButton="1" applyFont="1" applyBorder="1" applyAlignment="1">
      <alignment horizontal="center" vertical="center"/>
    </xf>
    <xf numFmtId="0" fontId="93" fillId="0" borderId="0" xfId="0" applyFont="1" applyAlignment="1">
      <alignment horizontal="center"/>
    </xf>
    <xf numFmtId="0" fontId="96" fillId="0" borderId="0" xfId="0" applyFont="1"/>
    <xf numFmtId="0" fontId="93" fillId="0" borderId="67" xfId="0" applyFont="1" applyBorder="1" applyAlignment="1">
      <alignment horizontal="center"/>
    </xf>
    <xf numFmtId="0" fontId="93" fillId="0" borderId="66" xfId="0" applyFont="1" applyBorder="1" applyAlignment="1">
      <alignment horizontal="left"/>
    </xf>
    <xf numFmtId="0" fontId="93" fillId="0" borderId="67" xfId="0" applyFont="1" applyBorder="1" applyAlignment="1">
      <alignment horizontal="center" vertical="center"/>
    </xf>
    <xf numFmtId="0" fontId="93" fillId="0" borderId="66" xfId="0" applyFont="1" applyBorder="1" applyAlignment="1">
      <alignment horizontal="left" indent="1"/>
    </xf>
    <xf numFmtId="0" fontId="96" fillId="0" borderId="66" xfId="0" applyFont="1" applyBorder="1" applyAlignment="1">
      <alignment horizontal="left" indent="1"/>
    </xf>
    <xf numFmtId="0" fontId="96" fillId="0" borderId="66" xfId="0" applyFont="1" applyBorder="1" applyAlignment="1">
      <alignment horizontal="left"/>
    </xf>
    <xf numFmtId="0" fontId="93" fillId="0" borderId="66" xfId="0" applyFont="1" applyBorder="1" applyAlignment="1">
      <alignment horizontal="left" vertical="center"/>
    </xf>
    <xf numFmtId="0" fontId="88" fillId="31" borderId="0" xfId="0" applyFont="1" applyFill="1" applyAlignment="1">
      <alignment vertical="center"/>
    </xf>
    <xf numFmtId="0" fontId="9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4" fillId="27" borderId="36" xfId="0" applyFont="1" applyFill="1" applyBorder="1" applyAlignment="1">
      <alignment horizontal="center"/>
    </xf>
    <xf numFmtId="0" fontId="34" fillId="2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0" fillId="39" borderId="0" xfId="0" applyFill="1" applyAlignment="1">
      <alignment horizontal="center"/>
    </xf>
    <xf numFmtId="0" fontId="90" fillId="10" borderId="26" xfId="0" applyFont="1" applyFill="1" applyBorder="1" applyAlignment="1">
      <alignment horizontal="center" vertical="center"/>
    </xf>
    <xf numFmtId="0" fontId="90" fillId="10" borderId="27" xfId="0" applyFont="1" applyFill="1" applyBorder="1" applyAlignment="1">
      <alignment horizontal="center" vertical="center"/>
    </xf>
    <xf numFmtId="0" fontId="90" fillId="10" borderId="28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8" fillId="27" borderId="1" xfId="0" applyFont="1" applyFill="1" applyBorder="1" applyAlignment="1">
      <alignment horizontal="center" vertical="center"/>
    </xf>
    <xf numFmtId="0" fontId="91" fillId="27" borderId="6" xfId="0" applyFont="1" applyFill="1" applyBorder="1" applyAlignment="1">
      <alignment horizontal="center" vertical="center"/>
    </xf>
    <xf numFmtId="0" fontId="91" fillId="27" borderId="11" xfId="0" applyFont="1" applyFill="1" applyBorder="1" applyAlignment="1">
      <alignment horizontal="center" vertical="center"/>
    </xf>
    <xf numFmtId="0" fontId="91" fillId="27" borderId="5" xfId="0" applyFont="1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91" fillId="31" borderId="6" xfId="0" applyFont="1" applyFill="1" applyBorder="1" applyAlignment="1">
      <alignment horizontal="right" vertical="center"/>
    </xf>
    <xf numFmtId="0" fontId="91" fillId="31" borderId="11" xfId="0" applyFont="1" applyFill="1" applyBorder="1" applyAlignment="1">
      <alignment horizontal="right" vertical="center"/>
    </xf>
    <xf numFmtId="0" fontId="91" fillId="31" borderId="5" xfId="0" applyFont="1" applyFill="1" applyBorder="1" applyAlignment="1">
      <alignment horizontal="right" vertical="center"/>
    </xf>
    <xf numFmtId="0" fontId="70" fillId="0" borderId="0" xfId="0" applyFont="1" applyAlignment="1">
      <alignment horizontal="center" vertical="center"/>
    </xf>
    <xf numFmtId="0" fontId="67" fillId="18" borderId="1" xfId="0" applyFont="1" applyFill="1" applyBorder="1" applyAlignment="1">
      <alignment horizontal="center" vertical="center"/>
    </xf>
    <xf numFmtId="0" fontId="68" fillId="2" borderId="1" xfId="0" applyFont="1" applyFill="1" applyBorder="1" applyAlignment="1">
      <alignment horizontal="center" vertical="center"/>
    </xf>
    <xf numFmtId="0" fontId="69" fillId="2" borderId="1" xfId="0" applyFont="1" applyFill="1" applyBorder="1" applyAlignment="1">
      <alignment horizontal="center" vertical="center"/>
    </xf>
    <xf numFmtId="0" fontId="75" fillId="2" borderId="1" xfId="0" applyFont="1" applyFill="1" applyBorder="1" applyAlignment="1">
      <alignment horizontal="center" vertical="center"/>
    </xf>
    <xf numFmtId="0" fontId="76" fillId="2" borderId="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6" fillId="30" borderId="1" xfId="0" applyFont="1" applyFill="1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1" fillId="17" borderId="13" xfId="2" applyFill="1" applyBorder="1" applyAlignment="1">
      <alignment horizontal="center"/>
    </xf>
    <xf numFmtId="0" fontId="31" fillId="17" borderId="17" xfId="2" applyFill="1" applyBorder="1" applyAlignment="1">
      <alignment horizontal="center"/>
    </xf>
    <xf numFmtId="0" fontId="32" fillId="17" borderId="43" xfId="2" applyFont="1" applyFill="1" applyBorder="1" applyAlignment="1">
      <alignment horizontal="center" vertical="center"/>
    </xf>
    <xf numFmtId="0" fontId="32" fillId="17" borderId="0" xfId="2" applyFont="1" applyFill="1" applyAlignment="1">
      <alignment horizontal="center" vertical="center"/>
    </xf>
    <xf numFmtId="0" fontId="31" fillId="0" borderId="0" xfId="2" applyAlignment="1">
      <alignment horizontal="center"/>
    </xf>
    <xf numFmtId="0" fontId="32" fillId="17" borderId="14" xfId="2" applyFont="1" applyFill="1" applyBorder="1" applyAlignment="1">
      <alignment horizontal="center" vertical="center"/>
    </xf>
    <xf numFmtId="0" fontId="32" fillId="17" borderId="15" xfId="2" applyFont="1" applyFill="1" applyBorder="1" applyAlignment="1">
      <alignment horizontal="center" vertical="center"/>
    </xf>
    <xf numFmtId="0" fontId="32" fillId="17" borderId="16" xfId="2" applyFont="1" applyFill="1" applyBorder="1" applyAlignment="1">
      <alignment horizontal="center" vertical="center"/>
    </xf>
    <xf numFmtId="0" fontId="43" fillId="17" borderId="14" xfId="2" applyFont="1" applyFill="1" applyBorder="1" applyAlignment="1">
      <alignment horizontal="center" vertical="center"/>
    </xf>
    <xf numFmtId="0" fontId="43" fillId="17" borderId="15" xfId="2" applyFont="1" applyFill="1" applyBorder="1" applyAlignment="1">
      <alignment horizontal="center" vertical="center"/>
    </xf>
    <xf numFmtId="0" fontId="43" fillId="17" borderId="16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5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9" fillId="30" borderId="41" xfId="0" applyFont="1" applyFill="1" applyBorder="1" applyAlignment="1">
      <alignment horizontal="center" vertical="center"/>
    </xf>
    <xf numFmtId="0" fontId="17" fillId="30" borderId="41" xfId="0" applyFont="1" applyFill="1" applyBorder="1" applyAlignment="1">
      <alignment horizontal="center" vertical="center"/>
    </xf>
    <xf numFmtId="9" fontId="40" fillId="21" borderId="41" xfId="1" applyFont="1" applyFill="1" applyBorder="1" applyAlignment="1">
      <alignment horizontal="center" vertical="center"/>
    </xf>
    <xf numFmtId="9" fontId="17" fillId="21" borderId="41" xfId="1" applyFont="1" applyFill="1" applyBorder="1" applyAlignment="1">
      <alignment horizontal="center" vertical="center"/>
    </xf>
    <xf numFmtId="0" fontId="40" fillId="14" borderId="40" xfId="0" applyFont="1" applyFill="1" applyBorder="1" applyAlignment="1">
      <alignment horizontal="center" vertical="center"/>
    </xf>
    <xf numFmtId="0" fontId="40" fillId="14" borderId="0" xfId="0" applyFont="1" applyFill="1" applyAlignment="1">
      <alignment horizontal="center" vertical="center"/>
    </xf>
    <xf numFmtId="0" fontId="32" fillId="12" borderId="40" xfId="0" applyFont="1" applyFill="1" applyBorder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1" fillId="30" borderId="41" xfId="0" applyFont="1" applyFill="1" applyBorder="1" applyAlignment="1">
      <alignment horizontal="center" vertical="center"/>
    </xf>
    <xf numFmtId="0" fontId="10" fillId="30" borderId="41" xfId="0" applyFont="1" applyFill="1" applyBorder="1" applyAlignment="1">
      <alignment horizontal="center" vertical="center"/>
    </xf>
    <xf numFmtId="0" fontId="49" fillId="14" borderId="41" xfId="0" applyFont="1" applyFill="1" applyBorder="1" applyAlignment="1">
      <alignment horizontal="center" vertical="center"/>
    </xf>
    <xf numFmtId="0" fontId="62" fillId="14" borderId="41" xfId="0" applyFont="1" applyFill="1" applyBorder="1" applyAlignment="1">
      <alignment horizontal="center" vertical="center"/>
    </xf>
    <xf numFmtId="0" fontId="49" fillId="14" borderId="46" xfId="0" applyFont="1" applyFill="1" applyBorder="1" applyAlignment="1">
      <alignment horizontal="center" vertical="center"/>
    </xf>
    <xf numFmtId="0" fontId="49" fillId="14" borderId="47" xfId="0" applyFont="1" applyFill="1" applyBorder="1" applyAlignment="1">
      <alignment horizontal="center" vertical="center"/>
    </xf>
    <xf numFmtId="0" fontId="45" fillId="2" borderId="5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3" fillId="27" borderId="1" xfId="0" applyFont="1" applyFill="1" applyBorder="1" applyAlignment="1">
      <alignment horizontal="center" vertical="center"/>
    </xf>
    <xf numFmtId="17" fontId="32" fillId="17" borderId="0" xfId="0" applyNumberFormat="1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5" borderId="25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18" fillId="12" borderId="25" xfId="0" applyFont="1" applyFill="1" applyBorder="1" applyAlignment="1">
      <alignment horizontal="center" vertical="center"/>
    </xf>
    <xf numFmtId="0" fontId="15" fillId="12" borderId="25" xfId="0" applyFont="1" applyFill="1" applyBorder="1" applyAlignment="1">
      <alignment horizontal="center" vertical="center"/>
    </xf>
    <xf numFmtId="0" fontId="13" fillId="14" borderId="24" xfId="0" applyFont="1" applyFill="1" applyBorder="1" applyAlignment="1">
      <alignment horizontal="center" vertical="center"/>
    </xf>
    <xf numFmtId="0" fontId="14" fillId="16" borderId="26" xfId="0" applyFont="1" applyFill="1" applyBorder="1" applyAlignment="1">
      <alignment horizontal="center" vertical="center"/>
    </xf>
    <xf numFmtId="0" fontId="14" fillId="16" borderId="27" xfId="0" applyFont="1" applyFill="1" applyBorder="1" applyAlignment="1">
      <alignment horizontal="center" vertical="center"/>
    </xf>
    <xf numFmtId="0" fontId="14" fillId="16" borderId="28" xfId="0" applyFont="1" applyFill="1" applyBorder="1" applyAlignment="1">
      <alignment horizontal="center" vertical="center"/>
    </xf>
    <xf numFmtId="0" fontId="14" fillId="17" borderId="26" xfId="0" applyFont="1" applyFill="1" applyBorder="1" applyAlignment="1">
      <alignment horizontal="center" vertical="center"/>
    </xf>
    <xf numFmtId="0" fontId="14" fillId="17" borderId="27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19" fillId="14" borderId="10" xfId="0" applyFont="1" applyFill="1" applyBorder="1" applyAlignment="1">
      <alignment horizontal="center" vertical="center"/>
    </xf>
    <xf numFmtId="0" fontId="13" fillId="9" borderId="24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4" fillId="5" borderId="26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4" fillId="11" borderId="26" xfId="0" applyFont="1" applyFill="1" applyBorder="1" applyAlignment="1">
      <alignment horizontal="center" vertical="center"/>
    </xf>
    <xf numFmtId="0" fontId="14" fillId="11" borderId="27" xfId="0" applyFont="1" applyFill="1" applyBorder="1" applyAlignment="1">
      <alignment horizontal="center" vertical="center"/>
    </xf>
    <xf numFmtId="0" fontId="13" fillId="10" borderId="25" xfId="0" applyFont="1" applyFill="1" applyBorder="1" applyAlignment="1">
      <alignment horizontal="center" vertical="center"/>
    </xf>
    <xf numFmtId="0" fontId="16" fillId="12" borderId="25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0" fontId="10" fillId="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3">
    <cellStyle name="Normal" xfId="0" builtinId="0"/>
    <cellStyle name="Percent" xfId="1" builtinId="5"/>
    <cellStyle name="ปกติ 2" xfId="2" xr:uid="{00000000-0005-0000-0000-000031000000}"/>
  </cellStyles>
  <dxfs count="764">
    <dxf>
      <fill>
        <patternFill patternType="solid">
          <bgColor theme="9" tint="0.39991454817346722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91454817346722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5" tint="0.59996337778862885"/>
        </patternFill>
      </fill>
    </dxf>
    <dxf>
      <font>
        <color theme="0"/>
      </font>
      <fill>
        <patternFill>
          <bgColor theme="2" tint="-0.499984740745262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rgb="FFF6A0A0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rgb="FFF6A0A0"/>
        </patternFill>
      </fill>
    </dxf>
    <dxf>
      <fill>
        <patternFill patternType="solid">
          <bgColor theme="9" tint="0.39991454817346722"/>
        </patternFill>
      </fill>
    </dxf>
    <dxf>
      <font>
        <color theme="0"/>
      </font>
      <fill>
        <patternFill>
          <bgColor theme="2" tint="-0.499984740745262"/>
        </patternFill>
      </fill>
    </dxf>
    <dxf>
      <fill>
        <patternFill patternType="solid">
          <bgColor rgb="FFFF5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FF5050"/>
        </patternFill>
      </fill>
    </dxf>
    <dxf>
      <fill>
        <patternFill patternType="solid">
          <bgColor rgb="FF70AD47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0" formatCode="General"/>
      <alignment horizontal="center" vertical="center"/>
      <border>
        <left/>
        <right/>
        <top style="thin">
          <color theme="1"/>
        </top>
        <bottom style="thin">
          <color theme="1"/>
        </bottom>
      </border>
    </dxf>
    <dxf>
      <numFmt numFmtId="169" formatCode="dd/mm/yyyy"/>
      <alignment horizontal="center" vertical="center"/>
      <border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numFmt numFmtId="169" formatCode="dd/mm/yyyy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9" formatCode="dd/mm/yyyy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0" formatCode="General"/>
      <alignment horizontal="center" vertical="center"/>
      <border>
        <left/>
        <right/>
        <top style="thin">
          <color theme="1"/>
        </top>
        <bottom style="thin">
          <color theme="1"/>
        </bottom>
      </border>
    </dxf>
    <dxf>
      <numFmt numFmtId="169" formatCode="dd/mm/yyyy"/>
      <alignment horizontal="center" vertical="center"/>
      <border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numFmt numFmtId="169" formatCode="dd/mm/yyyy"/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9" formatCode="dd/mm/yyyy"/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left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thin">
          <color theme="4" tint="-0.24994659260841701"/>
        </left>
        <right style="thin">
          <color theme="4" tint="-0.24994659260841701"/>
        </right>
      </border>
    </dxf>
    <dxf>
      <numFmt numFmtId="164" formatCode=";;;"/>
    </dxf>
    <dxf>
      <alignment vertical="center"/>
    </dxf>
    <dxf>
      <border>
        <left/>
        <right/>
        <top/>
        <bottom/>
      </border>
    </dxf>
    <dxf>
      <alignment horizontal="center"/>
    </dxf>
    <dxf>
      <alignment horizontal="center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border>
        <left/>
        <right/>
        <top/>
        <bottom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bottom/>
      </border>
    </dxf>
    <dxf>
      <border>
        <left/>
        <right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;;;"/>
    </dxf>
    <dxf>
      <numFmt numFmtId="164" formatCode=";;;"/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theme="4" tint="-0.24994659260841701"/>
        </left>
        <right style="thin">
          <color theme="4" tint="-0.24994659260841701"/>
        </right>
      </border>
    </dxf>
    <dxf>
      <numFmt numFmtId="164" formatCode=";;;"/>
    </dxf>
    <dxf>
      <numFmt numFmtId="164" formatCode=";;;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border>
        <left/>
        <right/>
        <top/>
        <bottom/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border>
        <left/>
        <right/>
        <top/>
        <bottom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bottom/>
      </border>
    </dxf>
    <dxf>
      <border>
        <left/>
        <right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;;;"/>
    </dxf>
    <dxf>
      <numFmt numFmtId="164" formatCode=";;;"/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name val="Muangthaicap Modern Medium"/>
        <family val="3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0" formatCode="General"/>
    </dxf>
    <dxf>
      <border>
        <left style="thin">
          <color theme="4" tint="-0.24994659260841701"/>
        </left>
        <right style="thin">
          <color theme="4" tint="-0.24994659260841701"/>
        </right>
      </border>
    </dxf>
    <dxf>
      <numFmt numFmtId="164" formatCode=";;;"/>
    </dxf>
    <dxf>
      <numFmt numFmtId="164" formatCode=";;;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border>
        <left/>
        <right/>
        <top/>
        <bottom/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border>
        <left/>
        <right/>
        <top/>
        <bottom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bottom/>
      </border>
    </dxf>
    <dxf>
      <border>
        <left/>
        <right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;;;"/>
    </dxf>
    <dxf>
      <numFmt numFmtId="164" formatCode=";;;"/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/>
      </fill>
    </dxf>
    <dxf>
      <border>
        <left/>
        <right/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border>
        <left style="thin">
          <color theme="4" tint="-0.24994659260841701"/>
        </left>
        <right style="thin">
          <color theme="4" tint="-0.24994659260841701"/>
        </right>
      </border>
    </dxf>
    <dxf>
      <numFmt numFmtId="164" formatCode=";;;"/>
    </dxf>
    <dxf>
      <alignment vertical="center"/>
    </dxf>
    <dxf>
      <border>
        <left/>
        <right/>
        <top/>
        <bottom/>
      </border>
    </dxf>
    <dxf>
      <alignment horizontal="center"/>
    </dxf>
    <dxf>
      <alignment horizontal="center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border>
        <left/>
        <right/>
        <top/>
        <bottom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bottom/>
      </border>
    </dxf>
    <dxf>
      <border>
        <left/>
        <right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;;;"/>
    </dxf>
    <dxf>
      <numFmt numFmtId="164" formatCode=";;;"/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2"/>
        </patternFill>
      </fill>
    </dxf>
    <dxf>
      <fill>
        <patternFill patternType="solid">
          <bgColor theme="4" tint="0.79995117038483843"/>
        </patternFill>
      </fill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name val="Muangthaicap Modern Medium"/>
        <family val="3"/>
        <scheme val="none"/>
      </font>
      <alignment horizontal="center"/>
    </dxf>
    <dxf>
      <font>
        <strike val="0"/>
        <u val="none"/>
        <name val="Muangthaicap Modern Medium"/>
        <family val="3"/>
        <scheme val="none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numFmt numFmtId="2" formatCode="0.00"/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numFmt numFmtId="2" formatCode="0.00"/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numFmt numFmtId="2" formatCode="0.00"/>
      <alignment horizontal="center"/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numFmt numFmtId="0" formatCode="General"/>
      <alignment horizontal="center"/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strike val="0"/>
        <u val="none"/>
        <name val="Muangthaicap Modern Medium"/>
        <family val="3"/>
        <scheme val="none"/>
      </font>
      <numFmt numFmtId="19" formatCode="m/d/yyyy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name val="Muangthaicap Modern Medium"/>
        <family val="3"/>
        <scheme val="none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name val="Muangthaicap Modern Medium"/>
        <family val="3"/>
        <scheme val="none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name val="Muangthaicap Modern Medium"/>
        <family val="3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color auto="1"/>
        <name val="Muangthaicap Modern Medium"/>
        <family val="3"/>
        <scheme val="none"/>
      </font>
      <alignment horizont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theme="0" tint="-4.9989318521683403E-2"/>
        </patternFill>
      </fill>
      <alignment horizontal="center"/>
      <border>
        <left/>
        <right/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charset val="222"/>
        <scheme val="none"/>
      </font>
      <fill>
        <patternFill patternType="solid">
          <bgColor theme="0" tint="-4.9989318521683403E-2"/>
        </patternFill>
      </fill>
      <alignment horizontal="center"/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charset val="222"/>
        <scheme val="none"/>
      </font>
      <fill>
        <patternFill patternType="solid">
          <bgColor theme="0" tint="-4.9989318521683403E-2"/>
        </patternFill>
      </fill>
      <alignment horizontal="center"/>
      <border outline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ahoma"/>
        <charset val="134"/>
        <scheme val="minor"/>
      </font>
      <numFmt numFmtId="0" formatCode="General"/>
      <fill>
        <patternFill patternType="solid">
          <fgColor theme="4" tint="0.79995117038483843"/>
          <bgColor theme="0" tint="-4.9989318521683403E-2"/>
        </patternFill>
      </fill>
      <alignment horizontal="center" vertical="center"/>
      <border outline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charset val="222"/>
        <scheme val="none"/>
      </font>
      <fill>
        <patternFill patternType="solid">
          <bgColor theme="0" tint="-4.9989318521683403E-2"/>
        </patternFill>
      </fill>
      <alignment horizontal="center"/>
      <border outline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scheme val="none"/>
      </font>
      <numFmt numFmtId="0" formatCode="General"/>
      <fill>
        <patternFill patternType="solid">
          <fgColor theme="4" tint="0.79995117038483843"/>
          <bgColor theme="0" tint="-4.9989318521683403E-2"/>
        </patternFill>
      </fill>
      <alignment horizontal="center" vertical="center"/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 vertical="center"/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charset val="222"/>
        <scheme val="none"/>
      </font>
      <fill>
        <patternFill patternType="solid">
          <bgColor theme="0" tint="-4.9989318521683403E-2"/>
        </patternFill>
      </fill>
      <alignment horizontal="center"/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charset val="222"/>
        <scheme val="none"/>
      </font>
      <fill>
        <patternFill patternType="solid">
          <bgColor theme="0" tint="-4.9989318521683403E-2"/>
        </patternFill>
      </fill>
      <alignment horizontal="center"/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charset val="222"/>
        <scheme val="none"/>
      </font>
      <fill>
        <patternFill patternType="solid">
          <bgColor theme="0" tint="-4.9989318521683403E-2"/>
        </patternFill>
      </fill>
      <alignment horizontal="center"/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u val="none"/>
        <sz val="11"/>
        <color theme="1"/>
        <name val="Tahoma"/>
        <family val="2"/>
        <charset val="222"/>
        <scheme val="none"/>
      </font>
      <fill>
        <patternFill patternType="solid">
          <bgColor theme="0" tint="-4.9989318521683403E-2"/>
        </patternFill>
      </fill>
      <alignment horizontal="center"/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[$-101041E]d\ mmm\ yy;@"/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[$-101041E]d\ mmm\ yy;@"/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left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[$-101041E]d\ mmm\ yy;@"/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4" formatCode="0.00%"/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$-101041E]d\ mmm\ yy;@"/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left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$-101041E]d\ mmm\ yy;@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[$-101041E]d\ mmm\ yy;@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4" formatCode="0.00%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[$-101041E]d\ mmm\ yy;@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/>
      <border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$-101041E]d\ mmm\ yy;@"/>
      <border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numFmt numFmtId="14" formatCode="0.00%"/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$-101041E]d\ mmm\ yy;@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/>
      </fill>
    </dxf>
    <dxf>
      <border>
        <left/>
        <right/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border>
        <left style="thin">
          <color theme="4" tint="-0.24994659260841701"/>
        </left>
        <right style="thin">
          <color theme="4" tint="-0.24994659260841701"/>
        </right>
      </border>
    </dxf>
    <dxf>
      <numFmt numFmtId="164" formatCode=";;;"/>
    </dxf>
    <dxf>
      <alignment vertical="center"/>
    </dxf>
    <dxf>
      <border>
        <left/>
        <right/>
        <top/>
        <bottom/>
      </border>
    </dxf>
    <dxf>
      <alignment horizontal="center"/>
    </dxf>
    <dxf>
      <alignment horizontal="center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border>
        <left/>
        <right/>
        <top/>
        <bottom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bottom/>
      </border>
    </dxf>
    <dxf>
      <border>
        <left/>
        <right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;;;"/>
    </dxf>
    <dxf>
      <numFmt numFmtId="164" formatCode=";;;"/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33CC33"/>
      <color rgb="FF00FF00"/>
      <color rgb="FF70AD47"/>
      <color rgb="FFFF5050"/>
      <color rgb="FF78B64E"/>
      <color rgb="FFFF3F3F"/>
      <color rgb="FF1C73D2"/>
      <color rgb="FF1466CA"/>
      <color rgb="FF1445E2"/>
      <color rgb="FFF5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21" Type="http://schemas.microsoft.com/office/2007/relationships/slicerCache" Target="slicerCaches/slicerCache3.xml"/><Relationship Id="rId34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microsoft.com/office/2017/06/relationships/rdRichValue" Target="richData/rdrichvalue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8164286667556"/>
          <c:y val="0.16883263885799599"/>
          <c:w val="0.80887902783338494"/>
          <c:h val="0.6227664338567849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📈กราฟรวมงานซ่อม!$E$2</c:f>
              <c:numCache>
                <c:formatCode>General</c:formatCode>
                <c:ptCount val="1"/>
                <c:pt idx="0">
                  <c:v>459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📈กราฟรวมงานซ่อม!$E$1</c15:sqref>
                        </c15:formulaRef>
                      </c:ext>
                    </c:extLst>
                    <c:strCache>
                      <c:ptCount val="1"/>
                      <c:pt idx="0">
                        <c:v>งานสะสม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C3C-4998-A5F8-9121FC69BF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57662240"/>
        <c:axId val="757662720"/>
        <c:axId val="0"/>
      </c:bar3DChart>
      <c:catAx>
        <c:axId val="757662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757662720"/>
        <c:crosses val="autoZero"/>
        <c:auto val="1"/>
        <c:lblAlgn val="ctr"/>
        <c:lblOffset val="100"/>
        <c:noMultiLvlLbl val="0"/>
      </c:catAx>
      <c:valAx>
        <c:axId val="75766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7576622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06c8ff5-a4ff-4a29-a43b-3427875f2a50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 sz="1000" b="0"/>
              <a:t>กราฟรายเดือน</a:t>
            </a:r>
          </a:p>
        </c:rich>
      </c:tx>
      <c:layout>
        <c:manualLayout>
          <c:xMode val="edge"/>
          <c:yMode val="edge"/>
          <c:x val="0.421412073490814"/>
          <c:y val="4.6511627906976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>
        <c:manualLayout>
          <c:layoutTarget val="inner"/>
          <c:xMode val="edge"/>
          <c:yMode val="edge"/>
          <c:x val="0.11695438268179401"/>
          <c:y val="0.13100595857380001"/>
          <c:w val="0.86882364505540699"/>
          <c:h val="0.605291821319153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📈กราฟรวมงานซ่อม!$B$2:$B$13</c:f>
              <c:numCache>
                <c:formatCode>General</c:formatCode>
                <c:ptCount val="12"/>
                <c:pt idx="0">
                  <c:v>102</c:v>
                </c:pt>
                <c:pt idx="1">
                  <c:v>105</c:v>
                </c:pt>
                <c:pt idx="2">
                  <c:v>51</c:v>
                </c:pt>
                <c:pt idx="3">
                  <c:v>81</c:v>
                </c:pt>
                <c:pt idx="4">
                  <c:v>120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📈กราฟรวมงานซ่อม!$B$1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📈กราฟรวมงานซ่อม!$A$2:$A$13</c15:sqref>
                        </c15:formulaRef>
                      </c:ext>
                    </c:extLst>
                    <c:strCache>
                      <c:ptCount val="12"/>
                      <c:pt idx="0">
                        <c:v>มกราคม</c:v>
                      </c:pt>
                      <c:pt idx="1">
                        <c:v>กุมภาพันธ์</c:v>
                      </c:pt>
                      <c:pt idx="2">
                        <c:v>มีนาคม</c:v>
                      </c:pt>
                      <c:pt idx="3">
                        <c:v>เมษายน</c:v>
                      </c:pt>
                      <c:pt idx="4">
                        <c:v>พฤษภาคม</c:v>
                      </c:pt>
                      <c:pt idx="5">
                        <c:v>มิถุนายน</c:v>
                      </c:pt>
                      <c:pt idx="6">
                        <c:v>กรกฎาคม</c:v>
                      </c:pt>
                      <c:pt idx="7">
                        <c:v>สิงหาคม</c:v>
                      </c:pt>
                      <c:pt idx="8">
                        <c:v>กันยายน</c:v>
                      </c:pt>
                      <c:pt idx="9">
                        <c:v>ตุลาคม</c:v>
                      </c:pt>
                      <c:pt idx="10">
                        <c:v>พฤศจิกายน</c:v>
                      </c:pt>
                      <c:pt idx="11">
                        <c:v>ธันวาคม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53-463B-8359-92BD5FEF7BBC}"/>
            </c:ext>
          </c:extLst>
        </c:ser>
        <c:ser>
          <c:idx val="1"/>
          <c:order val="1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📈กราฟรวมงานซ่อม!$C$2:$C$13</c:f>
              <c:numCache>
                <c:formatCode>General</c:formatCode>
                <c:ptCount val="12"/>
                <c:pt idx="0">
                  <c:v>102</c:v>
                </c:pt>
                <c:pt idx="1">
                  <c:v>105</c:v>
                </c:pt>
                <c:pt idx="2">
                  <c:v>51</c:v>
                </c:pt>
                <c:pt idx="3">
                  <c:v>50</c:v>
                </c:pt>
                <c:pt idx="4">
                  <c:v>82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📈กราฟรวมงานซ่อม!$C$1</c15:sqref>
                        </c15:formulaRef>
                      </c:ext>
                    </c:extLst>
                    <c:strCache>
                      <c:ptCount val="1"/>
                      <c:pt idx="0">
                        <c:v>เสร็จ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📈กราฟรวมงานซ่อม!$A$2:$A$13</c15:sqref>
                        </c15:formulaRef>
                      </c:ext>
                    </c:extLst>
                    <c:strCache>
                      <c:ptCount val="12"/>
                      <c:pt idx="0">
                        <c:v>มกราคม</c:v>
                      </c:pt>
                      <c:pt idx="1">
                        <c:v>กุมภาพันธ์</c:v>
                      </c:pt>
                      <c:pt idx="2">
                        <c:v>มีนาคม</c:v>
                      </c:pt>
                      <c:pt idx="3">
                        <c:v>เมษายน</c:v>
                      </c:pt>
                      <c:pt idx="4">
                        <c:v>พฤษภาคม</c:v>
                      </c:pt>
                      <c:pt idx="5">
                        <c:v>มิถุนายน</c:v>
                      </c:pt>
                      <c:pt idx="6">
                        <c:v>กรกฎาคม</c:v>
                      </c:pt>
                      <c:pt idx="7">
                        <c:v>สิงหาคม</c:v>
                      </c:pt>
                      <c:pt idx="8">
                        <c:v>กันยายน</c:v>
                      </c:pt>
                      <c:pt idx="9">
                        <c:v>ตุลาคม</c:v>
                      </c:pt>
                      <c:pt idx="10">
                        <c:v>พฤศจิกายน</c:v>
                      </c:pt>
                      <c:pt idx="11">
                        <c:v>ธันวาคม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53-463B-8359-92BD5FEF7B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58009584"/>
        <c:axId val="658011504"/>
      </c:barChart>
      <c:catAx>
        <c:axId val="65800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58011504"/>
        <c:crosses val="autoZero"/>
        <c:auto val="1"/>
        <c:lblAlgn val="ctr"/>
        <c:lblOffset val="100"/>
        <c:noMultiLvlLbl val="0"/>
      </c:catAx>
      <c:valAx>
        <c:axId val="6580115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580095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053e781-cca5-406b-b7ca-b8dc0e177512}"/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📈กราฟรวมงานซ่อม!$L$2:$L$14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23628</c:v>
                </c:pt>
                <c:pt idx="2" formatCode="General">
                  <c:v>360</c:v>
                </c:pt>
                <c:pt idx="3" formatCode="General">
                  <c:v>4127.57</c:v>
                </c:pt>
                <c:pt idx="4" formatCode="General">
                  <c:v>0</c:v>
                </c:pt>
                <c:pt idx="12" formatCode="General">
                  <c:v>28115.57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📈กราฟรวมงานซ่อม!$L$1</c15:sqref>
                        </c15:formulaRef>
                      </c:ext>
                    </c:extLst>
                    <c:strCache>
                      <c:ptCount val="1"/>
                      <c:pt idx="0">
                        <c:v>ค่าใช้จ่ายในการสั่งของ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📈กราฟรวมงานซ่อม!$K$2:$K$14</c15:sqref>
                        </c15:formulaRef>
                      </c:ext>
                    </c:extLst>
                    <c:strCache>
                      <c:ptCount val="13"/>
                      <c:pt idx="0">
                        <c:v>มกราคม</c:v>
                      </c:pt>
                      <c:pt idx="1">
                        <c:v>กุมภาพันธ์</c:v>
                      </c:pt>
                      <c:pt idx="2">
                        <c:v>มีนาคม</c:v>
                      </c:pt>
                      <c:pt idx="3">
                        <c:v>เมษายน</c:v>
                      </c:pt>
                      <c:pt idx="4">
                        <c:v>พฤษภาคม</c:v>
                      </c:pt>
                      <c:pt idx="5">
                        <c:v>มิถุนายน</c:v>
                      </c:pt>
                      <c:pt idx="6">
                        <c:v>กรกฎาคม</c:v>
                      </c:pt>
                      <c:pt idx="7">
                        <c:v>สิงหาคม</c:v>
                      </c:pt>
                      <c:pt idx="8">
                        <c:v>กันยายน</c:v>
                      </c:pt>
                      <c:pt idx="9">
                        <c:v>ตุลาคม</c:v>
                      </c:pt>
                      <c:pt idx="10">
                        <c:v>พฤศจิกายน</c:v>
                      </c:pt>
                      <c:pt idx="11">
                        <c:v>ธันวาคม</c:v>
                      </c:pt>
                      <c:pt idx="12">
                        <c:v>รวมค่าใช้จ่าย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F0E-426A-A4AA-02D8CDD5630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97710320"/>
        <c:axId val="1997708880"/>
      </c:barChart>
      <c:catAx>
        <c:axId val="1997710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997708880"/>
        <c:crosses val="autoZero"/>
        <c:auto val="1"/>
        <c:lblAlgn val="ctr"/>
        <c:lblOffset val="100"/>
        <c:noMultiLvlLbl val="0"/>
      </c:catAx>
      <c:valAx>
        <c:axId val="199770888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9771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f0810d3-d83b-4546-b690-092ac4e30f5b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กราฟงานรายวัน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📈กราฟรวมงานซ่อม!$L$34:$L$65</c:f>
              <c:numCache>
                <c:formatCode>General</c:formatCode>
                <c:ptCount val="32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94</c:v>
                </c:pt>
                <c:pt idx="4">
                  <c:v>87</c:v>
                </c:pt>
                <c:pt idx="5">
                  <c:v>83</c:v>
                </c:pt>
                <c:pt idx="6">
                  <c:v>83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71</c:v>
                </c:pt>
                <c:pt idx="16">
                  <c:v>70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53</c:v>
                </c:pt>
                <c:pt idx="25">
                  <c:v>50</c:v>
                </c:pt>
                <c:pt idx="26">
                  <c:v>43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  <c:pt idx="30">
                  <c:v>42</c:v>
                </c:pt>
                <c:pt idx="31">
                  <c:v>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📈กราฟรวมงานซ่อม!$L$33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📈กราฟรวมงานซ่อม!$K$34:$K$65</c15:sqref>
                        </c15:formulaRef>
                      </c:ext>
                    </c:extLst>
                    <c:strCache>
                      <c:ptCount val="3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7A9-4DE1-AA81-6E4B3624250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📈กราฟรวมงานซ่อม!$M$34:$M$65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2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📈กราฟรวมงานซ่อม!$M$33</c15:sqref>
                        </c15:formulaRef>
                      </c:ext>
                    </c:extLst>
                    <c:strCache>
                      <c:ptCount val="1"/>
                      <c:pt idx="0">
                        <c:v>งานสำเร็จ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📈กราฟรวมงานซ่อม!$K$34:$K$65</c15:sqref>
                        </c15:formulaRef>
                      </c:ext>
                    </c:extLst>
                    <c:strCache>
                      <c:ptCount val="3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7A9-4DE1-AA81-6E4B362425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62636464"/>
        <c:axId val="862637904"/>
      </c:lineChart>
      <c:catAx>
        <c:axId val="8626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62637904"/>
        <c:crosses val="autoZero"/>
        <c:auto val="1"/>
        <c:lblAlgn val="ctr"/>
        <c:lblOffset val="100"/>
        <c:noMultiLvlLbl val="0"/>
      </c:catAx>
      <c:valAx>
        <c:axId val="86263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626364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c0a0d12c-b53a-447f-bca9-9cd846f303d1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C96-4418-AFEB-3FA5379808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AC96-4418-AFEB-3FA5379808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AC96-4418-AFEB-3FA5379808C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AC96-4418-AFEB-3FA5379808C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AC96-4418-AFEB-3FA5379808C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AC96-4418-AFEB-3FA5379808C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AC96-4418-AFEB-3FA5379808C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AC96-4418-AFEB-3FA5379808C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AC96-4418-AFEB-3FA5379808C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AC96-4418-AFEB-3FA5379808C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AC96-4418-AFEB-3FA5379808C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AC96-4418-AFEB-3FA5379808C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AC96-4418-AFEB-3FA5379808C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AC96-4418-AFEB-3FA5379808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th-TH"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📈กราฟรวมงานซ่อม!$B$34:$B$40</c:f>
              <c:numCache>
                <c:formatCode>General</c:formatCode>
                <c:ptCount val="7"/>
                <c:pt idx="0">
                  <c:v>26</c:v>
                </c:pt>
                <c:pt idx="1">
                  <c:v>7</c:v>
                </c:pt>
                <c:pt idx="2">
                  <c:v>7</c:v>
                </c:pt>
                <c:pt idx="3">
                  <c:v>10</c:v>
                </c:pt>
                <c:pt idx="4">
                  <c:v>50</c:v>
                </c:pt>
                <c:pt idx="5">
                  <c:v>31</c:v>
                </c:pt>
                <c:pt idx="6">
                  <c:v>81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📈กราฟรวมงานซ่อม!$B$33</c15:sqref>
                        </c15:formulaRef>
                      </c:ext>
                    </c:extLst>
                    <c:strCache>
                      <c:ptCount val="1"/>
                      <c:pt idx="0">
                        <c:v>Tasks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📈กราฟรวมงานซ่อม!$A$34:$A$40</c15:sqref>
                        </c15:formulaRef>
                      </c:ext>
                    </c:extLst>
                    <c:strCache>
                      <c:ptCount val="7"/>
                      <c:pt idx="0">
                        <c:v>1st week </c:v>
                      </c:pt>
                      <c:pt idx="1">
                        <c:v>2nd week </c:v>
                      </c:pt>
                      <c:pt idx="2">
                        <c:v>3rd week </c:v>
                      </c:pt>
                      <c:pt idx="3">
                        <c:v>4th week</c:v>
                      </c:pt>
                      <c:pt idx="4">
                        <c:v>Finished </c:v>
                      </c:pt>
                      <c:pt idx="5">
                        <c:v>Remain </c:v>
                      </c:pt>
                      <c:pt idx="6">
                        <c:v>Total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E-AC96-4418-AFEB-3FA5379808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71a4d56-6bb8-4089-b70d-47018b1778f7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กราฟแสดงงานซ่อม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>
        <c:manualLayout>
          <c:layoutTarget val="inner"/>
          <c:xMode val="edge"/>
          <c:yMode val="edge"/>
          <c:x val="0.146215722542266"/>
          <c:y val="0.106140152790656"/>
          <c:w val="0.74154439194761301"/>
          <c:h val="0.6407618227634780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32"/>
              <c:layout>
                <c:manualLayout>
                  <c:x val="2.9223661412665199E-2"/>
                  <c:y val="-1.3914877539262901E-2"/>
                </c:manualLayout>
              </c:layout>
              <c:spPr>
                <a:solidFill>
                  <a:srgbClr val="00B0F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6775146197956301E-2"/>
                      <c:h val="4.5564698240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F3-42D4-9F6A-5F66B127B0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0" cap="flat" cmpd="sng" algn="ctr">
                      <a:solidFill>
                        <a:schemeClr val="accent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📈กราฟรวมงานซ่อม!$L$34:$L$66</c:f>
              <c:numCache>
                <c:formatCode>General</c:formatCode>
                <c:ptCount val="33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94</c:v>
                </c:pt>
                <c:pt idx="4">
                  <c:v>87</c:v>
                </c:pt>
                <c:pt idx="5">
                  <c:v>83</c:v>
                </c:pt>
                <c:pt idx="6">
                  <c:v>83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71</c:v>
                </c:pt>
                <c:pt idx="16">
                  <c:v>70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53</c:v>
                </c:pt>
                <c:pt idx="25">
                  <c:v>50</c:v>
                </c:pt>
                <c:pt idx="26">
                  <c:v>43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  <c:pt idx="30">
                  <c:v>42</c:v>
                </c:pt>
                <c:pt idx="31">
                  <c:v>42</c:v>
                </c:pt>
                <c:pt idx="32">
                  <c:v>61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📈กราฟรวมงานซ่อม!$L$33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EF3-42D4-9F6A-5F66B127B086}"/>
            </c:ext>
          </c:extLst>
        </c:ser>
        <c:ser>
          <c:idx val="1"/>
          <c:order val="1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6"/>
                </a:solidFill>
              </a:ln>
              <a:effectLst/>
            </c:spPr>
          </c:marker>
          <c:dLbls>
            <c:dLbl>
              <c:idx val="31"/>
              <c:layout>
                <c:manualLayout>
                  <c:x val="5.30885319218267E-2"/>
                  <c:y val="-2.5315427962254E-2"/>
                </c:manualLayout>
              </c:layout>
              <c:spPr>
                <a:solidFill>
                  <a:srgbClr val="92D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605612515305197E-2"/>
                      <c:h val="4.809817605556260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F3-42D4-9F6A-5F66B127B0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0" cap="flat" cmpd="sng" algn="ctr">
                      <a:solidFill>
                        <a:srgbClr val="92D05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📈กราฟรวมงานซ่อม!$M$34:$M$66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2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📈กราฟรวมงานซ่อม!$M$33</c15:sqref>
                        </c15:formulaRef>
                      </c:ext>
                    </c:extLst>
                    <c:strCache>
                      <c:ptCount val="1"/>
                      <c:pt idx="0">
                        <c:v>งานสำเร็จ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8EF3-42D4-9F6A-5F66B127B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513968"/>
        <c:axId val="1841521168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36246715270485E-2"/>
                      <c:h val="2.529687572313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F3-42D4-9F6A-5F66B127B086}"/>
                </c:ext>
              </c:extLst>
            </c:dLbl>
            <c:dLbl>
              <c:idx val="31"/>
              <c:layout>
                <c:manualLayout>
                  <c:x val="5.3630915342489503E-2"/>
                  <c:y val="-1.8981833168690499E-2"/>
                </c:manualLayout>
              </c:layout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3520845673979701E-2"/>
                      <c:h val="4.5564698240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F3-42D4-9F6A-5F66B127B0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575" cap="flat" cmpd="sng" algn="ctr">
                      <a:solidFill>
                        <a:srgbClr val="FF000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📈กราฟรวมงานซ่อม!$N$34:$N$66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📈กราฟรวมงานซ่อม!$N$33</c15:sqref>
                        </c15:formulaRef>
                      </c:ext>
                    </c:extLst>
                    <c:strCache>
                      <c:ptCount val="1"/>
                      <c:pt idx="0">
                        <c:v>แก้ไขงานแจ้งซ่อม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8EF3-42D4-9F6A-5F66B127B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449168"/>
        <c:axId val="1841454928"/>
      </c:lineChart>
      <c:catAx>
        <c:axId val="184151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521168"/>
        <c:crosses val="autoZero"/>
        <c:auto val="1"/>
        <c:lblAlgn val="ctr"/>
        <c:lblOffset val="100"/>
        <c:noMultiLvlLbl val="0"/>
      </c:catAx>
      <c:valAx>
        <c:axId val="184152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513968"/>
        <c:crosses val="autoZero"/>
        <c:crossBetween val="between"/>
      </c:valAx>
      <c:catAx>
        <c:axId val="1841449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1454928"/>
        <c:crosses val="autoZero"/>
        <c:auto val="1"/>
        <c:lblAlgn val="ctr"/>
        <c:lblOffset val="100"/>
        <c:noMultiLvlLbl val="0"/>
      </c:catAx>
      <c:valAx>
        <c:axId val="1841454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449168"/>
        <c:crosses val="max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93d17a6-4cda-4672-8e78-423dfd00d377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CB95-45C7-A669-86E57C64945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CB95-45C7-A669-86E57C64945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CB95-45C7-A669-86E57C64945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CB95-45C7-A669-86E57C64945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CB95-45C7-A669-86E57C64945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CB95-45C7-A669-86E57C64945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CB95-45C7-A669-86E57C64945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B95-45C7-A669-86E57C64945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B95-45C7-A669-86E57C64945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B95-45C7-A669-86E57C649459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B95-45C7-A669-86E57C649459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B95-45C7-A669-86E57C649459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CB95-45C7-A669-86E57C649459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CB95-45C7-A669-86E57C6494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th-TH"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📈กราฟรวมงานซ่อม!$B$34:$B$40</c:f>
              <c:numCache>
                <c:formatCode>General</c:formatCode>
                <c:ptCount val="7"/>
                <c:pt idx="0">
                  <c:v>26</c:v>
                </c:pt>
                <c:pt idx="1">
                  <c:v>7</c:v>
                </c:pt>
                <c:pt idx="2">
                  <c:v>7</c:v>
                </c:pt>
                <c:pt idx="3">
                  <c:v>10</c:v>
                </c:pt>
                <c:pt idx="4">
                  <c:v>50</c:v>
                </c:pt>
                <c:pt idx="5">
                  <c:v>31</c:v>
                </c:pt>
                <c:pt idx="6">
                  <c:v>81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📈กราฟรวมงานซ่อม!$B$33</c15:sqref>
                        </c15:formulaRef>
                      </c:ext>
                    </c:extLst>
                    <c:strCache>
                      <c:ptCount val="1"/>
                      <c:pt idx="0">
                        <c:v>Tasks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📈กราฟรวมงานซ่อม!$A$34:$A$40</c15:sqref>
                        </c15:formulaRef>
                      </c:ext>
                    </c:extLst>
                    <c:strCache>
                      <c:ptCount val="7"/>
                      <c:pt idx="0">
                        <c:v>1st week </c:v>
                      </c:pt>
                      <c:pt idx="1">
                        <c:v>2nd week </c:v>
                      </c:pt>
                      <c:pt idx="2">
                        <c:v>3rd week </c:v>
                      </c:pt>
                      <c:pt idx="3">
                        <c:v>4th week</c:v>
                      </c:pt>
                      <c:pt idx="4">
                        <c:v>Finished </c:v>
                      </c:pt>
                      <c:pt idx="5">
                        <c:v>Remain </c:v>
                      </c:pt>
                      <c:pt idx="6">
                        <c:v>Total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E-CB95-45C7-A669-86E57C6494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8fe24e1-9572-4053-ae8c-bbf84b8e8dc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การฟแสดงงานตามแผน/งานแจ้งซ่อม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FA3-4BC8-A153-B5DD0DC4B919}"/>
              </c:ext>
            </c:extLst>
          </c:dPt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FA3-4BC8-A153-B5DD0DC4B919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FA3-4BC8-A153-B5DD0DC4B919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FA3-4BC8-A153-B5DD0DC4B919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FA3-4BC8-A153-B5DD0DC4B919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FA3-4BC8-A153-B5DD0DC4B9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📈กราฟรวมงานซ่อม!$O$16:$U$16</c:f>
              <c:numCache>
                <c:formatCode>General</c:formatCode>
                <c:ptCount val="7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📈กราฟรวมงานซ่อม!$O$15:$U$15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C-7FA3-4BC8-A153-B5DD0DC4B9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04314768"/>
        <c:axId val="804338768"/>
        <c:axId val="0"/>
      </c:bar3DChart>
      <c:catAx>
        <c:axId val="80431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04338768"/>
        <c:crosses val="autoZero"/>
        <c:auto val="1"/>
        <c:lblAlgn val="ctr"/>
        <c:lblOffset val="100"/>
        <c:noMultiLvlLbl val="0"/>
      </c:catAx>
      <c:valAx>
        <c:axId val="80433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0431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401ddaf1-fb6b-4c3e-a70a-2de9c8c9b12a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กราฟงานรายวัน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📈กราฟรวมงานซ่อม!$L$34:$L$65</c:f>
              <c:numCache>
                <c:formatCode>General</c:formatCode>
                <c:ptCount val="32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94</c:v>
                </c:pt>
                <c:pt idx="4">
                  <c:v>87</c:v>
                </c:pt>
                <c:pt idx="5">
                  <c:v>83</c:v>
                </c:pt>
                <c:pt idx="6">
                  <c:v>83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71</c:v>
                </c:pt>
                <c:pt idx="16">
                  <c:v>70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53</c:v>
                </c:pt>
                <c:pt idx="25">
                  <c:v>50</c:v>
                </c:pt>
                <c:pt idx="26">
                  <c:v>43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  <c:pt idx="30">
                  <c:v>42</c:v>
                </c:pt>
                <c:pt idx="31">
                  <c:v>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📈กราฟรวมงานซ่อม!$L$33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📈กราฟรวมงานซ่อม!$K$34:$K$65</c15:sqref>
                        </c15:formulaRef>
                      </c:ext>
                    </c:extLst>
                    <c:strCache>
                      <c:ptCount val="3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56D-4557-88AA-13D1A976EF7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📈กราฟรวมงานซ่อม!$M$34:$M$65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2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📈กราฟรวมงานซ่อม!$M$33</c15:sqref>
                        </c15:formulaRef>
                      </c:ext>
                    </c:extLst>
                    <c:strCache>
                      <c:ptCount val="1"/>
                      <c:pt idx="0">
                        <c:v>งานสำเร็จ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📈กราฟรวมงานซ่อม!$K$34:$K$65</c15:sqref>
                        </c15:formulaRef>
                      </c:ext>
                    </c:extLst>
                    <c:strCache>
                      <c:ptCount val="3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56D-4557-88AA-13D1A976EF7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62636464"/>
        <c:axId val="862637904"/>
      </c:lineChart>
      <c:catAx>
        <c:axId val="8626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62637904"/>
        <c:crosses val="autoZero"/>
        <c:auto val="1"/>
        <c:lblAlgn val="ctr"/>
        <c:lblOffset val="100"/>
        <c:noMultiLvlLbl val="0"/>
      </c:catAx>
      <c:valAx>
        <c:axId val="86263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626364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4a086f81-a4d6-465d-9c27-08d8620b16e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กราฟแสดงงานซ่อม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>
        <c:manualLayout>
          <c:layoutTarget val="inner"/>
          <c:xMode val="edge"/>
          <c:yMode val="edge"/>
          <c:x val="0.146215722542266"/>
          <c:y val="0.106140152790656"/>
          <c:w val="0.74154439194761301"/>
          <c:h val="0.6407618227634780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32"/>
              <c:layout>
                <c:manualLayout>
                  <c:x val="2.9223661412665199E-2"/>
                  <c:y val="-1.3914877539262901E-2"/>
                </c:manualLayout>
              </c:layout>
              <c:spPr>
                <a:solidFill>
                  <a:srgbClr val="00B0F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6775146197956301E-2"/>
                      <c:h val="4.5564698240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0F2-42A1-9B9B-611A185617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0" cap="flat" cmpd="sng" algn="ctr">
                      <a:solidFill>
                        <a:schemeClr val="accent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📈กราฟรวมงานซ่อม!$L$34:$L$66</c:f>
              <c:numCache>
                <c:formatCode>General</c:formatCode>
                <c:ptCount val="33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94</c:v>
                </c:pt>
                <c:pt idx="4">
                  <c:v>87</c:v>
                </c:pt>
                <c:pt idx="5">
                  <c:v>83</c:v>
                </c:pt>
                <c:pt idx="6">
                  <c:v>83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71</c:v>
                </c:pt>
                <c:pt idx="16">
                  <c:v>70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53</c:v>
                </c:pt>
                <c:pt idx="25">
                  <c:v>50</c:v>
                </c:pt>
                <c:pt idx="26">
                  <c:v>43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  <c:pt idx="30">
                  <c:v>42</c:v>
                </c:pt>
                <c:pt idx="31">
                  <c:v>42</c:v>
                </c:pt>
                <c:pt idx="32">
                  <c:v>61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📈กราฟรวมงานซ่อม!$L$33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F2-42A1-9B9B-611A185617E9}"/>
            </c:ext>
          </c:extLst>
        </c:ser>
        <c:ser>
          <c:idx val="1"/>
          <c:order val="1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6"/>
                </a:solidFill>
              </a:ln>
              <a:effectLst/>
            </c:spPr>
          </c:marker>
          <c:dLbls>
            <c:dLbl>
              <c:idx val="31"/>
              <c:layout>
                <c:manualLayout>
                  <c:x val="5.30885319218267E-2"/>
                  <c:y val="-2.5315427962254E-2"/>
                </c:manualLayout>
              </c:layout>
              <c:spPr>
                <a:solidFill>
                  <a:srgbClr val="92D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605612515305197E-2"/>
                      <c:h val="4.809817605556260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0F2-42A1-9B9B-611A185617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0" cap="flat" cmpd="sng" algn="ctr">
                      <a:solidFill>
                        <a:srgbClr val="92D05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📈กราฟรวมงานซ่อม!$M$34:$M$66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2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📈กราฟรวมงานซ่อม!$M$33</c15:sqref>
                        </c15:formulaRef>
                      </c:ext>
                    </c:extLst>
                    <c:strCache>
                      <c:ptCount val="1"/>
                      <c:pt idx="0">
                        <c:v>งานสำเร็จ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0F2-42A1-9B9B-611A185617E9}"/>
            </c:ext>
          </c:extLst>
        </c:ser>
        <c:ser>
          <c:idx val="2"/>
          <c:order val="2"/>
          <c:spPr>
            <a:ln w="28575" cap="rnd">
              <a:solidFill>
                <a:srgbClr val="FFC000">
                  <a:alpha val="95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36246715270485E-2"/>
                      <c:h val="2.529687572313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0F2-42A1-9B9B-611A185617E9}"/>
                </c:ext>
              </c:extLst>
            </c:dLbl>
            <c:dLbl>
              <c:idx val="31"/>
              <c:layout>
                <c:manualLayout>
                  <c:x val="5.3630915342489503E-2"/>
                  <c:y val="-1.8981833168690499E-2"/>
                </c:manualLayout>
              </c:layout>
              <c:spPr>
                <a:solidFill>
                  <a:srgbClr val="FFC000">
                    <a:alpha val="93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3520845673979701E-2"/>
                      <c:h val="4.5564698240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0F2-42A1-9B9B-611A185617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575" cap="flat" cmpd="sng" algn="ctr">
                      <a:solidFill>
                        <a:srgbClr val="FFC00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📈กราฟรวมงานซ่อม!$N$34:$N$66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📈กราฟรวมงานซ่อม!$N$33</c15:sqref>
                        </c15:formulaRef>
                      </c:ext>
                    </c:extLst>
                    <c:strCache>
                      <c:ptCount val="1"/>
                      <c:pt idx="0">
                        <c:v>แก้ไขงานแจ้งซ่อม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7-20F2-42A1-9B9B-611A18561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513968"/>
        <c:axId val="1841521168"/>
      </c:lineChart>
      <c:catAx>
        <c:axId val="184151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521168"/>
        <c:crosses val="autoZero"/>
        <c:auto val="1"/>
        <c:lblAlgn val="ctr"/>
        <c:lblOffset val="100"/>
        <c:noMultiLvlLbl val="0"/>
      </c:catAx>
      <c:valAx>
        <c:axId val="184152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5139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84e17f36-6206-4eee-a056-2823201658c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กราฟแสดงงานซ่อม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>
        <c:manualLayout>
          <c:layoutTarget val="inner"/>
          <c:xMode val="edge"/>
          <c:yMode val="edge"/>
          <c:x val="0.146215722542266"/>
          <c:y val="0.106140152790656"/>
          <c:w val="0.74154439194761301"/>
          <c:h val="0.6407618227634780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32"/>
              <c:layout>
                <c:manualLayout>
                  <c:x val="2.9223661412665199E-2"/>
                  <c:y val="-1.3914877539262901E-2"/>
                </c:manualLayout>
              </c:layout>
              <c:spPr>
                <a:solidFill>
                  <a:srgbClr val="00B0F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6775146197956301E-2"/>
                      <c:h val="4.5564698240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7A3-46E9-8364-81097A543C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0" cap="flat" cmpd="sng" algn="ctr">
                      <a:solidFill>
                        <a:schemeClr val="accent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📈กราฟรวมงานซ่อม!$L$34:$L$66</c:f>
              <c:numCache>
                <c:formatCode>General</c:formatCode>
                <c:ptCount val="33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94</c:v>
                </c:pt>
                <c:pt idx="4">
                  <c:v>87</c:v>
                </c:pt>
                <c:pt idx="5">
                  <c:v>83</c:v>
                </c:pt>
                <c:pt idx="6">
                  <c:v>83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71</c:v>
                </c:pt>
                <c:pt idx="16">
                  <c:v>70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53</c:v>
                </c:pt>
                <c:pt idx="25">
                  <c:v>50</c:v>
                </c:pt>
                <c:pt idx="26">
                  <c:v>43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  <c:pt idx="30">
                  <c:v>42</c:v>
                </c:pt>
                <c:pt idx="31">
                  <c:v>42</c:v>
                </c:pt>
                <c:pt idx="32">
                  <c:v>61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📈กราฟรวมงานซ่อม!$L$33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7A3-46E9-8364-81097A543C4C}"/>
            </c:ext>
          </c:extLst>
        </c:ser>
        <c:ser>
          <c:idx val="1"/>
          <c:order val="1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6"/>
                </a:solidFill>
              </a:ln>
              <a:effectLst/>
            </c:spPr>
          </c:marker>
          <c:dLbls>
            <c:dLbl>
              <c:idx val="31"/>
              <c:layout>
                <c:manualLayout>
                  <c:x val="5.30885319218267E-2"/>
                  <c:y val="-2.5315427962254E-2"/>
                </c:manualLayout>
              </c:layout>
              <c:spPr>
                <a:solidFill>
                  <a:srgbClr val="92D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605612515305197E-2"/>
                      <c:h val="4.809817605556260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A3-46E9-8364-81097A543C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0" cap="flat" cmpd="sng" algn="ctr">
                      <a:solidFill>
                        <a:srgbClr val="92D05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📈กราฟรวมงานซ่อม!$M$34:$M$66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2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📈กราฟรวมงานซ่อม!$M$33</c15:sqref>
                        </c15:formulaRef>
                      </c:ext>
                    </c:extLst>
                    <c:strCache>
                      <c:ptCount val="1"/>
                      <c:pt idx="0">
                        <c:v>งานสำเร็จ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C7A3-46E9-8364-81097A543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513968"/>
        <c:axId val="1841521168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36246715270485E-2"/>
                      <c:h val="2.529687572313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A3-46E9-8364-81097A543C4C}"/>
                </c:ext>
              </c:extLst>
            </c:dLbl>
            <c:dLbl>
              <c:idx val="31"/>
              <c:layout>
                <c:manualLayout>
                  <c:x val="5.3630915342489503E-2"/>
                  <c:y val="-1.8981833168690499E-2"/>
                </c:manualLayout>
              </c:layout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3520845673979701E-2"/>
                      <c:h val="4.5564698240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7A3-46E9-8364-81097A543C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575" cap="flat" cmpd="sng" algn="ctr">
                      <a:solidFill>
                        <a:srgbClr val="FF000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📈กราฟรวมงานซ่อม!$N$34:$N$66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📈กราฟรวมงานซ่อม!$N$33</c15:sqref>
                        </c15:formulaRef>
                      </c:ext>
                    </c:extLst>
                    <c:strCache>
                      <c:ptCount val="1"/>
                      <c:pt idx="0">
                        <c:v>แก้ไขงานแจ้งซ่อม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📈กราฟรวมงานซ่อม!$K$34:$K$66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C7A3-46E9-8364-81097A543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449168"/>
        <c:axId val="1841454928"/>
      </c:lineChart>
      <c:catAx>
        <c:axId val="184151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521168"/>
        <c:crosses val="autoZero"/>
        <c:auto val="1"/>
        <c:lblAlgn val="ctr"/>
        <c:lblOffset val="100"/>
        <c:noMultiLvlLbl val="0"/>
      </c:catAx>
      <c:valAx>
        <c:axId val="184152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513968"/>
        <c:crosses val="autoZero"/>
        <c:crossBetween val="between"/>
      </c:valAx>
      <c:catAx>
        <c:axId val="1841449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1454928"/>
        <c:crosses val="autoZero"/>
        <c:auto val="1"/>
        <c:lblAlgn val="ctr"/>
        <c:lblOffset val="100"/>
        <c:noMultiLvlLbl val="0"/>
      </c:catAx>
      <c:valAx>
        <c:axId val="1841454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449168"/>
        <c:crosses val="max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7f69700-9523-44be-93dc-bd5a7b0a751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svg"/><Relationship Id="rId7" Type="http://schemas.openxmlformats.org/officeDocument/2006/relationships/image" Target="../media/image9.sv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svg"/><Relationship Id="rId5" Type="http://schemas.openxmlformats.org/officeDocument/2006/relationships/image" Target="../media/image7.sv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svg"/><Relationship Id="rId7" Type="http://schemas.openxmlformats.org/officeDocument/2006/relationships/image" Target="../media/image9.sv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svg"/><Relationship Id="rId5" Type="http://schemas.openxmlformats.org/officeDocument/2006/relationships/image" Target="../media/image7.sv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jpeg"/><Relationship Id="rId1" Type="http://schemas.openxmlformats.org/officeDocument/2006/relationships/image" Target="../media/image14.jpeg"/><Relationship Id="rId4" Type="http://schemas.openxmlformats.org/officeDocument/2006/relationships/image" Target="../media/image17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jpeg"/><Relationship Id="rId13" Type="http://schemas.openxmlformats.org/officeDocument/2006/relationships/image" Target="../media/image30.jpeg"/><Relationship Id="rId3" Type="http://schemas.openxmlformats.org/officeDocument/2006/relationships/image" Target="../media/image20.jpeg"/><Relationship Id="rId7" Type="http://schemas.openxmlformats.org/officeDocument/2006/relationships/image" Target="../media/image24.jpeg"/><Relationship Id="rId12" Type="http://schemas.openxmlformats.org/officeDocument/2006/relationships/image" Target="../media/image29.jpeg"/><Relationship Id="rId2" Type="http://schemas.openxmlformats.org/officeDocument/2006/relationships/image" Target="../media/image19.jpeg"/><Relationship Id="rId1" Type="http://schemas.openxmlformats.org/officeDocument/2006/relationships/image" Target="../media/image18.jpeg"/><Relationship Id="rId6" Type="http://schemas.openxmlformats.org/officeDocument/2006/relationships/image" Target="../media/image23.jpeg"/><Relationship Id="rId11" Type="http://schemas.openxmlformats.org/officeDocument/2006/relationships/image" Target="../media/image28.jpeg"/><Relationship Id="rId5" Type="http://schemas.openxmlformats.org/officeDocument/2006/relationships/image" Target="../media/image22.jpeg"/><Relationship Id="rId10" Type="http://schemas.openxmlformats.org/officeDocument/2006/relationships/image" Target="../media/image27.jpeg"/><Relationship Id="rId4" Type="http://schemas.openxmlformats.org/officeDocument/2006/relationships/image" Target="../media/image21.jpeg"/><Relationship Id="rId9" Type="http://schemas.openxmlformats.org/officeDocument/2006/relationships/image" Target="../media/image26.jpeg"/><Relationship Id="rId14" Type="http://schemas.openxmlformats.org/officeDocument/2006/relationships/image" Target="../media/image3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903515</xdr:colOff>
      <xdr:row>0</xdr:row>
      <xdr:rowOff>87087</xdr:rowOff>
    </xdr:from>
    <xdr:ext cx="391886" cy="391886"/>
    <xdr:pic>
      <xdr:nvPicPr>
        <xdr:cNvPr id="2" name="กราฟิก 1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0310" y="86995"/>
          <a:ext cx="392430" cy="391795"/>
        </a:xfrm>
        <a:prstGeom prst="rect">
          <a:avLst/>
        </a:prstGeom>
      </xdr:spPr>
    </xdr:pic>
    <xdr:clientData/>
  </xdr:oneCellAnchor>
  <xdr:oneCellAnchor>
    <xdr:from>
      <xdr:col>2</xdr:col>
      <xdr:colOff>195942</xdr:colOff>
      <xdr:row>22</xdr:row>
      <xdr:rowOff>87085</xdr:rowOff>
    </xdr:from>
    <xdr:ext cx="391886" cy="391886"/>
    <xdr:pic>
      <xdr:nvPicPr>
        <xdr:cNvPr id="3" name="กราฟิก 2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5920" y="7373620"/>
          <a:ext cx="391795" cy="391795"/>
        </a:xfrm>
        <a:prstGeom prst="rect">
          <a:avLst/>
        </a:prstGeom>
      </xdr:spPr>
    </xdr:pic>
    <xdr:clientData/>
  </xdr:oneCellAnchor>
  <xdr:oneCellAnchor>
    <xdr:from>
      <xdr:col>2</xdr:col>
      <xdr:colOff>195942</xdr:colOff>
      <xdr:row>46</xdr:row>
      <xdr:rowOff>87085</xdr:rowOff>
    </xdr:from>
    <xdr:ext cx="391886" cy="391886"/>
    <xdr:pic>
      <xdr:nvPicPr>
        <xdr:cNvPr id="4" name="กราฟิก 3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5920" y="14860270"/>
          <a:ext cx="391795" cy="391795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68</xdr:row>
      <xdr:rowOff>0</xdr:rowOff>
    </xdr:from>
    <xdr:ext cx="391886" cy="391886"/>
    <xdr:pic>
      <xdr:nvPicPr>
        <xdr:cNvPr id="5" name="กราฟิก 4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7200CAF7-9BAF-4210-9E87-368519EEC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76202" y="0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370971</xdr:colOff>
      <xdr:row>89</xdr:row>
      <xdr:rowOff>184727</xdr:rowOff>
    </xdr:from>
    <xdr:ext cx="391886" cy="391886"/>
    <xdr:pic>
      <xdr:nvPicPr>
        <xdr:cNvPr id="6" name="กราฟิก 5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B751D0BC-8F1C-479A-9678-19F4A236D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95698" y="25746363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112</xdr:row>
      <xdr:rowOff>0</xdr:rowOff>
    </xdr:from>
    <xdr:ext cx="391886" cy="391886"/>
    <xdr:pic>
      <xdr:nvPicPr>
        <xdr:cNvPr id="7" name="กราฟิก 6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6A40446B-B30F-4D4B-808F-B7B785D9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76202" y="8374380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134</xdr:row>
      <xdr:rowOff>0</xdr:rowOff>
    </xdr:from>
    <xdr:ext cx="391886" cy="391886"/>
    <xdr:pic>
      <xdr:nvPicPr>
        <xdr:cNvPr id="8" name="กราฟิก 7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F47A9875-A3FC-4831-997E-6B24844A9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76202" y="12496800"/>
          <a:ext cx="391886" cy="39188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165595</xdr:rowOff>
    </xdr:from>
    <xdr:ext cx="443345" cy="4273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5100"/>
          <a:ext cx="443230" cy="427355"/>
        </a:xfrm>
        <a:prstGeom prst="rect">
          <a:avLst/>
        </a:prstGeom>
      </xdr:spPr>
    </xdr:pic>
    <xdr:clientData/>
  </xdr:oneCellAnchor>
  <xdr:oneCellAnchor>
    <xdr:from>
      <xdr:col>0</xdr:col>
      <xdr:colOff>8965</xdr:colOff>
      <xdr:row>25</xdr:row>
      <xdr:rowOff>174560</xdr:rowOff>
    </xdr:from>
    <xdr:ext cx="443948" cy="426708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" y="4966970"/>
          <a:ext cx="443865" cy="426720"/>
        </a:xfrm>
        <a:prstGeom prst="rect">
          <a:avLst/>
        </a:prstGeom>
      </xdr:spPr>
    </xdr:pic>
    <xdr:clientData/>
  </xdr:oneCellAnchor>
  <xdr:oneCellAnchor>
    <xdr:from>
      <xdr:col>0</xdr:col>
      <xdr:colOff>35858</xdr:colOff>
      <xdr:row>78</xdr:row>
      <xdr:rowOff>174561</xdr:rowOff>
    </xdr:from>
    <xdr:ext cx="443948" cy="426708"/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60" y="14810105"/>
          <a:ext cx="443865" cy="426720"/>
        </a:xfrm>
        <a:prstGeom prst="rect">
          <a:avLst/>
        </a:prstGeom>
      </xdr:spPr>
    </xdr:pic>
    <xdr:clientData/>
  </xdr:oneCellAnchor>
  <xdr:oneCellAnchor>
    <xdr:from>
      <xdr:col>0</xdr:col>
      <xdr:colOff>35858</xdr:colOff>
      <xdr:row>129</xdr:row>
      <xdr:rowOff>174561</xdr:rowOff>
    </xdr:from>
    <xdr:ext cx="443948" cy="426708"/>
    <xdr:pic>
      <xdr:nvPicPr>
        <xdr:cNvPr id="8" name="Picture 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60" y="24302720"/>
          <a:ext cx="443865" cy="42672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255045</xdr:colOff>
      <xdr:row>0</xdr:row>
      <xdr:rowOff>76200</xdr:rowOff>
    </xdr:from>
    <xdr:ext cx="443948" cy="42670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635" y="76200"/>
          <a:ext cx="443865" cy="426085"/>
        </a:xfrm>
        <a:prstGeom prst="rect">
          <a:avLst/>
        </a:prstGeom>
      </xdr:spPr>
    </xdr:pic>
    <xdr:clientData/>
  </xdr:oneCellAnchor>
  <xdr:oneCellAnchor>
    <xdr:from>
      <xdr:col>4</xdr:col>
      <xdr:colOff>685800</xdr:colOff>
      <xdr:row>0</xdr:row>
      <xdr:rowOff>53340</xdr:rowOff>
    </xdr:from>
    <xdr:ext cx="480060" cy="480060"/>
    <xdr:pic>
      <xdr:nvPicPr>
        <xdr:cNvPr id="3" name="กราฟิก 2" descr="เครื่องมือ ด้วยสีเติมแบบทึบ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783580" y="53340"/>
          <a:ext cx="480060" cy="480060"/>
        </a:xfrm>
        <a:prstGeom prst="rect">
          <a:avLst/>
        </a:prstGeom>
      </xdr:spPr>
    </xdr:pic>
    <xdr:clientData/>
  </xdr:oneCellAnchor>
  <xdr:oneCellAnchor>
    <xdr:from>
      <xdr:col>0</xdr:col>
      <xdr:colOff>304800</xdr:colOff>
      <xdr:row>1</xdr:row>
      <xdr:rowOff>22860</xdr:rowOff>
    </xdr:from>
    <xdr:ext cx="457200" cy="457200"/>
    <xdr:pic>
      <xdr:nvPicPr>
        <xdr:cNvPr id="4" name="กราฟิก 3" descr="บ้าน ด้วยสีเติมแบบทึบ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04800" y="657225"/>
          <a:ext cx="457200" cy="457200"/>
        </a:xfrm>
        <a:prstGeom prst="rect">
          <a:avLst/>
        </a:prstGeom>
      </xdr:spPr>
    </xdr:pic>
    <xdr:clientData/>
  </xdr:oneCellAnchor>
  <xdr:oneCellAnchor>
    <xdr:from>
      <xdr:col>2</xdr:col>
      <xdr:colOff>929640</xdr:colOff>
      <xdr:row>1</xdr:row>
      <xdr:rowOff>76200</xdr:rowOff>
    </xdr:from>
    <xdr:ext cx="472440" cy="472440"/>
    <xdr:pic>
      <xdr:nvPicPr>
        <xdr:cNvPr id="5" name="กราฟิก 4" descr="ริบบิ้น ด้วยสีเติมแบบทึบ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73780" y="710565"/>
          <a:ext cx="472440" cy="472440"/>
        </a:xfrm>
        <a:prstGeom prst="rect">
          <a:avLst/>
        </a:prstGeom>
      </xdr:spPr>
    </xdr:pic>
    <xdr:clientData/>
  </xdr:oneCellAnchor>
  <xdr:oneCellAnchor>
    <xdr:from>
      <xdr:col>5</xdr:col>
      <xdr:colOff>449580</xdr:colOff>
      <xdr:row>1</xdr:row>
      <xdr:rowOff>45720</xdr:rowOff>
    </xdr:from>
    <xdr:ext cx="541020" cy="541020"/>
    <xdr:pic>
      <xdr:nvPicPr>
        <xdr:cNvPr id="6" name="กราฟิก 5" descr="ศีรษะมีฟันเฟือง ด้วยสีเติมแบบทึบ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774180" y="680085"/>
          <a:ext cx="541020" cy="541020"/>
        </a:xfrm>
        <a:prstGeom prst="rect">
          <a:avLst/>
        </a:prstGeom>
      </xdr:spPr>
    </xdr:pic>
    <xdr:clientData/>
  </xdr:oneCellAnchor>
  <xdr:oneCellAnchor>
    <xdr:from>
      <xdr:col>7</xdr:col>
      <xdr:colOff>480060</xdr:colOff>
      <xdr:row>1</xdr:row>
      <xdr:rowOff>60960</xdr:rowOff>
    </xdr:from>
    <xdr:ext cx="525780" cy="525780"/>
    <xdr:pic>
      <xdr:nvPicPr>
        <xdr:cNvPr id="7" name="กราฟิก 6" descr="นาฬิกา ด้วยสีเติมแบบทึบ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660380" y="695325"/>
          <a:ext cx="525780" cy="52578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804454</xdr:colOff>
      <xdr:row>0</xdr:row>
      <xdr:rowOff>113647</xdr:rowOff>
    </xdr:from>
    <xdr:to>
      <xdr:col>4</xdr:col>
      <xdr:colOff>168536</xdr:colOff>
      <xdr:row>4</xdr:row>
      <xdr:rowOff>818022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ชั้น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ชั้น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9810" y="113030"/>
              <a:ext cx="1711325" cy="1436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รูปร่างดังกล่าวคือตัวตัด
จะไม่สามารถใช้งานตัวตัดได้ในเวอร์ชันนี้ กรุณาอัปเดต WPS Office ให้เป็นเวอร์ชันล่าสุด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2317841</xdr:colOff>
      <xdr:row>0</xdr:row>
      <xdr:rowOff>124533</xdr:rowOff>
    </xdr:from>
    <xdr:to>
      <xdr:col>2</xdr:col>
      <xdr:colOff>684823</xdr:colOff>
      <xdr:row>4</xdr:row>
      <xdr:rowOff>806049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ประเภท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ประเภท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93210" y="124460"/>
              <a:ext cx="1887220" cy="1412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รูปร่างดังกล่าวคือตัวตัด
จะไม่สามารถใช้งานตัวตัดได้ในเวอร์ชันนี้ กรุณาอัปเดต WPS Office ให้เป็นเวอร์ชันล่าสุด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277506</xdr:colOff>
      <xdr:row>0</xdr:row>
      <xdr:rowOff>119587</xdr:rowOff>
    </xdr:from>
    <xdr:to>
      <xdr:col>5</xdr:col>
      <xdr:colOff>761248</xdr:colOff>
      <xdr:row>4</xdr:row>
      <xdr:rowOff>833263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ทีมซ่อม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ทีมซ่อม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0355" y="119380"/>
              <a:ext cx="1938655" cy="1445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รูปร่างดังกล่าวคือตัวตัด
จะไม่สามารถใช้งานตัวตัดได้ในเวอร์ชันนี้ กรุณาอัปเดต WPS Office ให้เป็นเวอร์ชันล่าสุด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1431903</xdr:colOff>
      <xdr:row>0</xdr:row>
      <xdr:rowOff>76201</xdr:rowOff>
    </xdr:from>
    <xdr:to>
      <xdr:col>8</xdr:col>
      <xdr:colOff>1129043</xdr:colOff>
      <xdr:row>6</xdr:row>
      <xdr:rowOff>131965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วันที่เข้าแก้ไข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วันที่เข้าแก้ไข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16610" y="76200"/>
              <a:ext cx="1861820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รูปร่างดังกล่าวคือตัวตัด
จะไม่สามารถใช้งานตัวตัดได้ในเวอร์ชันนี้ กรุณาอัปเดต WPS Office ให้เป็นเวอร์ชันล่าสุด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874458</xdr:colOff>
      <xdr:row>0</xdr:row>
      <xdr:rowOff>104690</xdr:rowOff>
    </xdr:from>
    <xdr:to>
      <xdr:col>6</xdr:col>
      <xdr:colOff>1139445</xdr:colOff>
      <xdr:row>4</xdr:row>
      <xdr:rowOff>247810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สำเร็จ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สำเร็จ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72675" y="104140"/>
              <a:ext cx="1666875" cy="875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รูปร่างดังกล่าวคือตัวตัด
จะไม่สามารถใช้งานตัวตัดได้ในเวอร์ชันนี้ กรุณาอัปเดต WPS Office ให้เป็นเวอร์ชันล่าสุด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1342460</xdr:colOff>
      <xdr:row>0</xdr:row>
      <xdr:rowOff>107320</xdr:rowOff>
    </xdr:from>
    <xdr:to>
      <xdr:col>7</xdr:col>
      <xdr:colOff>1371434</xdr:colOff>
      <xdr:row>5</xdr:row>
      <xdr:rowOff>461209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เดือน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เดือน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42750" y="107315"/>
              <a:ext cx="1613535" cy="20681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รูปร่างดังกล่าวคือตัวตัด
จะไม่สามารถใช้งานตัวตัดได้ในเวอร์ชันนี้ กรุณาอัปเดต WPS Office ให้เป็นเวอร์ชันล่าสุด</a:t>
              </a:r>
            </a:p>
          </xdr:txBody>
        </xdr:sp>
      </mc:Fallback>
    </mc:AlternateContent>
    <xdr:clientData/>
  </xdr:twoCellAnchor>
  <xdr:oneCellAnchor>
    <xdr:from>
      <xdr:col>0</xdr:col>
      <xdr:colOff>255045</xdr:colOff>
      <xdr:row>7</xdr:row>
      <xdr:rowOff>76200</xdr:rowOff>
    </xdr:from>
    <xdr:ext cx="443948" cy="426708"/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635" y="3756660"/>
          <a:ext cx="443865" cy="426085"/>
        </a:xfrm>
        <a:prstGeom prst="rect">
          <a:avLst/>
        </a:prstGeom>
      </xdr:spPr>
    </xdr:pic>
    <xdr:clientData/>
  </xdr:oneCellAnchor>
  <xdr:oneCellAnchor>
    <xdr:from>
      <xdr:col>3</xdr:col>
      <xdr:colOff>852214</xdr:colOff>
      <xdr:row>7</xdr:row>
      <xdr:rowOff>35823</xdr:rowOff>
    </xdr:from>
    <xdr:ext cx="480060" cy="480060"/>
    <xdr:pic>
      <xdr:nvPicPr>
        <xdr:cNvPr id="8" name="กราฟิก 7" descr="เครื่องมือ ด้วยสีเติมแบบทึบ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268210" y="3716020"/>
          <a:ext cx="480060" cy="480060"/>
        </a:xfrm>
        <a:prstGeom prst="rect">
          <a:avLst/>
        </a:prstGeom>
      </xdr:spPr>
    </xdr:pic>
    <xdr:clientData/>
  </xdr:oneCellAnchor>
  <xdr:oneCellAnchor>
    <xdr:from>
      <xdr:col>0</xdr:col>
      <xdr:colOff>304800</xdr:colOff>
      <xdr:row>8</xdr:row>
      <xdr:rowOff>22860</xdr:rowOff>
    </xdr:from>
    <xdr:ext cx="457200" cy="457200"/>
    <xdr:pic>
      <xdr:nvPicPr>
        <xdr:cNvPr id="10" name="กราฟิก 9" descr="บ้าน ด้วยสีเติมแบบทึบ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04800" y="4337685"/>
          <a:ext cx="457200" cy="457200"/>
        </a:xfrm>
        <a:prstGeom prst="rect">
          <a:avLst/>
        </a:prstGeom>
      </xdr:spPr>
    </xdr:pic>
    <xdr:clientData/>
  </xdr:oneCellAnchor>
  <xdr:oneCellAnchor>
    <xdr:from>
      <xdr:col>2</xdr:col>
      <xdr:colOff>929640</xdr:colOff>
      <xdr:row>8</xdr:row>
      <xdr:rowOff>76200</xdr:rowOff>
    </xdr:from>
    <xdr:ext cx="472440" cy="472440"/>
    <xdr:pic>
      <xdr:nvPicPr>
        <xdr:cNvPr id="11" name="กราฟิก 10" descr="ริบบิ้น ด้วยสีเติมแบบทึบ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225540" y="4391025"/>
          <a:ext cx="472440" cy="472440"/>
        </a:xfrm>
        <a:prstGeom prst="rect">
          <a:avLst/>
        </a:prstGeom>
      </xdr:spPr>
    </xdr:pic>
    <xdr:clientData/>
  </xdr:oneCellAnchor>
  <xdr:oneCellAnchor>
    <xdr:from>
      <xdr:col>4</xdr:col>
      <xdr:colOff>1448063</xdr:colOff>
      <xdr:row>8</xdr:row>
      <xdr:rowOff>36961</xdr:rowOff>
    </xdr:from>
    <xdr:ext cx="541020" cy="541020"/>
    <xdr:pic>
      <xdr:nvPicPr>
        <xdr:cNvPr id="12" name="กราฟิก 11" descr="ศีรษะมีฟันเฟือง ด้วยสีเติมแบบทึบ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090660" y="4351655"/>
          <a:ext cx="541020" cy="541020"/>
        </a:xfrm>
        <a:prstGeom prst="rect">
          <a:avLst/>
        </a:prstGeom>
      </xdr:spPr>
    </xdr:pic>
    <xdr:clientData/>
  </xdr:oneCellAnchor>
  <xdr:oneCellAnchor>
    <xdr:from>
      <xdr:col>7</xdr:col>
      <xdr:colOff>1049371</xdr:colOff>
      <xdr:row>8</xdr:row>
      <xdr:rowOff>78477</xdr:rowOff>
    </xdr:from>
    <xdr:ext cx="525780" cy="525780"/>
    <xdr:pic>
      <xdr:nvPicPr>
        <xdr:cNvPr id="13" name="กราฟิก 12" descr="นาฬิกา ด้วยสีเติมแบบทึบ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3134340" y="4392930"/>
          <a:ext cx="525780" cy="52578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13062</xdr:colOff>
      <xdr:row>0</xdr:row>
      <xdr:rowOff>0</xdr:rowOff>
    </xdr:from>
    <xdr:ext cx="391886" cy="391886"/>
    <xdr:pic>
      <xdr:nvPicPr>
        <xdr:cNvPr id="6" name="กราฟิก 5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07260" y="0"/>
          <a:ext cx="391795" cy="391795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22</xdr:row>
      <xdr:rowOff>0</xdr:rowOff>
    </xdr:from>
    <xdr:ext cx="391886" cy="391886"/>
    <xdr:pic>
      <xdr:nvPicPr>
        <xdr:cNvPr id="2" name="กราฟิก 1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07260" y="4322445"/>
          <a:ext cx="391795" cy="391795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44</xdr:row>
      <xdr:rowOff>0</xdr:rowOff>
    </xdr:from>
    <xdr:ext cx="391886" cy="391886"/>
    <xdr:pic>
      <xdr:nvPicPr>
        <xdr:cNvPr id="3" name="กราฟิก 2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07260" y="8644890"/>
          <a:ext cx="391795" cy="391795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66</xdr:row>
      <xdr:rowOff>0</xdr:rowOff>
    </xdr:from>
    <xdr:ext cx="391886" cy="391886"/>
    <xdr:pic>
      <xdr:nvPicPr>
        <xdr:cNvPr id="4" name="กราฟิก 3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07260" y="12967335"/>
          <a:ext cx="391795" cy="39179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239485</xdr:colOff>
      <xdr:row>3</xdr:row>
      <xdr:rowOff>21227</xdr:rowOff>
    </xdr:from>
    <xdr:to>
      <xdr:col>8</xdr:col>
      <xdr:colOff>201385</xdr:colOff>
      <xdr:row>10</xdr:row>
      <xdr:rowOff>70757</xdr:rowOff>
    </xdr:to>
    <xdr:graphicFrame macro="">
      <xdr:nvGraphicFramePr>
        <xdr:cNvPr id="3" name="แผนภูมิ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40341</xdr:colOff>
      <xdr:row>14</xdr:row>
      <xdr:rowOff>119904</xdr:rowOff>
    </xdr:from>
    <xdr:to>
      <xdr:col>10</xdr:col>
      <xdr:colOff>412377</xdr:colOff>
      <xdr:row>28</xdr:row>
      <xdr:rowOff>150159</xdr:rowOff>
    </xdr:to>
    <xdr:graphicFrame macro="">
      <xdr:nvGraphicFramePr>
        <xdr:cNvPr id="4" name="แผนภูมิ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94577</xdr:colOff>
      <xdr:row>1</xdr:row>
      <xdr:rowOff>5602</xdr:rowOff>
    </xdr:from>
    <xdr:to>
      <xdr:col>21</xdr:col>
      <xdr:colOff>353657</xdr:colOff>
      <xdr:row>10</xdr:row>
      <xdr:rowOff>35858</xdr:rowOff>
    </xdr:to>
    <xdr:graphicFrame macro="">
      <xdr:nvGraphicFramePr>
        <xdr:cNvPr id="5" name="แผนภูมิ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594552</xdr:colOff>
      <xdr:row>43</xdr:row>
      <xdr:rowOff>48377</xdr:rowOff>
    </xdr:from>
    <xdr:to>
      <xdr:col>28</xdr:col>
      <xdr:colOff>523797</xdr:colOff>
      <xdr:row>57</xdr:row>
      <xdr:rowOff>46744</xdr:rowOff>
    </xdr:to>
    <xdr:graphicFrame macro="">
      <xdr:nvGraphicFramePr>
        <xdr:cNvPr id="6" name="แผนภูมิ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484414</xdr:colOff>
      <xdr:row>31</xdr:row>
      <xdr:rowOff>157842</xdr:rowOff>
    </xdr:from>
    <xdr:to>
      <xdr:col>8</xdr:col>
      <xdr:colOff>468085</xdr:colOff>
      <xdr:row>41</xdr:row>
      <xdr:rowOff>10885</xdr:rowOff>
    </xdr:to>
    <xdr:graphicFrame macro="">
      <xdr:nvGraphicFramePr>
        <xdr:cNvPr id="7" name="แผนภูมิ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419100</xdr:colOff>
      <xdr:row>57</xdr:row>
      <xdr:rowOff>103412</xdr:rowOff>
    </xdr:from>
    <xdr:to>
      <xdr:col>30</xdr:col>
      <xdr:colOff>555170</xdr:colOff>
      <xdr:row>83</xdr:row>
      <xdr:rowOff>65314</xdr:rowOff>
    </xdr:to>
    <xdr:graphicFrame macro="">
      <xdr:nvGraphicFramePr>
        <xdr:cNvPr id="11" name="แผนภูมิ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8</xdr:col>
      <xdr:colOff>290263</xdr:colOff>
      <xdr:row>10</xdr:row>
      <xdr:rowOff>27406</xdr:rowOff>
    </xdr:to>
    <xdr:graphicFrame macro="">
      <xdr:nvGraphicFramePr>
        <xdr:cNvPr id="2" name="แผนภูมิ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6</xdr:col>
      <xdr:colOff>213360</xdr:colOff>
      <xdr:row>29</xdr:row>
      <xdr:rowOff>114300</xdr:rowOff>
    </xdr:to>
    <xdr:graphicFrame macro="">
      <xdr:nvGraphicFramePr>
        <xdr:cNvPr id="3" name="แผนภูมิ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266700</xdr:colOff>
      <xdr:row>32</xdr:row>
      <xdr:rowOff>22860</xdr:rowOff>
    </xdr:from>
    <xdr:to>
      <xdr:col>18</xdr:col>
      <xdr:colOff>339380</xdr:colOff>
      <xdr:row>45</xdr:row>
      <xdr:rowOff>180351</xdr:rowOff>
    </xdr:to>
    <xdr:graphicFrame macro="">
      <xdr:nvGraphicFramePr>
        <xdr:cNvPr id="4" name="แผนภูมิ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214171</xdr:colOff>
      <xdr:row>0</xdr:row>
      <xdr:rowOff>312612</xdr:rowOff>
    </xdr:from>
    <xdr:to>
      <xdr:col>1</xdr:col>
      <xdr:colOff>1030343</xdr:colOff>
      <xdr:row>1</xdr:row>
      <xdr:rowOff>1429870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เดือน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เดือน 1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995" y="312420"/>
              <a:ext cx="2065655" cy="27324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รูปร่างดังกล่าวคือตัวตัด
จะไม่สามารถใช้งานตัวตัดได้ในเวอร์ชันนี้ กรุณาอัปเดต WPS Office ให้เป็นเวอร์ชันล่าสุด</a:t>
              </a:r>
            </a:p>
          </xdr:txBody>
        </xdr:sp>
      </mc:Fallback>
    </mc:AlternateContent>
    <xdr:clientData/>
  </xdr:twoCellAnchor>
  <xdr:twoCellAnchor>
    <xdr:from>
      <xdr:col>0</xdr:col>
      <xdr:colOff>26893</xdr:colOff>
      <xdr:row>20</xdr:row>
      <xdr:rowOff>86360</xdr:rowOff>
    </xdr:from>
    <xdr:to>
      <xdr:col>9</xdr:col>
      <xdr:colOff>1111621</xdr:colOff>
      <xdr:row>27</xdr:row>
      <xdr:rowOff>2463800</xdr:rowOff>
    </xdr:to>
    <xdr:graphicFrame macro="">
      <xdr:nvGraphicFramePr>
        <xdr:cNvPr id="2" name="แผนภูมิ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370116</xdr:rowOff>
    </xdr:from>
    <xdr:to>
      <xdr:col>16</xdr:col>
      <xdr:colOff>293914</xdr:colOff>
      <xdr:row>20</xdr:row>
      <xdr:rowOff>1</xdr:rowOff>
    </xdr:to>
    <xdr:graphicFrame macro="">
      <xdr:nvGraphicFramePr>
        <xdr:cNvPr id="3" name="แผนภูมิ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40089</xdr:rowOff>
    </xdr:from>
    <xdr:to>
      <xdr:col>0</xdr:col>
      <xdr:colOff>434340</xdr:colOff>
      <xdr:row>1</xdr:row>
      <xdr:rowOff>148745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0005"/>
          <a:ext cx="434340" cy="42862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25</xdr:row>
      <xdr:rowOff>40089</xdr:rowOff>
    </xdr:from>
    <xdr:ext cx="443948" cy="426708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619625"/>
          <a:ext cx="443865" cy="4267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4</xdr:row>
      <xdr:rowOff>22860</xdr:rowOff>
    </xdr:from>
    <xdr:to>
      <xdr:col>4</xdr:col>
      <xdr:colOff>2918100</xdr:colOff>
      <xdr:row>4</xdr:row>
      <xdr:rowOff>1642860</xdr:rowOff>
    </xdr:to>
    <xdr:grpSp>
      <xdr:nvGrpSpPr>
        <xdr:cNvPr id="7" name="กลุ่ม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pSpPr/>
      </xdr:nvGrpSpPr>
      <xdr:grpSpPr>
        <a:xfrm>
          <a:off x="4352365" y="769844"/>
          <a:ext cx="2609490" cy="1625715"/>
          <a:chOff x="4770120" y="723900"/>
          <a:chExt cx="2880000" cy="1620000"/>
        </a:xfrm>
      </xdr:grpSpPr>
      <xdr:pic>
        <xdr:nvPicPr>
          <xdr:cNvPr id="3" name="รูปภาพ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70120" y="723900"/>
            <a:ext cx="2880000" cy="1620000"/>
          </a:xfrm>
          <a:prstGeom prst="rect">
            <a:avLst/>
          </a:prstGeom>
        </xdr:spPr>
      </xdr:pic>
      <xdr:sp macro="" textlink="">
        <xdr:nvSpPr>
          <xdr:cNvPr id="4" name="สี่เหลี่ยมผืนผ้า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>
            <a:off x="6271260" y="929640"/>
            <a:ext cx="480060" cy="106680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</xdr:grpSp>
    <xdr:clientData/>
  </xdr:twoCellAnchor>
  <xdr:twoCellAnchor>
    <xdr:from>
      <xdr:col>4</xdr:col>
      <xdr:colOff>38100</xdr:colOff>
      <xdr:row>4</xdr:row>
      <xdr:rowOff>1647908</xdr:rowOff>
    </xdr:from>
    <xdr:to>
      <xdr:col>4</xdr:col>
      <xdr:colOff>2928627</xdr:colOff>
      <xdr:row>4</xdr:row>
      <xdr:rowOff>3267908</xdr:rowOff>
    </xdr:to>
    <xdr:grpSp>
      <xdr:nvGrpSpPr>
        <xdr:cNvPr id="9" name="กลุ่ม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4352365" y="2400607"/>
          <a:ext cx="2612397" cy="1616190"/>
          <a:chOff x="4769126" y="2350273"/>
          <a:chExt cx="2890527" cy="1620000"/>
        </a:xfrm>
      </xdr:grpSpPr>
      <xdr:pic>
        <xdr:nvPicPr>
          <xdr:cNvPr id="6" name="รูปภาพ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9126" y="2350273"/>
            <a:ext cx="2880000" cy="1620000"/>
          </a:xfrm>
          <a:prstGeom prst="rect">
            <a:avLst/>
          </a:prstGeom>
        </xdr:spPr>
      </xdr:pic>
      <xdr:sp macro="" textlink="">
        <xdr:nvSpPr>
          <xdr:cNvPr id="8" name="สี่เหลี่ยมผืนผ้า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 rot="19954774">
            <a:off x="5380076" y="2904397"/>
            <a:ext cx="2279577" cy="443328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</xdr:grpSp>
    <xdr:clientData/>
  </xdr:twoCellAnchor>
  <xdr:twoCellAnchor>
    <xdr:from>
      <xdr:col>4</xdr:col>
      <xdr:colOff>35858</xdr:colOff>
      <xdr:row>5</xdr:row>
      <xdr:rowOff>80683</xdr:rowOff>
    </xdr:from>
    <xdr:to>
      <xdr:col>4</xdr:col>
      <xdr:colOff>2931450</xdr:colOff>
      <xdr:row>5</xdr:row>
      <xdr:rowOff>1770842</xdr:rowOff>
    </xdr:to>
    <xdr:grpSp>
      <xdr:nvGrpSpPr>
        <xdr:cNvPr id="14" name="กลุ่ม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pSpPr/>
      </xdr:nvGrpSpPr>
      <xdr:grpSpPr>
        <a:xfrm>
          <a:off x="4350123" y="4206353"/>
          <a:ext cx="2609842" cy="1692064"/>
          <a:chOff x="4921623" y="4204448"/>
          <a:chExt cx="2895592" cy="1690159"/>
        </a:xfrm>
      </xdr:grpSpPr>
      <xdr:pic>
        <xdr:nvPicPr>
          <xdr:cNvPr id="12" name="รูปภาพ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10800000">
            <a:off x="4921623" y="4204448"/>
            <a:ext cx="2895592" cy="1690159"/>
          </a:xfrm>
          <a:prstGeom prst="rect">
            <a:avLst/>
          </a:prstGeom>
        </xdr:spPr>
      </xdr:pic>
      <xdr:sp macro="" textlink="">
        <xdr:nvSpPr>
          <xdr:cNvPr id="13" name="สี่เหลี่ยมผืนผ้า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 rot="949330">
            <a:off x="6082010" y="5474418"/>
            <a:ext cx="198465" cy="404974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</xdr:grpSp>
    <xdr:clientData/>
  </xdr:twoCellAnchor>
  <xdr:twoCellAnchor editAs="oneCell">
    <xdr:from>
      <xdr:col>4</xdr:col>
      <xdr:colOff>44824</xdr:colOff>
      <xdr:row>6</xdr:row>
      <xdr:rowOff>62753</xdr:rowOff>
    </xdr:from>
    <xdr:to>
      <xdr:col>4</xdr:col>
      <xdr:colOff>2924824</xdr:colOff>
      <xdr:row>6</xdr:row>
      <xdr:rowOff>2942753</xdr:rowOff>
    </xdr:to>
    <xdr:pic>
      <xdr:nvPicPr>
        <xdr:cNvPr id="16" name="รูปภาพ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2190" y="6104890"/>
          <a:ext cx="2880360" cy="2880360"/>
        </a:xfrm>
        <a:prstGeom prst="rect">
          <a:avLst/>
        </a:prstGeom>
      </xdr:spPr>
    </xdr:pic>
    <xdr:clientData/>
  </xdr:twoCellAnchor>
  <xdr:twoCellAnchor>
    <xdr:from>
      <xdr:col>4</xdr:col>
      <xdr:colOff>1013011</xdr:colOff>
      <xdr:row>6</xdr:row>
      <xdr:rowOff>663388</xdr:rowOff>
    </xdr:from>
    <xdr:to>
      <xdr:col>4</xdr:col>
      <xdr:colOff>1945341</xdr:colOff>
      <xdr:row>6</xdr:row>
      <xdr:rowOff>2913530</xdr:rowOff>
    </xdr:to>
    <xdr:sp macro="" textlink="">
      <xdr:nvSpPr>
        <xdr:cNvPr id="17" name="สี่เหลี่ยมผืนผ้า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5790565" y="6705600"/>
          <a:ext cx="932180" cy="225044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18375</xdr:colOff>
      <xdr:row>38</xdr:row>
      <xdr:rowOff>26894</xdr:rowOff>
    </xdr:from>
    <xdr:to>
      <xdr:col>1</xdr:col>
      <xdr:colOff>1847175</xdr:colOff>
      <xdr:row>52</xdr:row>
      <xdr:rowOff>98052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ชื่ออุปกรณ์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ชื่ออุปกรณ์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3580" y="7593330"/>
              <a:ext cx="1828800" cy="25247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รูปร่างดังกล่าวคือตัวตัด
จะไม่สามารถใช้งานตัวตัดได้ในเวอร์ชันนี้ กรุณาอัปเดต WPS Office ให้เป็นเวอร์ชันล่าสุด</a:t>
              </a:r>
            </a:p>
          </xdr:txBody>
        </xdr:sp>
      </mc:Fallback>
    </mc:AlternateContent>
    <xdr:clientData/>
  </xdr:twoCellAnchor>
  <xdr:oneCellAnchor>
    <xdr:from>
      <xdr:col>6</xdr:col>
      <xdr:colOff>828261</xdr:colOff>
      <xdr:row>20</xdr:row>
      <xdr:rowOff>106017</xdr:rowOff>
    </xdr:from>
    <xdr:ext cx="184731" cy="262572"/>
    <xdr:sp macro="" textlink="">
      <xdr:nvSpPr>
        <xdr:cNvPr id="11" name="กล่องข้อความ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 txBox="1"/>
      </xdr:nvSpPr>
      <xdr:spPr>
        <a:xfrm>
          <a:off x="10253980" y="4517390"/>
          <a:ext cx="184785" cy="262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h-T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2</xdr:row>
          <xdr:rowOff>83820</xdr:rowOff>
        </xdr:from>
        <xdr:to>
          <xdr:col>4</xdr:col>
          <xdr:colOff>876300</xdr:colOff>
          <xdr:row>5</xdr:row>
          <xdr:rowOff>60960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1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บันทึกข้อมูล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ธณพล สร้างแก้ว" refreshedDate="46217.902987384259" createdVersion="8" refreshedVersion="8" minRefreshableVersion="3" recordCount="176" xr:uid="{00000000-000A-0000-FFFF-FFFF00000000}">
  <cacheSource type="worksheet">
    <worksheetSource name="งานซ่อม"/>
  </cacheSource>
  <cacheFields count="19">
    <cacheField name="รหัสงานซ่อม" numFmtId="0">
      <sharedItems containsBlank="1"/>
    </cacheField>
    <cacheField name="หัวข้อ" numFmtId="0">
      <sharedItems containsBlank="1"/>
    </cacheField>
    <cacheField name="ชั้น" numFmtId="0">
      <sharedItems containsBlank="1" containsMixedTypes="1" containsNumber="1" containsInteger="1" minValue="2" maxValue="15" count="37">
        <s v="ชั้น G"/>
        <s v="ชั้น 15"/>
        <s v="ชั้น 6"/>
        <s v="ชั้น 2"/>
        <s v="ชั้น 5"/>
        <s v="ชั้น 9"/>
        <s v="ชั้น 11"/>
        <s v="ชั้น 7"/>
        <s v="ชั้น 8"/>
        <s v="ชั้น 14"/>
        <s v="ชั้น 12"/>
        <s v="ชั้น 10"/>
        <s v="ทั่วไป"/>
        <s v="ชั้น Roof"/>
        <s v="ทั้งตึก"/>
        <s v="ชั้น 3"/>
        <s v="ชั้น14"/>
        <s v="ชั้น 4"/>
        <n v="7"/>
        <s v="-"/>
        <s v="ชั้น9"/>
        <s v="ชั้น10"/>
        <s v="ชั้นG"/>
        <m/>
        <n v="9"/>
        <n v="6"/>
        <s v="G"/>
        <n v="8" u="1"/>
        <n v="3" u="1"/>
        <n v="5" u="1"/>
        <n v="15" u="1"/>
        <n v="14" u="1"/>
        <n v="12" u="1"/>
        <n v="11" u="1"/>
        <n v="10" u="1"/>
        <n v="4" u="1"/>
        <n v="2" u="1"/>
      </sharedItems>
    </cacheField>
    <cacheField name="งานเพิ่มเติม" numFmtId="0">
      <sharedItems containsBlank="1"/>
    </cacheField>
    <cacheField name="ประเภท" numFmtId="0">
      <sharedItems containsBlank="1" count="18">
        <s v="ไฟฟ้า"/>
        <s v="ม่าน"/>
        <s v="ฝ้า"/>
        <s v="อุปกรณ์"/>
        <s v="ประปา"/>
        <s v="ขอบคิ้ว"/>
        <s v="ประตู"/>
        <s v="ผ้าม่าน"/>
        <s v="สุขภัณฑ์"/>
        <s v="สี"/>
        <s v="ตรวจเช็ค"/>
        <s v="งานเกษตร"/>
        <s v="โครงสร้าง"/>
        <s v="ระบบ"/>
        <s v="ความสะอาด"/>
        <m/>
        <s v="ระบบแอร์"/>
        <s v="ตรวจสอบ" u="1"/>
      </sharedItems>
    </cacheField>
    <cacheField name="ตำแหน่ง" numFmtId="0">
      <sharedItems containsBlank="1"/>
    </cacheField>
    <cacheField name="ผู้รับผิดชอบ" numFmtId="0">
      <sharedItems containsBlank="1"/>
    </cacheField>
    <cacheField name="หมายเหตุ" numFmtId="0">
      <sharedItems containsBlank="1"/>
    </cacheField>
    <cacheField name="ระดับ" numFmtId="0">
      <sharedItems containsBlank="1"/>
    </cacheField>
    <cacheField name="ความสำคัญ" numFmtId="0">
      <sharedItems containsBlank="1"/>
    </cacheField>
    <cacheField name="ความเร่งด่วน" numFmtId="0">
      <sharedItems containsBlank="1"/>
    </cacheField>
    <cacheField name="สำเร็จ" numFmtId="0">
      <sharedItems containsBlank="1" count="5">
        <s v="โอนย้าย"/>
        <s v="เสร็จสิ้น"/>
        <m/>
        <s v="กำลังดำเนินการ" u="1"/>
        <s v="รอดำเนินการ" u="1"/>
      </sharedItems>
    </cacheField>
    <cacheField name="วันที่เข้าแก้ไข" numFmtId="0">
      <sharedItems containsNonDate="0" containsDate="1" containsString="0" containsBlank="1" minDate="2026-05-02T00:00:00" maxDate="2569-06-26T00:00:00"/>
    </cacheField>
    <cacheField name="จำนวนคนที่ใช้" numFmtId="0">
      <sharedItems containsBlank="1"/>
    </cacheField>
    <cacheField name="เวลาที่ใช้ (นาที)" numFmtId="2">
      <sharedItems containsBlank="1" containsMixedTypes="1" containsNumber="1" containsInteger="1" minValue="0" maxValue="180" count="21">
        <m/>
        <s v="1.08ชั่วโมง"/>
        <s v="4นาที"/>
        <s v="7นาที"/>
        <s v="5นาที"/>
        <s v="6นาที"/>
        <n v="15"/>
        <n v="180"/>
        <n v="2"/>
        <n v="8"/>
        <n v="30"/>
        <n v="5"/>
        <n v="12"/>
        <n v="3"/>
        <n v="0"/>
        <n v="7"/>
        <n v="4"/>
        <n v="10"/>
        <n v="20"/>
        <n v="60"/>
        <s v="-"/>
      </sharedItems>
    </cacheField>
    <cacheField name="ค่าใช้จ่าย (บาท)" numFmtId="2">
      <sharedItems containsBlank="1" containsMixedTypes="1" containsNumber="1" containsInteger="1" minValue="0" maxValue="47" count="4">
        <m/>
        <n v="0"/>
        <n v="47"/>
        <s v="-"/>
      </sharedItems>
    </cacheField>
    <cacheField name="วิธีแก้ไข" numFmtId="2">
      <sharedItems containsBlank="1" longText="1"/>
    </cacheField>
    <cacheField name="เดือน" numFmtId="0">
      <sharedItems containsBlank="1" count="4">
        <s v="เมษายน"/>
        <s v="มิถุนายน"/>
        <s v="พฤษภาคม"/>
        <m/>
      </sharedItems>
    </cacheField>
    <cacheField name="สัปดาห์" numFmtId="0">
      <sharedItems containsString="0" containsBlank="1" containsNumber="1" containsInteger="1" minValue="1" maxValue="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s v="MTC-MT-20260001"/>
    <s v="landscaping ไม่ติดหน้าบริษัท"/>
    <x v="0"/>
    <m/>
    <x v="0"/>
    <s v="หน้าบริษัท"/>
    <s v="ทีมซ่อม"/>
    <s v="ไม่สามารถทำคนเดียวได้"/>
    <s v="ยาก"/>
    <s v="สำคัญ"/>
    <s v="ด่วน"/>
    <x v="0"/>
    <m/>
    <m/>
    <x v="0"/>
    <x v="0"/>
    <m/>
    <x v="0"/>
    <m/>
  </r>
  <r>
    <s v="MTC-MT-20260002"/>
    <s v="ขายึดม่านหลุดห้องเลาจน์"/>
    <x v="1"/>
    <m/>
    <x v="1"/>
    <s v="ห้องเลาจน์"/>
    <s v="ทีมซ่อม"/>
    <s v="ต้องรอช่างฝ้ามาแก้ไขฝ้าก่อน"/>
    <s v="กลาง"/>
    <s v="สำคัญ"/>
    <s v="ไม่ด่วน"/>
    <x v="0"/>
    <m/>
    <m/>
    <x v="0"/>
    <x v="0"/>
    <m/>
    <x v="0"/>
    <m/>
  </r>
  <r>
    <s v="MTC-MT-20260003"/>
    <s v="ม่านเก็บไม่เรียบร้อย ห้องเลานจ์"/>
    <x v="1"/>
    <m/>
    <x v="1"/>
    <s v="ห้องเลาจน์"/>
    <s v="ทีมซ่อม"/>
    <s v="ต้องรอช่างฝ้ามาแก้ไขฝ้าก่อน"/>
    <s v="กลาง"/>
    <s v="สำคัญ"/>
    <s v="ไม่ด่วน"/>
    <x v="1"/>
    <m/>
    <m/>
    <x v="0"/>
    <x v="0"/>
    <m/>
    <x v="0"/>
    <m/>
  </r>
  <r>
    <s v="MTC-MT-20260004"/>
    <s v="ฝ้าชำรุด ชั้น6"/>
    <x v="2"/>
    <m/>
    <x v="2"/>
    <s v="โถงกลาง ฝั่งวัด"/>
    <m/>
    <s v="ต้องรอช่างฝ้ามาแก้ไขฝ้าก่อน"/>
    <s v="กลาง"/>
    <s v="สำคัญ"/>
    <s v="ไม่ด่วน"/>
    <x v="0"/>
    <m/>
    <m/>
    <x v="0"/>
    <x v="0"/>
    <m/>
    <x v="0"/>
    <m/>
  </r>
  <r>
    <s v="MTC-MT-20260005"/>
    <s v="ตั้ง Limit ม่านใหม่ ห้องเลาจน์ ชั้น15"/>
    <x v="1"/>
    <m/>
    <x v="1"/>
    <s v="ห้องเลาจน์"/>
    <s v="ทีมซ่อม"/>
    <s v="ต้องรอช่างฝ้ามาแก้ไขฝ้าก่อน"/>
    <s v="กลาง"/>
    <s v="สำคัญ"/>
    <m/>
    <x v="0"/>
    <m/>
    <m/>
    <x v="0"/>
    <x v="0"/>
    <m/>
    <x v="0"/>
    <m/>
  </r>
  <r>
    <e v="#REF!"/>
    <s v="เครื่องเล่นเสียงคุณบูม"/>
    <x v="0"/>
    <m/>
    <x v="3"/>
    <s v="ร้านกาแฟ"/>
    <s v="ผู้รับเหมา"/>
    <s v="ผู้รับเหมา"/>
    <s v="กลาง"/>
    <m/>
    <m/>
    <x v="1"/>
    <m/>
    <m/>
    <x v="0"/>
    <x v="0"/>
    <m/>
    <x v="0"/>
    <m/>
  </r>
  <r>
    <e v="#REF!"/>
    <s v="ไฟหน้าบริษัทไม่ติด"/>
    <x v="0"/>
    <m/>
    <x v="0"/>
    <s v="หน้าบริษัท"/>
    <s v="ทีมซ่อม"/>
    <s v="ไม่สามารถทำคนเดียวได้"/>
    <s v="ยาก"/>
    <m/>
    <m/>
    <x v="0"/>
    <m/>
    <m/>
    <x v="0"/>
    <x v="0"/>
    <m/>
    <x v="0"/>
    <m/>
  </r>
  <r>
    <e v="#REF!"/>
    <s v="ไฟลิฟ L2 ติด"/>
    <x v="0"/>
    <m/>
    <x v="0"/>
    <s v="ลิฟต์ L2"/>
    <s v="ทีมซ่อม"/>
    <s v="ทำได้เลย วันเสาร์-อาทิตย์"/>
    <s v="กลาง"/>
    <m/>
    <m/>
    <x v="1"/>
    <d v="2569-04-21T00:00:00"/>
    <s v="3คน"/>
    <x v="0"/>
    <x v="0"/>
    <m/>
    <x v="0"/>
    <n v="3"/>
  </r>
  <r>
    <e v="#REF!"/>
    <s v="เกทวาล์วรั่วซึม"/>
    <x v="2"/>
    <m/>
    <x v="4"/>
    <s v="ห้องน้ำชาย"/>
    <s v="ทีมซ่อม"/>
    <s v="ต้องปิดระบบน้ำ เพื่อแก้ไข"/>
    <s v="กลาง"/>
    <m/>
    <m/>
    <x v="0"/>
    <m/>
    <m/>
    <x v="0"/>
    <x v="0"/>
    <m/>
    <x v="0"/>
    <m/>
  </r>
  <r>
    <e v="#REF!"/>
    <s v="ขอบคิ้วหลุดหน้าลิฟต์ ลานจอดรถ ชั้น2"/>
    <x v="3"/>
    <m/>
    <x v="5"/>
    <s v="โถงกลางลิฟต์"/>
    <s v="ทีมซ่อม"/>
    <s v="จัดวันเข้าซ่อมได้เลย"/>
    <s v="ง่าย"/>
    <s v="สำคัญ"/>
    <s v="ไม่ด่วน"/>
    <x v="1"/>
    <d v="2569-04-04T00:00:00"/>
    <m/>
    <x v="0"/>
    <x v="0"/>
    <m/>
    <x v="0"/>
    <n v="1"/>
  </r>
  <r>
    <e v="#REF!"/>
    <s v="คิ้วกระจกชั้น5ห้องน้ำพิเศษหลุด"/>
    <x v="4"/>
    <m/>
    <x v="5"/>
    <s v="ห้องน้ำชั้น5"/>
    <s v="ทีมซ่อม"/>
    <s v="จัดวันเข้าซ่อมได้เลย"/>
    <s v="ง่าย"/>
    <m/>
    <m/>
    <x v="1"/>
    <d v="2569-04-04T00:00:00"/>
    <m/>
    <x v="0"/>
    <x v="0"/>
    <m/>
    <x v="0"/>
    <n v="1"/>
  </r>
  <r>
    <e v="#REF!"/>
    <s v="ประตูห้องพักเบครเปิดเเล้วติดพื้น ชั้น5"/>
    <x v="4"/>
    <m/>
    <x v="6"/>
    <s v="ห้องพักเบรค "/>
    <s v="ทีมซ่อม"/>
    <s v="จัดวันเข้าซ่อมได้เลย"/>
    <s v="กลาง"/>
    <s v="สำคัญ"/>
    <s v="ไม่ด่วน"/>
    <x v="1"/>
    <d v="2569-04-26T00:00:00"/>
    <s v="2คน"/>
    <x v="1"/>
    <x v="0"/>
    <m/>
    <x v="0"/>
    <n v="4"/>
  </r>
  <r>
    <e v="#REF!"/>
    <s v="สวิตซ์ม่านกดม่านขึ้น-ลงไม่ได้"/>
    <x v="4"/>
    <m/>
    <x v="7"/>
    <s v="ห้องเก็บของ"/>
    <s v="ทีมซ่อม"/>
    <s v="จัดวันเข้าซ่อมได้เลย"/>
    <s v="กลาง"/>
    <m/>
    <m/>
    <x v="0"/>
    <m/>
    <m/>
    <x v="0"/>
    <x v="0"/>
    <m/>
    <x v="0"/>
    <m/>
  </r>
  <r>
    <s v="MTC-MT-20260010"/>
    <s v="ม่านจะหลุดห้องโยคะ"/>
    <x v="2"/>
    <m/>
    <x v="7"/>
    <s v="ห้องโยคะฝั่งวัด"/>
    <s v="ทีมซ่อม"/>
    <s v="ต้องรอช่างฝ้ามาแก้ไขฝ้าก่อน"/>
    <s v="กลาง"/>
    <m/>
    <m/>
    <x v="0"/>
    <m/>
    <m/>
    <x v="0"/>
    <x v="0"/>
    <m/>
    <x v="0"/>
    <m/>
  </r>
  <r>
    <s v="MTC-MT-20260011"/>
    <s v="ไฟชำรุดเเละมีน้ำขังอยู่ในบล็อคหน้าห้องโยคะ"/>
    <x v="2"/>
    <m/>
    <x v="0"/>
    <s v="หน้าห้องโยคะ"/>
    <s v="ทีมซ่อม"/>
    <s v="ไม่สามารถทำคนเดียวได้"/>
    <s v="ยาก"/>
    <m/>
    <m/>
    <x v="0"/>
    <m/>
    <m/>
    <x v="0"/>
    <x v="0"/>
    <m/>
    <x v="0"/>
    <m/>
  </r>
  <r>
    <s v="MTC-MT-20260012"/>
    <s v="ตัวกันกระแทกประตูติดตั้งไม่สนิทห้องน้ำหญิง ชั้น9"/>
    <x v="5"/>
    <m/>
    <x v="3"/>
    <s v="ห้องน้ำหญิง"/>
    <s v="ทีมซ่อม"/>
    <s v="จัดวันเข้าซ่อมได้เลย"/>
    <s v="ง่าย"/>
    <m/>
    <m/>
    <x v="1"/>
    <d v="2569-04-03T00:00:00"/>
    <m/>
    <x v="0"/>
    <x v="0"/>
    <m/>
    <x v="0"/>
    <n v="1"/>
  </r>
  <r>
    <s v="MTC-MT-20260013"/>
    <s v="ประตูมีรูห้องน้ำหญิงชั้น11"/>
    <x v="6"/>
    <m/>
    <x v="6"/>
    <s v="ห้องน้ำหญิง"/>
    <s v="ทีมซ่อม"/>
    <s v="จัดวันเข้าซ่อมได้เลย"/>
    <s v="ง่าย"/>
    <s v="ไม่สำคัญ"/>
    <s v="ไม่ด่วน"/>
    <x v="1"/>
    <d v="2569-04-16T00:00:00"/>
    <m/>
    <x v="0"/>
    <x v="0"/>
    <m/>
    <x v="0"/>
    <n v="3"/>
  </r>
  <r>
    <s v="MTC-MT-20260014"/>
    <s v="ก็อกน้ำโยกห้องน้ำชายชั้น11"/>
    <x v="6"/>
    <m/>
    <x v="8"/>
    <s v="ห้องน้ำชาย"/>
    <s v="ทีมซ่อม"/>
    <s v="จัดวันเข้าซ่อมได้เลย"/>
    <s v="ง่าย"/>
    <m/>
    <m/>
    <x v="1"/>
    <d v="2569-04-16T00:00:00"/>
    <m/>
    <x v="0"/>
    <x v="0"/>
    <m/>
    <x v="0"/>
    <m/>
  </r>
  <r>
    <s v="MTC-MT-20260015"/>
    <s v="สายไฟEF 11-09 ไม่ได้ต่อ"/>
    <x v="6"/>
    <m/>
    <x v="0"/>
    <s v="ห้อง EE 11/1"/>
    <s v="ทีมซ่อม"/>
    <s v="ไม่สามารถทำคนเดียวได้"/>
    <s v="กลาง"/>
    <m/>
    <m/>
    <x v="0"/>
    <m/>
    <m/>
    <x v="0"/>
    <x v="0"/>
    <m/>
    <x v="0"/>
    <m/>
  </r>
  <r>
    <s v="MTC-MT-20260016"/>
    <s v="ไฟไม่ติดทั้งแผง ทางเดินชั้น5"/>
    <x v="4"/>
    <m/>
    <x v="0"/>
    <s v="ทางเดินชั้น5"/>
    <s v="ทีมซ่อม"/>
    <s v="ไม่สามารถทำคนเดียวได้"/>
    <s v="ยาก"/>
    <m/>
    <m/>
    <x v="1"/>
    <m/>
    <m/>
    <x v="0"/>
    <x v="0"/>
    <m/>
    <x v="0"/>
    <m/>
  </r>
  <r>
    <s v="MTC-MT-20260017"/>
    <s v="ฝ้าจะร่วงห้องน้ำคนพิการ ชั้น6"/>
    <x v="2"/>
    <m/>
    <x v="2"/>
    <s v="ห้องน้ำพิเศษ ชั้น6"/>
    <s v="ผู้รับเหมา"/>
    <s v="ผู้รับเหมา"/>
    <s v="ยาก"/>
    <m/>
    <m/>
    <x v="0"/>
    <m/>
    <m/>
    <x v="0"/>
    <x v="0"/>
    <m/>
    <x v="0"/>
    <m/>
  </r>
  <r>
    <s v="MTC-MT-20260018"/>
    <s v="หลอดไฟไม่ติดร้านกาแฟ"/>
    <x v="0"/>
    <m/>
    <x v="0"/>
    <s v="ร้านกาแฟ"/>
    <s v="ทีมซ่อม"/>
    <s v="รอของมาส่ง"/>
    <s v="ง่าย"/>
    <m/>
    <m/>
    <x v="1"/>
    <d v="2569-04-21T00:00:00"/>
    <m/>
    <x v="0"/>
    <x v="0"/>
    <m/>
    <x v="0"/>
    <m/>
  </r>
  <r>
    <s v="MTC-MT-20260019"/>
    <s v="กล่องทิชชู่ชั้น น็อตหวานถอดไม่ได้"/>
    <x v="7"/>
    <m/>
    <x v="3"/>
    <s v="ห้องน้ำพิเศษ ชั้น7"/>
    <s v="ทีมซ่อม"/>
    <s v="จัดวันเข้าซ่อมได้เลย"/>
    <s v="ง่าย"/>
    <m/>
    <m/>
    <x v="1"/>
    <d v="2569-04-16T00:00:00"/>
    <s v="2คน"/>
    <x v="2"/>
    <x v="0"/>
    <m/>
    <x v="0"/>
    <m/>
  </r>
  <r>
    <s v="MTC-MT-20260020"/>
    <s v="หลอดไฟไม่ติดห้องแพนทรี"/>
    <x v="5"/>
    <m/>
    <x v="0"/>
    <s v="ห้องครัว"/>
    <s v="ทีมซ่อม"/>
    <s v="จัดวันเข้าซ่อมได้เลย"/>
    <s v="ง่าย"/>
    <m/>
    <m/>
    <x v="1"/>
    <d v="2569-04-06T00:00:00"/>
    <m/>
    <x v="0"/>
    <x v="0"/>
    <m/>
    <x v="0"/>
    <m/>
  </r>
  <r>
    <s v="MTC-MT-20260021"/>
    <s v="ประตูห้องครัวปิดไม่สนิท 8"/>
    <x v="8"/>
    <m/>
    <x v="6"/>
    <s v="ห้องครัว"/>
    <s v="ทีมซ่อม"/>
    <s v="จัดวันเข้าซ่อมได้เลย"/>
    <s v="ง่าย"/>
    <s v="ไม่สำคัญ"/>
    <s v="ไม่ด่วน"/>
    <x v="1"/>
    <d v="2569-04-25T00:00:00"/>
    <s v="2คน"/>
    <x v="3"/>
    <x v="0"/>
    <m/>
    <x v="0"/>
    <m/>
  </r>
  <r>
    <s v="MTC-MT-20260022"/>
    <s v="ประตูปิดไม่สนิทห้อง Pantry ชั้น7"/>
    <x v="7"/>
    <m/>
    <x v="6"/>
    <s v="ห้องครัว"/>
    <s v="ทีมซ่อม"/>
    <s v="จัดวันเข้าซ่อมได้เลย"/>
    <s v="ง่าย"/>
    <s v="ไม่สำคัญ"/>
    <s v="ไม่ด่วน"/>
    <x v="1"/>
    <d v="2569-04-25T00:00:00"/>
    <s v="2คน"/>
    <x v="4"/>
    <x v="0"/>
    <m/>
    <x v="0"/>
    <m/>
  </r>
  <r>
    <s v="MTC-MT-20260023"/>
    <s v="ลูกยางประตูห้องน้ำหญิงชั้น7ไม่ลื่น"/>
    <x v="7"/>
    <m/>
    <x v="6"/>
    <s v="ห้องน้ำหญิง"/>
    <s v="ทีมซ่อม"/>
    <s v="จัดวันเข้าซ่อมได้เลย"/>
    <s v="ง่าย"/>
    <s v="ไม่สำคัญ"/>
    <s v="ไม่ด่วน"/>
    <x v="1"/>
    <d v="2569-04-25T00:00:00"/>
    <s v="2คน"/>
    <x v="5"/>
    <x v="0"/>
    <m/>
    <x v="0"/>
    <m/>
  </r>
  <r>
    <s v="MTC-MT-20260024"/>
    <s v="ราขึ้นฝ้าเพดาน"/>
    <x v="8"/>
    <m/>
    <x v="2"/>
    <s v="ฝั่งวัด"/>
    <s v="ผู้รับเหมา"/>
    <m/>
    <s v="ง่าย"/>
    <m/>
    <m/>
    <x v="0"/>
    <m/>
    <m/>
    <x v="0"/>
    <x v="0"/>
    <m/>
    <x v="0"/>
    <m/>
  </r>
  <r>
    <s v="MTC-MT-20260025"/>
    <s v="ม่านจะหลุดชั้น8"/>
    <x v="8"/>
    <m/>
    <x v="7"/>
    <s v="ฝั่งวัด"/>
    <s v="ทีมซ่อม"/>
    <s v="จัดวันเข้าซ่อมได้เลย"/>
    <s v="ง่าย"/>
    <m/>
    <m/>
    <x v="0"/>
    <d v="2569-04-11T00:00:00"/>
    <m/>
    <x v="0"/>
    <x v="0"/>
    <m/>
    <x v="0"/>
    <m/>
  </r>
  <r>
    <s v="MTC-MT-20260026"/>
    <s v="ประตูห้องน้ำหญิงโยก ชั้น8"/>
    <x v="8"/>
    <m/>
    <x v="6"/>
    <s v="ห้องน้ำหญิง"/>
    <s v="ทีมซ่อม"/>
    <s v="จัดวันเข้าซ่อมได้เลย"/>
    <s v="ง่าย"/>
    <s v="ไม่สำคัญ"/>
    <s v="ไม่ด่วน"/>
    <x v="1"/>
    <d v="2569-04-11T00:00:00"/>
    <m/>
    <x v="0"/>
    <x v="0"/>
    <m/>
    <x v="0"/>
    <m/>
  </r>
  <r>
    <s v="MTC-MT-20260027"/>
    <s v="ตู้ไฟห้อง EE-14/1 ตัวล็อกเสีย"/>
    <x v="9"/>
    <m/>
    <x v="0"/>
    <m/>
    <s v="ทีมซ่อม"/>
    <s v="สั่งซื้อของ"/>
    <s v="ง่าย"/>
    <m/>
    <m/>
    <x v="0"/>
    <m/>
    <m/>
    <x v="0"/>
    <x v="0"/>
    <m/>
    <x v="0"/>
    <m/>
  </r>
  <r>
    <s v="MTC-MT-20260028"/>
    <s v="ตู้กดน้ำเย็นเสีย"/>
    <x v="7"/>
    <m/>
    <x v="0"/>
    <m/>
    <s v="ทีมซ่อม"/>
    <s v="ตรวจสอบวิเคราห์ปัญหา"/>
    <s v="กลาง"/>
    <m/>
    <m/>
    <x v="0"/>
    <m/>
    <m/>
    <x v="0"/>
    <x v="0"/>
    <m/>
    <x v="0"/>
    <m/>
  </r>
  <r>
    <s v="MTC-MT-20260029"/>
    <s v="อุปกรณ์เกจหัก ที่ห้องฟายปั๊ม"/>
    <x v="0"/>
    <m/>
    <x v="3"/>
    <m/>
    <s v="ทีมซ่อม"/>
    <s v="สั่งซื้อของ"/>
    <s v="กลาง"/>
    <m/>
    <m/>
    <x v="0"/>
    <m/>
    <m/>
    <x v="0"/>
    <x v="0"/>
    <m/>
    <x v="0"/>
    <m/>
  </r>
  <r>
    <s v="MTC-MT-20260030"/>
    <s v="ไม่มีที่ปิดสายไฟ หลังประตู st1"/>
    <x v="0"/>
    <m/>
    <x v="0"/>
    <m/>
    <s v="ทีมซ่อม"/>
    <s v="จัดวันเข้าซ่อมได้เลย"/>
    <s v="ง่าย"/>
    <m/>
    <m/>
    <x v="0"/>
    <d v="2569-04-12T00:00:00"/>
    <m/>
    <x v="0"/>
    <x v="0"/>
    <m/>
    <x v="0"/>
    <m/>
  </r>
  <r>
    <s v="MTC-MT-20260031"/>
    <s v="รอยกระเบื้องแตกตรงเคาเตอร์ร้านกาแฟแนวยาว"/>
    <x v="0"/>
    <m/>
    <x v="9"/>
    <m/>
    <s v="ทีมซ่อม"/>
    <s v="จัดวันเข้าซ่อมได้เลย"/>
    <s v="ง่าย"/>
    <m/>
    <m/>
    <x v="1"/>
    <d v="2569-04-26T00:00:00"/>
    <m/>
    <x v="0"/>
    <x v="0"/>
    <m/>
    <x v="0"/>
    <m/>
  </r>
  <r>
    <s v="MTC-MT-20260032"/>
    <s v="แก้ไขม่านชั้น15"/>
    <x v="1"/>
    <m/>
    <x v="7"/>
    <m/>
    <s v="ทีมซ่อม"/>
    <s v="รอช่างฝ้าเข้าแก้ไข"/>
    <s v="ยาก"/>
    <m/>
    <m/>
    <x v="0"/>
    <m/>
    <m/>
    <x v="0"/>
    <x v="0"/>
    <m/>
    <x v="0"/>
    <m/>
  </r>
  <r>
    <s v="MTC-MT-20260033"/>
    <s v="แก้ไขม่านชั้น12"/>
    <x v="10"/>
    <m/>
    <x v="7"/>
    <m/>
    <s v="ทีมซ่อม"/>
    <s v="จัดวันเข้าซ่อมได้เลย"/>
    <s v="ง่าย"/>
    <m/>
    <m/>
    <x v="0"/>
    <d v="2569-04-08T00:00:00"/>
    <m/>
    <x v="0"/>
    <x v="0"/>
    <m/>
    <x v="0"/>
    <m/>
  </r>
  <r>
    <s v="MTC-MT-20260034"/>
    <s v="แก้ไขม่านชั้น11"/>
    <x v="6"/>
    <m/>
    <x v="7"/>
    <m/>
    <s v="ทีมซ่อม"/>
    <s v="จัดวันเข้าซ่อมได้เลย"/>
    <s v="ง่าย"/>
    <m/>
    <m/>
    <x v="0"/>
    <d v="2569-04-09T00:00:00"/>
    <m/>
    <x v="0"/>
    <x v="0"/>
    <m/>
    <x v="0"/>
    <m/>
  </r>
  <r>
    <s v="MTC-MT-20260035"/>
    <s v="แก้ไขม่านชั้น10"/>
    <x v="11"/>
    <m/>
    <x v="7"/>
    <m/>
    <s v="ทีมซ่อม"/>
    <s v="จัดวันเข้าซ่อมได้เลย"/>
    <s v="ง่าย"/>
    <m/>
    <m/>
    <x v="0"/>
    <m/>
    <m/>
    <x v="0"/>
    <x v="0"/>
    <m/>
    <x v="0"/>
    <m/>
  </r>
  <r>
    <s v="MTC-MT-20260036"/>
    <s v="แก้ไขม่านชั้น9"/>
    <x v="5"/>
    <m/>
    <x v="7"/>
    <m/>
    <s v="ทีมซ่อม"/>
    <s v="จัดวันเข้าซ่อมได้เลย"/>
    <s v="ง่าย"/>
    <m/>
    <m/>
    <x v="1"/>
    <d v="2569-05-08T00:00:00"/>
    <s v="2คน"/>
    <x v="0"/>
    <x v="0"/>
    <m/>
    <x v="0"/>
    <m/>
  </r>
  <r>
    <s v="MTC-MT-20260037"/>
    <s v="แก้ไขม่านชั้น8"/>
    <x v="8"/>
    <m/>
    <x v="7"/>
    <m/>
    <s v="ทีมซ่อม"/>
    <s v="รอช่างฝ้าเข้าแก้ไข"/>
    <s v="ยาก"/>
    <m/>
    <m/>
    <x v="0"/>
    <m/>
    <m/>
    <x v="0"/>
    <x v="0"/>
    <m/>
    <x v="0"/>
    <m/>
  </r>
  <r>
    <s v="MTC-MT-20260038"/>
    <s v="ตรวจเช็คฝ้า"/>
    <x v="12"/>
    <m/>
    <x v="10"/>
    <m/>
    <s v="ทีมซ่อม"/>
    <s v="เข้าตรวจสอบได้เลย"/>
    <s v="ง่าย"/>
    <m/>
    <m/>
    <x v="1"/>
    <d v="2569-04-01T00:00:00"/>
    <m/>
    <x v="0"/>
    <x v="0"/>
    <m/>
    <x v="0"/>
    <m/>
  </r>
  <r>
    <s v="MTC-MT-20260039"/>
    <s v="ตรวจเช็คม่าน"/>
    <x v="12"/>
    <m/>
    <x v="10"/>
    <s v="ทั้งตึก"/>
    <s v="ทีมซ่อม"/>
    <s v="เข้าตรวจสอบได้เลย"/>
    <s v="ง่าย"/>
    <m/>
    <m/>
    <x v="1"/>
    <d v="2569-04-04T00:00:00"/>
    <m/>
    <x v="0"/>
    <x v="0"/>
    <m/>
    <x v="0"/>
    <m/>
  </r>
  <r>
    <s v="MTC-MT-20260040"/>
    <s v="แก้ไขม่านชั้น6"/>
    <x v="2"/>
    <m/>
    <x v="7"/>
    <m/>
    <s v="ทีมซ่อม"/>
    <s v="เข้าตรวจสอบได้เลย"/>
    <s v="ง่าย"/>
    <m/>
    <m/>
    <x v="0"/>
    <m/>
    <m/>
    <x v="0"/>
    <x v="0"/>
    <m/>
    <x v="0"/>
    <m/>
  </r>
  <r>
    <s v="MTC-MT-20260041"/>
    <s v="ตรวจสอบประตู"/>
    <x v="12"/>
    <m/>
    <x v="10"/>
    <s v="ทั้งตึก"/>
    <s v="ทีมซ่อม"/>
    <s v="เข้าตรวจสอบได้เลย"/>
    <s v="ง่าย"/>
    <m/>
    <m/>
    <x v="1"/>
    <m/>
    <m/>
    <x v="0"/>
    <x v="0"/>
    <m/>
    <x v="0"/>
    <m/>
  </r>
  <r>
    <s v="MTC-MT-20260042"/>
    <s v="ตรวจสอบหลอดไฟยาว"/>
    <x v="12"/>
    <m/>
    <x v="10"/>
    <s v="ทั้งตึก"/>
    <s v="ทีมซ่อม"/>
    <s v="เข้าตรวจสอบได้เลย"/>
    <s v="ง่าย"/>
    <m/>
    <m/>
    <x v="1"/>
    <d v="2569-04-28T00:00:00"/>
    <m/>
    <x v="0"/>
    <x v="0"/>
    <m/>
    <x v="0"/>
    <m/>
  </r>
  <r>
    <s v="MTC-MT-20260043"/>
    <s v="ตรวจสอบไฟตามชั้น พนักงาน"/>
    <x v="12"/>
    <m/>
    <x v="10"/>
    <s v="ทั้งตึก"/>
    <s v="ทีมซ่อม"/>
    <s v="เข้าตรวจสอบได้เลย"/>
    <s v="ง่าย"/>
    <m/>
    <m/>
    <x v="1"/>
    <d v="2569-04-28T00:00:00"/>
    <m/>
    <x v="0"/>
    <x v="0"/>
    <m/>
    <x v="0"/>
    <m/>
  </r>
  <r>
    <s v="MTC-MT-20260044"/>
    <s v="ตรวจสอบไฟ ST-1 ST-2"/>
    <x v="12"/>
    <m/>
    <x v="10"/>
    <s v="ทั้งตึก"/>
    <s v="ทีมซ่อม"/>
    <s v="เข้าตรวจสอบได้เลย"/>
    <s v="ง่าย"/>
    <m/>
    <m/>
    <x v="1"/>
    <d v="2569-04-28T00:00:00"/>
    <m/>
    <x v="0"/>
    <x v="0"/>
    <m/>
    <x v="0"/>
    <m/>
  </r>
  <r>
    <s v="MTC-MT-20260045"/>
    <s v="ตรวจสอบไฟ Fire man Life"/>
    <x v="12"/>
    <m/>
    <x v="10"/>
    <s v="ทั้งตึก"/>
    <s v="ทีมซ่อม"/>
    <s v="เข้าตรวจสอบได้เลย"/>
    <s v="ง่าย"/>
    <m/>
    <m/>
    <x v="1"/>
    <d v="2569-04-28T00:00:00"/>
    <m/>
    <x v="0"/>
    <x v="0"/>
    <m/>
    <x v="0"/>
    <m/>
  </r>
  <r>
    <s v="MTC-MT-20260046"/>
    <s v="ตรวจสอบไฟห้องน้ำ"/>
    <x v="12"/>
    <m/>
    <x v="10"/>
    <s v="ทั้งตึก"/>
    <s v="ทีมซ่อม"/>
    <s v="เข้าตรวจสอบได้เลย"/>
    <s v="ง่าย"/>
    <m/>
    <m/>
    <x v="1"/>
    <d v="2569-04-05T00:00:00"/>
    <m/>
    <x v="0"/>
    <x v="0"/>
    <m/>
    <x v="0"/>
    <m/>
  </r>
  <r>
    <s v="MTC-MT-20260047"/>
    <s v="ตรวจสอบอ่างล้างมือ"/>
    <x v="12"/>
    <m/>
    <x v="10"/>
    <s v="ทั้งตึก"/>
    <s v="ทีมซ่อม"/>
    <s v="เข้าตรวจสอบได้เลย"/>
    <s v="ง่าย"/>
    <m/>
    <m/>
    <x v="1"/>
    <d v="2569-04-05T00:00:00"/>
    <m/>
    <x v="0"/>
    <x v="0"/>
    <m/>
    <x v="0"/>
    <m/>
  </r>
  <r>
    <s v="MTC-MT-20260048"/>
    <s v="ตรวจสอบฝาชักโครก"/>
    <x v="12"/>
    <m/>
    <x v="10"/>
    <s v="ทั้งตึก"/>
    <s v="ทีมซ่อม"/>
    <s v="เข้าตรวจสอบได้เลย"/>
    <s v="ง่าย"/>
    <m/>
    <m/>
    <x v="1"/>
    <d v="2569-04-05T00:00:00"/>
    <m/>
    <x v="0"/>
    <x v="0"/>
    <m/>
    <x v="0"/>
    <m/>
  </r>
  <r>
    <s v="MTC-MT-20260049"/>
    <s v="ตรวจสอบสายฉีดชำระ"/>
    <x v="12"/>
    <m/>
    <x v="10"/>
    <s v="ทั้งตึก"/>
    <s v="ทีมซ่อม"/>
    <s v="เข้าตรวจสอบได้เลย"/>
    <s v="ง่าย"/>
    <m/>
    <m/>
    <x v="1"/>
    <d v="2569-04-05T00:00:00"/>
    <m/>
    <x v="0"/>
    <x v="0"/>
    <m/>
    <x v="0"/>
    <m/>
  </r>
  <r>
    <s v="MTC-MT-20260050"/>
    <s v="เติมน้ำเข้าบ่อหลังบริษัท"/>
    <x v="12"/>
    <s v="รีเซป"/>
    <x v="11"/>
    <s v="หลังบริษัท"/>
    <s v="ทีมซ่อม"/>
    <s v="เข้าตรวจสอบได้เลย"/>
    <s v="ง่าย"/>
    <m/>
    <m/>
    <x v="1"/>
    <d v="2569-04-03T00:00:00"/>
    <m/>
    <x v="0"/>
    <x v="0"/>
    <m/>
    <x v="0"/>
    <m/>
  </r>
  <r>
    <s v="MTC-MT-20260051"/>
    <s v="ตรวจสอบ Stock อุปกรณ์"/>
    <x v="12"/>
    <m/>
    <x v="10"/>
    <s v="ห้อง control"/>
    <s v="ทีมซ่อม"/>
    <s v="เข้าตรวจสอบได้เลย"/>
    <s v="ง่าย"/>
    <m/>
    <m/>
    <x v="1"/>
    <d v="2569-04-03T00:00:00"/>
    <m/>
    <x v="0"/>
    <x v="0"/>
    <m/>
    <x v="0"/>
    <m/>
  </r>
  <r>
    <s v="MTC-MT-20260052"/>
    <s v="มิเตอร์น้ำเข้าใช้งานไม่ได้"/>
    <x v="12"/>
    <m/>
    <x v="3"/>
    <m/>
    <s v="ทีมซ่อม"/>
    <s v="เข้าตรวจสอบได้เลย"/>
    <s v="ง่าย"/>
    <m/>
    <m/>
    <x v="1"/>
    <d v="2569-04-03T00:00:00"/>
    <m/>
    <x v="0"/>
    <x v="0"/>
    <m/>
    <x v="0"/>
    <m/>
  </r>
  <r>
    <s v="MTC-MT-20260053"/>
    <s v="เครื่องวัดอุณหภูมิแบตหมด "/>
    <x v="6"/>
    <m/>
    <x v="3"/>
    <s v="ห้องพี่ฟลุ๊ค"/>
    <s v="ทีมซ่อม"/>
    <s v="เข้าตรวจสอบได้เลย"/>
    <s v="ง่าย"/>
    <m/>
    <m/>
    <x v="1"/>
    <d v="2569-04-03T00:00:00"/>
    <m/>
    <x v="0"/>
    <x v="0"/>
    <m/>
    <x v="0"/>
    <m/>
  </r>
  <r>
    <s v="MTC-MT-20260054"/>
    <s v="เดินสายไฟน้ำพุใหม่"/>
    <x v="12"/>
    <m/>
    <x v="0"/>
    <s v="หน้าบริษัท"/>
    <s v="ทีมซ่อม"/>
    <s v="จัดวันเข้าซ่อมได้เลย"/>
    <s v="กลาง"/>
    <m/>
    <m/>
    <x v="1"/>
    <d v="2569-04-03T00:00:00"/>
    <m/>
    <x v="0"/>
    <x v="0"/>
    <m/>
    <x v="0"/>
    <m/>
  </r>
  <r>
    <s v="MTC-MT-20260055"/>
    <s v="ตรวจเช็ค cooling 02"/>
    <x v="12"/>
    <m/>
    <x v="0"/>
    <s v="ชั้นRoof"/>
    <s v="ทีมซ่อม"/>
    <s v="จัดวันเข้าซ่อมได้เลย"/>
    <s v="กลาง"/>
    <m/>
    <m/>
    <x v="1"/>
    <d v="2569-04-05T00:00:00"/>
    <m/>
    <x v="0"/>
    <x v="0"/>
    <m/>
    <x v="0"/>
    <m/>
  </r>
  <r>
    <s v="MTC-MT-20260056"/>
    <s v="Cooling 02 ไม่ทำงาน"/>
    <x v="12"/>
    <m/>
    <x v="0"/>
    <s v="ชั้นRoof"/>
    <s v="ทีมซ่อม"/>
    <s v="จัดวันเข้าซ่อมได้เลย"/>
    <s v="กลาง"/>
    <m/>
    <m/>
    <x v="1"/>
    <d v="2569-04-05T00:00:00"/>
    <m/>
    <x v="0"/>
    <x v="0"/>
    <m/>
    <x v="0"/>
    <m/>
  </r>
  <r>
    <s v="MTC-MT-20260057"/>
    <s v="ไล่อัดทอร์คตู้ไฟ MDB"/>
    <x v="12"/>
    <s v="PM"/>
    <x v="0"/>
    <m/>
    <s v="ทีมซ่อม"/>
    <s v="จัดวันเข้าซ่อมได้เลย"/>
    <s v="ง่าย"/>
    <m/>
    <m/>
    <x v="1"/>
    <d v="2569-04-04T00:00:00"/>
    <m/>
    <x v="0"/>
    <x v="0"/>
    <m/>
    <x v="0"/>
    <m/>
  </r>
  <r>
    <s v="MTC-MT-20260058"/>
    <s v="เปลี่ยนหลอดไฟห้องน้ำชาย 12"/>
    <x v="10"/>
    <m/>
    <x v="0"/>
    <s v="ห้องน้ำ"/>
    <s v="ทีมซ่อม"/>
    <s v="จัดวันเข้าซ่อมได้เลย"/>
    <s v="ง่าย"/>
    <m/>
    <m/>
    <x v="1"/>
    <d v="2569-04-06T00:00:00"/>
    <m/>
    <x v="0"/>
    <x v="0"/>
    <m/>
    <x v="0"/>
    <m/>
  </r>
  <r>
    <s v="MTC-MT-20260059"/>
    <s v="เปลี่ยนหลอดไฟห้องน้ำหญิง 12"/>
    <x v="10"/>
    <m/>
    <x v="0"/>
    <s v="ห้องน้ำ"/>
    <s v="ทีมซ่อม"/>
    <s v="จัดวันเข้าซ่อมได้เลย"/>
    <s v="ง่าย"/>
    <m/>
    <m/>
    <x v="1"/>
    <d v="2569-04-06T00:00:00"/>
    <m/>
    <x v="0"/>
    <x v="0"/>
    <m/>
    <x v="0"/>
    <m/>
  </r>
  <r>
    <s v="MTC-MT-20260060"/>
    <s v="ชักโครกน้ำไหลไม่หยุดห้องน้ำหญิง ชั้น10"/>
    <x v="11"/>
    <m/>
    <x v="8"/>
    <s v="ห้องสุดท้าย"/>
    <s v="ทีมซ่อม"/>
    <s v="จัดวันเข้าซ่อมได้เลย"/>
    <s v="ง่าย"/>
    <m/>
    <m/>
    <x v="1"/>
    <d v="2569-04-06T00:00:00"/>
    <m/>
    <x v="0"/>
    <x v="0"/>
    <m/>
    <x v="0"/>
    <m/>
  </r>
  <r>
    <s v="MTC-MT-20260061"/>
    <s v="ฝาชักโครกโยกห้องน้ำชายชั้น7"/>
    <x v="7"/>
    <m/>
    <x v="8"/>
    <s v="ห้อง2"/>
    <s v="ทีมซ่อม"/>
    <s v="จัดวันเข้าซ่อมได้เลย"/>
    <s v="ง่าย"/>
    <m/>
    <m/>
    <x v="1"/>
    <d v="2569-04-06T00:00:00"/>
    <m/>
    <x v="0"/>
    <x v="0"/>
    <m/>
    <x v="0"/>
    <m/>
  </r>
  <r>
    <s v="MTC-MT-20260062"/>
    <s v="ฝาชักโครกโยกห้องน้ำหญิงชั้น7"/>
    <x v="7"/>
    <m/>
    <x v="8"/>
    <s v="ห้อง3"/>
    <s v="ทีมซ่อม"/>
    <s v="จัดวันเข้าซ่อมได้เลย"/>
    <s v="ง่าย"/>
    <m/>
    <m/>
    <x v="1"/>
    <d v="2569-04-06T00:00:00"/>
    <m/>
    <x v="0"/>
    <x v="0"/>
    <m/>
    <x v="0"/>
    <m/>
  </r>
  <r>
    <s v="MTC-MT-20260063"/>
    <s v="ฝาชักโครกโยกห้องน้ำหญิงชั้น6"/>
    <x v="2"/>
    <m/>
    <x v="8"/>
    <s v="ห้อง4"/>
    <s v="ทีมซ่อม"/>
    <s v="จัดวันเข้าซ่อมได้เลย"/>
    <s v="ง่าย"/>
    <m/>
    <m/>
    <x v="1"/>
    <d v="2569-04-06T00:00:00"/>
    <m/>
    <x v="0"/>
    <x v="0"/>
    <m/>
    <x v="0"/>
    <m/>
  </r>
  <r>
    <s v="MTC-MT-20260064"/>
    <s v="ฝาชักโครกโยกห้องน้ำชายชั้น5"/>
    <x v="4"/>
    <m/>
    <x v="8"/>
    <s v="ห้อง3"/>
    <s v="ทีมซ่อม"/>
    <s v="จัดวันเข้าซ่อมได้เลย"/>
    <s v="ง่าย"/>
    <m/>
    <m/>
    <x v="1"/>
    <d v="2569-04-06T00:00:00"/>
    <m/>
    <x v="0"/>
    <x v="0"/>
    <m/>
    <x v="0"/>
    <m/>
  </r>
  <r>
    <s v="MTC-MT-20260065"/>
    <s v="ก็อกอ่างล่างมือชั้น8ห้องน้ำพิเศษโยก"/>
    <x v="8"/>
    <m/>
    <x v="8"/>
    <s v="ห้องน้ำพิเศษ"/>
    <s v="ทีมซ่อม"/>
    <s v="จัดวันเข้าซ่อมได้เลย"/>
    <s v="ง่าย"/>
    <m/>
    <m/>
    <x v="0"/>
    <d v="2569-04-06T00:00:00"/>
    <m/>
    <x v="0"/>
    <x v="0"/>
    <m/>
    <x v="0"/>
    <m/>
  </r>
  <r>
    <s v="MTC-MT-20260066"/>
    <s v="สายฉีดชำระตะกรันอุดตัน ชั้น15"/>
    <x v="1"/>
    <m/>
    <x v="8"/>
    <s v="ห้อง2"/>
    <s v="ทีมซ่อม"/>
    <s v="จัดวันเข้าซ่อมได้เลย"/>
    <s v="ง่าย"/>
    <m/>
    <m/>
    <x v="1"/>
    <d v="2569-04-08T00:00:00"/>
    <m/>
    <x v="0"/>
    <x v="0"/>
    <m/>
    <x v="0"/>
    <m/>
  </r>
  <r>
    <s v="MTC-MT-20260067"/>
    <s v="สายฉีดชำระกดแล้วค้างห้องน้ำชาย ชั้น14"/>
    <x v="9"/>
    <m/>
    <x v="8"/>
    <s v="ห้อง1"/>
    <s v="ทีมซ่อม"/>
    <s v="จัดวันเข้าซ่อมได้เลย"/>
    <s v="ง่าย"/>
    <m/>
    <m/>
    <x v="1"/>
    <d v="2569-04-08T00:00:00"/>
    <m/>
    <x v="0"/>
    <x v="0"/>
    <m/>
    <x v="0"/>
    <m/>
  </r>
  <r>
    <s v="MTC-MT-20260068"/>
    <s v="สายฉีดชำระน้ำออกน้อย ห้องหญิง ชั้น14"/>
    <x v="9"/>
    <m/>
    <x v="8"/>
    <s v="ห้อง3"/>
    <s v="ทีมซ่อม"/>
    <s v="จัดวันเข้าซ่อมได้เลย"/>
    <s v="ง่าย"/>
    <m/>
    <m/>
    <x v="1"/>
    <d v="2569-04-08T00:00:00"/>
    <m/>
    <x v="0"/>
    <x v="0"/>
    <m/>
    <x v="0"/>
    <m/>
  </r>
  <r>
    <s v="MTC-MT-20260069"/>
    <s v="สายฉีดชำระตะกรันอุดตัน ห้องหญิง ชั้น5"/>
    <x v="4"/>
    <m/>
    <x v="8"/>
    <s v="ห้อง1"/>
    <s v="ทีมซ่อม"/>
    <s v="จัดวันเข้าซ่อมได้เลย"/>
    <s v="ง่าย"/>
    <m/>
    <m/>
    <x v="1"/>
    <d v="2569-04-08T00:00:00"/>
    <m/>
    <x v="0"/>
    <x v="0"/>
    <m/>
    <x v="0"/>
    <m/>
  </r>
  <r>
    <s v="MTC-MT-20260070"/>
    <s v="ติดเทปซีลประตู ชั้นG ประตูหน้าข้างฝั่งห้องน้ำ"/>
    <x v="0"/>
    <m/>
    <x v="3"/>
    <s v="ทั้งชั้นG"/>
    <s v="ทีมซ่อม"/>
    <s v="จัดวันเข้าซ่อมได้เลย"/>
    <s v="ง่าย"/>
    <m/>
    <m/>
    <x v="0"/>
    <m/>
    <m/>
    <x v="0"/>
    <x v="0"/>
    <m/>
    <x v="0"/>
    <m/>
  </r>
  <r>
    <s v="MTC-MT-20260071"/>
    <s v="ติดเทปซีลประตู ชั้นG ประตูหน้าข้างฝั่งร้านกาแฟ"/>
    <x v="0"/>
    <m/>
    <x v="3"/>
    <s v="ทั้งชั้นG"/>
    <s v="ทีมซ่อม"/>
    <s v="จัดวันเข้าซ่อมได้เลย"/>
    <s v="ง่าย"/>
    <m/>
    <m/>
    <x v="0"/>
    <m/>
    <m/>
    <x v="0"/>
    <x v="0"/>
    <m/>
    <x v="0"/>
    <m/>
  </r>
  <r>
    <s v="MTC-MT-20260072"/>
    <s v="ติดเทปซีลประตู ชั้นG ประตูหน้าฝั่งวัด"/>
    <x v="0"/>
    <m/>
    <x v="3"/>
    <s v="ทั้งชั้นG"/>
    <s v="ทีมซ่อม"/>
    <s v="จัดวันเข้าซ่อมได้เลย"/>
    <s v="ง่าย"/>
    <m/>
    <m/>
    <x v="1"/>
    <d v="2569-04-09T00:00:00"/>
    <m/>
    <x v="0"/>
    <x v="0"/>
    <m/>
    <x v="0"/>
    <m/>
  </r>
  <r>
    <s v="MTC-MT-20260073"/>
    <s v="ติดเทปซีลประตู ชั้นG ประตูหน้าฝั่งโลตัส"/>
    <x v="0"/>
    <m/>
    <x v="3"/>
    <s v="ทั้งชั้นG"/>
    <s v="ทีมซ่อม"/>
    <s v="จัดวันเข้าซ่อมได้เลย"/>
    <s v="ง่าย"/>
    <m/>
    <m/>
    <x v="1"/>
    <d v="2569-04-09T00:00:00"/>
    <m/>
    <x v="0"/>
    <x v="0"/>
    <m/>
    <x v="0"/>
    <m/>
  </r>
  <r>
    <s v="MTC-MT-20260074"/>
    <s v="ประตูหน้าบริษัทเปิดไม่ได้"/>
    <x v="0"/>
    <m/>
    <x v="6"/>
    <s v="หน้าบริษัท"/>
    <s v="ผู้รับเหมา"/>
    <m/>
    <m/>
    <s v="สำคัญ"/>
    <s v="ด่วน"/>
    <x v="1"/>
    <d v="2569-04-07T00:00:00"/>
    <m/>
    <x v="0"/>
    <x v="0"/>
    <m/>
    <x v="0"/>
    <m/>
  </r>
  <r>
    <s v="MTC-MT-20260075"/>
    <s v="โถปัสสวะน้ำไหลเบา"/>
    <x v="6"/>
    <m/>
    <x v="8"/>
    <s v=" โถ1"/>
    <s v="ทีมซ่อม"/>
    <s v="จัดวันเข้าซ่อมได้เลย"/>
    <s v="ง่าย"/>
    <m/>
    <m/>
    <x v="1"/>
    <d v="2569-04-18T00:00:00"/>
    <m/>
    <x v="0"/>
    <x v="0"/>
    <m/>
    <x v="0"/>
    <m/>
  </r>
  <r>
    <s v="MTC-MT-20260076"/>
    <s v="โถปัสสวะน้ำไหลเบา"/>
    <x v="8"/>
    <m/>
    <x v="8"/>
    <s v="โถ2"/>
    <s v="ทีมซ่อม"/>
    <s v="จัดวันเข้าซ่อมได้เลย"/>
    <s v="ง่าย"/>
    <m/>
    <m/>
    <x v="1"/>
    <d v="2569-04-18T00:00:00"/>
    <m/>
    <x v="0"/>
    <x v="0"/>
    <m/>
    <x v="0"/>
    <m/>
  </r>
  <r>
    <s v="MTC-MT-20260077"/>
    <s v="โถปัสสวะใช้งานไม่ได้"/>
    <x v="7"/>
    <m/>
    <x v="8"/>
    <s v="โถ3"/>
    <s v="ทีมซ่อม"/>
    <s v="จัดวันเข้าซ่อมได้เลย"/>
    <s v="กลาง"/>
    <m/>
    <m/>
    <x v="1"/>
    <d v="2569-04-17T00:00:00"/>
    <m/>
    <x v="0"/>
    <x v="0"/>
    <m/>
    <x v="0"/>
    <m/>
  </r>
  <r>
    <s v="MTC-MT-20260078"/>
    <s v="เปลี่ยนประเก็นท่อ Fire Pump"/>
    <x v="13"/>
    <m/>
    <x v="4"/>
    <s v="ด้าดฟ้า"/>
    <s v="ทีมซ่อม"/>
    <s v="รอจนกว่าปะเก็นที่เพิ่งเปลี่ยนจะชำรุด"/>
    <s v="กลาง"/>
    <s v="สำคัญ"/>
    <s v="ไม่ด่วน"/>
    <x v="0"/>
    <m/>
    <s v="4คน"/>
    <x v="0"/>
    <x v="0"/>
    <m/>
    <x v="1"/>
    <m/>
  </r>
  <r>
    <s v="MTC-MT-20260079"/>
    <s v="ประตูห้องน้ำหญิงมีรู ชั้น8"/>
    <x v="8"/>
    <m/>
    <x v="6"/>
    <s v="ห้องน้ำหญิงชั้น8"/>
    <s v="ทีมซ่อม"/>
    <m/>
    <s v="ง่าย"/>
    <s v="สำคัญ"/>
    <s v="ไม่ด่วน"/>
    <x v="1"/>
    <d v="2026-05-23T00:00:00"/>
    <s v="1คน"/>
    <x v="6"/>
    <x v="1"/>
    <s v="ยิงซิลิโคนอัดจุดที่เป็นรูเเล้วใช้สเปรย์สีดำฉี"/>
    <x v="2"/>
    <n v="4"/>
  </r>
  <r>
    <s v="MTC-MT-20260080"/>
    <s v="ตรวจสอบประตู"/>
    <x v="14"/>
    <m/>
    <x v="10"/>
    <s v="ทั้งตึก"/>
    <s v="ทีมซ่อม"/>
    <m/>
    <s v="กลาง"/>
    <s v="สำคัญ"/>
    <s v="ไม่ด่วน"/>
    <x v="1"/>
    <d v="2026-05-17T00:00:00"/>
    <s v="2คน"/>
    <x v="7"/>
    <x v="1"/>
    <m/>
    <x v="2"/>
    <n v="3"/>
  </r>
  <r>
    <s v="MTC-MT-20260081"/>
    <s v="ตรวจสอบไฟห้องน้ำ"/>
    <x v="14"/>
    <m/>
    <x v="10"/>
    <s v="ทั้งตึก"/>
    <s v="ทีมซ่อม"/>
    <m/>
    <s v="ง่าย"/>
    <s v="สำคัญ"/>
    <s v="ไม่ด่วน"/>
    <x v="1"/>
    <d v="2026-05-17T00:00:00"/>
    <s v="2คน"/>
    <x v="7"/>
    <x v="1"/>
    <m/>
    <x v="2"/>
    <n v="3"/>
  </r>
  <r>
    <s v="MTC-MT-20260082"/>
    <s v="ตรวจสอบอ่างล้างมือ"/>
    <x v="14"/>
    <m/>
    <x v="10"/>
    <s v="ทั้งตึก"/>
    <s v="ทีมซ่อม"/>
    <m/>
    <s v="ง่าย"/>
    <s v="สำคัญ"/>
    <s v="ไม่ด่วน"/>
    <x v="1"/>
    <d v="2026-05-17T00:00:00"/>
    <s v="1คน"/>
    <x v="7"/>
    <x v="1"/>
    <m/>
    <x v="2"/>
    <n v="3"/>
  </r>
  <r>
    <s v="MTC-MT-20260083"/>
    <s v="ตรวจสอบฝาชักโครก"/>
    <x v="14"/>
    <m/>
    <x v="10"/>
    <s v="ทั้งตึก"/>
    <s v="ทีมซ่อม"/>
    <m/>
    <s v="ง่าย"/>
    <s v="สำคัญ"/>
    <s v="ไม่ด่วน"/>
    <x v="1"/>
    <d v="2026-05-17T00:00:00"/>
    <s v="1คน"/>
    <x v="7"/>
    <x v="1"/>
    <m/>
    <x v="2"/>
    <n v="3"/>
  </r>
  <r>
    <s v="MTC-MT-20260084"/>
    <s v="ตรวจสอบสายฉีดชำระ"/>
    <x v="14"/>
    <m/>
    <x v="10"/>
    <s v="ทั้งตึก"/>
    <s v="ทีมซ่อม"/>
    <m/>
    <s v="ง่าย"/>
    <s v="สำคัญ"/>
    <s v="ไม่ด่วน"/>
    <x v="1"/>
    <d v="2026-05-17T00:00:00"/>
    <s v="1คน"/>
    <x v="7"/>
    <x v="1"/>
    <m/>
    <x v="2"/>
    <n v="3"/>
  </r>
  <r>
    <s v="MTC-MT-20260085"/>
    <s v="หลอดไฟติด Firemanfift"/>
    <x v="15"/>
    <m/>
    <x v="0"/>
    <s v="Firemanlift ชั้น3"/>
    <s v="ทีมซ่อม"/>
    <m/>
    <s v="ง่าย"/>
    <s v="สำคัญ"/>
    <s v="ไม่ด่วน"/>
    <x v="1"/>
    <d v="2026-05-12T00:00:00"/>
    <s v="1คน"/>
    <x v="8"/>
    <x v="2"/>
    <s v="เปลี่ยนหลอดไฟใหม่"/>
    <x v="2"/>
    <n v="2"/>
  </r>
  <r>
    <s v="MTC-MT-20260087"/>
    <s v="ทำฐานพระนั่ง"/>
    <x v="4"/>
    <m/>
    <x v="12"/>
    <s v="ห้องประชุมชั้น5"/>
    <s v="ทีมซ่อม"/>
    <m/>
    <s v="กลาง"/>
    <s v="สำคัญ"/>
    <s v="ด่วน"/>
    <x v="1"/>
    <d v="2026-05-02T00:00:00"/>
    <s v="5คน"/>
    <x v="0"/>
    <x v="0"/>
    <m/>
    <x v="2"/>
    <n v="1"/>
  </r>
  <r>
    <s v="MTC-MT-20260088"/>
    <s v="ท่อส่งน้ำดับเพลิงน้ำรั่ว"/>
    <x v="0"/>
    <m/>
    <x v="4"/>
    <s v="ST2"/>
    <s v="ผู้รับเหมา"/>
    <m/>
    <s v="กลาง"/>
    <s v="สำคัญ"/>
    <s v="ด่วน"/>
    <x v="0"/>
    <m/>
    <m/>
    <x v="0"/>
    <x v="0"/>
    <m/>
    <x v="1"/>
    <m/>
  </r>
  <r>
    <s v="MTC-MT-20260089"/>
    <s v="ตู้ไฟหน้าบริษัท"/>
    <x v="0"/>
    <m/>
    <x v="13"/>
    <s v="ตู้เปิดน้ำพุ"/>
    <s v="ทีมซ่อม"/>
    <m/>
    <s v="กลาง"/>
    <s v="สำคัญ"/>
    <s v="ด่วน"/>
    <x v="1"/>
    <d v="2026-05-14T00:00:00"/>
    <s v="1คน"/>
    <x v="9"/>
    <x v="1"/>
    <s v="การถอดสลักฝากปิดออกและทำความสะอาดตู้(ตู้ไม่ได้ใช้งาน)"/>
    <x v="2"/>
    <n v="2"/>
  </r>
  <r>
    <s v="MTC-MT-20260090"/>
    <s v="สายไฟไม่เรียบร้อย"/>
    <x v="0"/>
    <m/>
    <x v="0"/>
    <s v="ที่ตั้งร้านกาแฟตอนเช้า"/>
    <s v="ทีมซ่อม"/>
    <m/>
    <s v="ง่าย"/>
    <s v="สำคัญ"/>
    <s v="ด่วน"/>
    <x v="0"/>
    <m/>
    <m/>
    <x v="0"/>
    <x v="0"/>
    <m/>
    <x v="1"/>
    <m/>
  </r>
  <r>
    <s v="MTC-MT-20260091"/>
    <s v="เกลือขึ้นรอบถัง"/>
    <x v="0"/>
    <m/>
    <x v="14"/>
    <s v="ห้องFire pump"/>
    <s v="ทีมซ่อม"/>
    <m/>
    <s v="กลาง"/>
    <s v="สำคัญ"/>
    <s v="ด่วน"/>
    <x v="1"/>
    <d v="2026-05-23T00:00:00"/>
    <s v="1คน"/>
    <x v="10"/>
    <x v="1"/>
    <s v="ขัดเกลือรอบถังและใช้น้ำเเรงดันฉีด"/>
    <x v="2"/>
    <n v="4"/>
  </r>
  <r>
    <s v="MTC-MT-20260092"/>
    <s v="บ่อทรายถังน้ำมัน"/>
    <x v="0"/>
    <m/>
    <x v="14"/>
    <s v="ห้องFire pump"/>
    <s v="ทีมซ่อม"/>
    <m/>
    <s v="ยาก"/>
    <s v="สำคัญ"/>
    <s v="ด่วน"/>
    <x v="0"/>
    <m/>
    <m/>
    <x v="0"/>
    <x v="0"/>
    <m/>
    <x v="1"/>
    <m/>
  </r>
  <r>
    <s v="MTC-MT-20260093"/>
    <s v="ระบบไฟน้ำพุช็อค"/>
    <x v="0"/>
    <m/>
    <x v="0"/>
    <s v="น้ำพุ"/>
    <s v="ทีมซ่อม"/>
    <m/>
    <s v="ง่าย"/>
    <s v="สำคัญ"/>
    <s v="ด่วน"/>
    <x v="0"/>
    <m/>
    <m/>
    <x v="0"/>
    <x v="0"/>
    <m/>
    <x v="1"/>
    <m/>
  </r>
  <r>
    <s v="MTC-MT-20260094"/>
    <s v="PM น้ำพุ"/>
    <x v="0"/>
    <s v="PM"/>
    <x v="15"/>
    <m/>
    <s v="ทีมซ่อม"/>
    <m/>
    <m/>
    <m/>
    <m/>
    <x v="1"/>
    <d v="2026-05-03T00:00:00"/>
    <s v="2คน"/>
    <x v="0"/>
    <x v="0"/>
    <m/>
    <x v="2"/>
    <n v="1"/>
  </r>
  <r>
    <s v="MTC-MT-20260095"/>
    <s v="PM Firepump"/>
    <x v="0"/>
    <s v="PM"/>
    <x v="15"/>
    <m/>
    <s v="ทีมซ่อม"/>
    <m/>
    <m/>
    <m/>
    <m/>
    <x v="1"/>
    <d v="2026-05-03T00:00:00"/>
    <s v="2คน"/>
    <x v="0"/>
    <x v="0"/>
    <m/>
    <x v="2"/>
    <n v="1"/>
  </r>
  <r>
    <s v="MTC-MT-20260096"/>
    <s v="PM Gen"/>
    <x v="2"/>
    <s v="PM"/>
    <x v="15"/>
    <m/>
    <s v="ทีมซ่อม"/>
    <m/>
    <m/>
    <m/>
    <m/>
    <x v="1"/>
    <d v="2026-05-03T00:00:00"/>
    <s v="2คน"/>
    <x v="0"/>
    <x v="0"/>
    <m/>
    <x v="2"/>
    <n v="1"/>
  </r>
  <r>
    <s v="MTC-MT-20260097"/>
    <s v="ประตูห้องpantry ชั้น15 ปัญหาโช๊ค"/>
    <x v="1"/>
    <m/>
    <x v="6"/>
    <s v="ชั้น15"/>
    <s v="ทีมซ่อม"/>
    <m/>
    <s v="ง่าย"/>
    <s v="สำคัญ"/>
    <s v="ไม่ด่วน"/>
    <x v="1"/>
    <d v="2026-05-24T00:00:00"/>
    <s v="1คน"/>
    <x v="11"/>
    <x v="1"/>
    <s v="-ปรับโช๊ค_x000a_-ฉีดsonaxใส่บานพับ/ลูกยาง"/>
    <x v="2"/>
    <n v="4"/>
  </r>
  <r>
    <s v="MTC-MT-20260098"/>
    <s v="ประตู auto door ล็อค"/>
    <x v="1"/>
    <m/>
    <x v="6"/>
    <s v="ชั้น15"/>
    <s v="ทีมซ่อม"/>
    <m/>
    <s v="ยาก"/>
    <s v="สำคัญ"/>
    <s v="ไม่ด่วน"/>
    <x v="1"/>
    <d v="2026-06-13T00:00:00"/>
    <s v="2คน"/>
    <x v="11"/>
    <x v="1"/>
    <m/>
    <x v="1"/>
    <n v="2"/>
  </r>
  <r>
    <s v="MTC-MT-20260099"/>
    <s v="ประตู ST1 ปัญหาโช๊ค"/>
    <x v="1"/>
    <m/>
    <x v="6"/>
    <s v="ชั้น15"/>
    <s v="ทีมซ่อม"/>
    <m/>
    <s v="ง่าย"/>
    <s v="สำคัญ"/>
    <s v="ไม่ด่วน"/>
    <x v="1"/>
    <d v="2026-05-24T00:00:00"/>
    <s v="1คน"/>
    <x v="12"/>
    <x v="1"/>
    <s v="-ปรับโช๊ค_x000a_-ฉีดsonaxใส่บานพับกลอนประตู"/>
    <x v="2"/>
    <n v="4"/>
  </r>
  <r>
    <s v="MTC-MT-20260100"/>
    <s v="ประตูห้อง EE-14 ชั้น14ปิดไม่สนิท"/>
    <x v="16"/>
    <m/>
    <x v="6"/>
    <s v="ห้อง EE-14"/>
    <s v="ทีมซ่อม"/>
    <m/>
    <s v="ง่าย"/>
    <s v="สำคัญ"/>
    <s v="ไม่ด่วน"/>
    <x v="1"/>
    <d v="2026-05-15T00:00:00"/>
    <s v="2คน"/>
    <x v="6"/>
    <x v="1"/>
    <s v="ขันสกรูวเพื่อขยับตำแหน่งลูกบิดประตูให้เข้าไปด้านในมากขึ้น"/>
    <x v="2"/>
    <n v="3"/>
  </r>
  <r>
    <s v="MTC-MT-20260101"/>
    <s v="ห้องน้ำหญิง บานพับประตุเสื่อมสภาพ"/>
    <x v="16"/>
    <m/>
    <x v="6"/>
    <s v="ชั้น14"/>
    <s v="ทีมซ่อม"/>
    <m/>
    <s v="ง่าย"/>
    <s v="สำคัญ"/>
    <s v="ไม่ด่วน"/>
    <x v="1"/>
    <d v="2026-05-15T00:00:00"/>
    <s v="2คน"/>
    <x v="13"/>
    <x v="1"/>
    <s v="- ฉีดน้ำมันหล่อลื่นบริเวณบานพับ และลูกยางโช๊ค_x000a_- ขันท็อคสกรูวยึดบานพับ เนื่องจากสกรูวคลาย"/>
    <x v="2"/>
    <n v="3"/>
  </r>
  <r>
    <s v="MTC-MT-20260102"/>
    <s v="ห้องน้ำหญิงประตูมีเสียง"/>
    <x v="9"/>
    <m/>
    <x v="6"/>
    <s v="ชั้น14"/>
    <s v="ทีมซ่อม"/>
    <m/>
    <s v="ง่าย"/>
    <s v="สำคัญ"/>
    <s v="ไม่ด่วน"/>
    <x v="1"/>
    <d v="2569-05-15T00:00:00"/>
    <s v="2คน"/>
    <x v="0"/>
    <x v="0"/>
    <m/>
    <x v="2"/>
    <n v="2"/>
  </r>
  <r>
    <s v="MTC-MT-20260103"/>
    <s v="auto door มีเสียง"/>
    <x v="9"/>
    <m/>
    <x v="6"/>
    <s v="ชั้น14"/>
    <s v="ทีมซ่อม"/>
    <m/>
    <s v="ง่าย"/>
    <s v="สำคัญ"/>
    <s v="ไม่ด่วน"/>
    <x v="1"/>
    <d v="2026-06-19T00:00:00"/>
    <s v="1คน"/>
    <x v="6"/>
    <x v="1"/>
    <m/>
    <x v="1"/>
    <n v="3"/>
  </r>
  <r>
    <s v="MTC-MT-20260104"/>
    <s v="ประตูEE 14 ปิดไม่สนิท,เสียงดัง"/>
    <x v="9"/>
    <m/>
    <x v="6"/>
    <s v="ชั้น14"/>
    <s v="ทีมซ่อม"/>
    <m/>
    <s v="ง่าย"/>
    <s v="สำคัญ"/>
    <s v="ไม่ด่วน"/>
    <x v="1"/>
    <d v="2569-05-15T00:00:00"/>
    <s v="2คน"/>
    <x v="0"/>
    <x v="0"/>
    <m/>
    <x v="2"/>
    <n v="2"/>
  </r>
  <r>
    <s v="MTC-MT-20260105"/>
    <s v="ประตูFireman ปิดไม่สนิท"/>
    <x v="9"/>
    <m/>
    <x v="6"/>
    <s v="ชั้น14"/>
    <s v="ทีมซ่อม"/>
    <m/>
    <s v="ง่าย"/>
    <s v="สำคัญ"/>
    <s v="ไม่ด่วน"/>
    <x v="1"/>
    <d v="2026-06-19T00:00:00"/>
    <s v="1คน"/>
    <x v="14"/>
    <x v="1"/>
    <m/>
    <x v="1"/>
    <n v="3"/>
  </r>
  <r>
    <s v="MTC-MT-20260106"/>
    <s v="ประตูห้องน้ำชาย มีเสียง"/>
    <x v="10"/>
    <m/>
    <x v="6"/>
    <s v="ชั้น12"/>
    <s v="ทีมซ่อม"/>
    <m/>
    <s v="ง่าย"/>
    <s v="สำคัญ"/>
    <s v="ไม่ด่วน"/>
    <x v="1"/>
    <d v="2026-05-24T00:00:00"/>
    <s v="1คน"/>
    <x v="15"/>
    <x v="1"/>
    <s v="-อัดเเน่นสกรูยึดบานพับ_x000a_-ฉีดsonaxใส่บานพับ/ลูกยาง"/>
    <x v="2"/>
    <n v="4"/>
  </r>
  <r>
    <s v="MTC-MT-20260107"/>
    <s v="ประตูห้องน้ำหญิงมีปัญหา ลูกบิด,โช๊ค,เสียงดัง,กลอนล้อค"/>
    <x v="10"/>
    <m/>
    <x v="6"/>
    <s v="ชั้น12"/>
    <s v="ทีมซ่อม"/>
    <m/>
    <s v="ง่าย"/>
    <s v="สำคัญ"/>
    <s v="ไม่ด่วน"/>
    <x v="1"/>
    <d v="2026-05-24T00:00:00"/>
    <s v="1คน"/>
    <x v="16"/>
    <x v="1"/>
    <s v="-ยายตำเเหน่งลูกยางล็อคข้างบน_x000a_-ฉีดsonaxใส่บานพับ/ลูกยาง"/>
    <x v="2"/>
    <n v="4"/>
  </r>
  <r>
    <s v="MTC-MT-20260108"/>
    <s v="ประตูห้องpantrg ชั้น12 ปิดไม่สนิท"/>
    <x v="10"/>
    <m/>
    <x v="6"/>
    <s v="ชั้น12"/>
    <s v="ทีมซ่อม"/>
    <m/>
    <s v="ง่าย"/>
    <s v="สำคัญ"/>
    <s v="ไม่ด่วน"/>
    <x v="1"/>
    <d v="2026-05-24T00:00:00"/>
    <s v="1คน"/>
    <x v="16"/>
    <x v="1"/>
    <s v="-ปรับโช๊ค_x000a_-ฉีดsonaxใส่บานพับ/ลูกยาง"/>
    <x v="2"/>
    <n v="4"/>
  </r>
  <r>
    <s v="MTC-MT-20260109"/>
    <s v="ประตุห้องคุณบัญญัติ เสียงดัง,กลอนล้อค"/>
    <x v="10"/>
    <m/>
    <x v="6"/>
    <s v="ชั้น12"/>
    <s v="ทีมซ่อม"/>
    <m/>
    <s v="ง่าย"/>
    <s v="สำคัญ"/>
    <s v="ไม่ด่วน"/>
    <x v="1"/>
    <d v="2026-06-06T00:00:00"/>
    <s v="1คน"/>
    <x v="6"/>
    <x v="1"/>
    <s v="- ขันสกรูปรับลดความเร็วในการปิด_x000a_- ฉีดน้ำมันหลื่นลื่นที่สกรู และบานพับ กันการชำรุด"/>
    <x v="1"/>
    <n v="1"/>
  </r>
  <r>
    <s v="MTC-MT-20260110"/>
    <s v="ประตูST2 เสียงดัง ชั้น12"/>
    <x v="10"/>
    <m/>
    <x v="6"/>
    <s v="ชั้น12"/>
    <s v="ทีมซ่อม"/>
    <m/>
    <s v="ง่าย"/>
    <s v="สำคัญ"/>
    <s v="ไม่ด่วน"/>
    <x v="1"/>
    <d v="2026-06-06T00:00:00"/>
    <s v="1คน"/>
    <x v="17"/>
    <x v="1"/>
    <s v="- ขันสกรูปรับเพิ่มความเร็วในการปิด และลดระยะ latching_x000a_- ฉีดน้ำมันหลื่นลื่นที่สกรู และบานพับ กันการชำรุด"/>
    <x v="1"/>
    <n v="1"/>
  </r>
  <r>
    <s v="MTC-MT-20260111"/>
    <s v="ประตูFireman เสียงดัง ชั้น12"/>
    <x v="10"/>
    <m/>
    <x v="6"/>
    <s v="ชั้น12"/>
    <s v="ทีมซ่อม"/>
    <m/>
    <s v="ง่าย"/>
    <s v="สำคัญ"/>
    <s v="ไม่ด่วน"/>
    <x v="1"/>
    <d v="2026-06-06T00:00:00"/>
    <s v="1คน"/>
    <x v="6"/>
    <x v="1"/>
    <s v="- ขันสกรูปรับเพิ่มความเร็วในการปิด และลดระยะ latching_x000a_- ฉีดน้ำมันหลื่นลื่นที่สกรู และบานพับ กันการชำรุด"/>
    <x v="1"/>
    <n v="1"/>
  </r>
  <r>
    <s v="MTC-MT-20260112"/>
    <s v="ประตูห้องพี่ฟลุ๊ค,โช๊ค"/>
    <x v="6"/>
    <m/>
    <x v="6"/>
    <s v="ชั้น11"/>
    <s v="ทีมซ่อม"/>
    <m/>
    <s v="ง่าย"/>
    <s v="สำคัญ"/>
    <s v="ไม่ด่วน"/>
    <x v="1"/>
    <d v="2026-06-06T00:00:00"/>
    <s v="1คน"/>
    <x v="17"/>
    <x v="1"/>
    <s v="- ขันสกรูปรับระยะลูกยางโช๊คบริเวณวงกบบนประตู ให้ยื่นออกมาน้อยลง_x000a_- ฉีดน้ำมันหล่อลื่นบริเวณลูกยางล็อคโช๊ค เพื่อลดเสียงจากการเสียดสี"/>
    <x v="1"/>
    <n v="1"/>
  </r>
  <r>
    <s v="MTC-MT-20260113"/>
    <s v="ประตูห้องน้ำชาย เสียงดัง,กลอนล้อค"/>
    <x v="6"/>
    <m/>
    <x v="6"/>
    <s v="ชั้น11"/>
    <s v="ทีมซ่อม"/>
    <m/>
    <s v="ง่าย"/>
    <s v="สำคัญ"/>
    <s v="ไม่ด่วน"/>
    <x v="1"/>
    <d v="2569-06-13T00:00:00"/>
    <s v="2คน"/>
    <x v="0"/>
    <x v="0"/>
    <m/>
    <x v="1"/>
    <n v="2"/>
  </r>
  <r>
    <s v="MTC-MT-20260114"/>
    <s v="ประตูห้องน้ำหญิง เสียงดัง,กลอนล็อค"/>
    <x v="6"/>
    <m/>
    <x v="6"/>
    <s v="ชั้น11"/>
    <s v="ทีมซ่อม"/>
    <m/>
    <s v="ง่าย"/>
    <s v="สำคัญ"/>
    <s v="ไม่ด่วน"/>
    <x v="1"/>
    <d v="2569-06-13T00:00:00"/>
    <s v="2คน"/>
    <x v="0"/>
    <x v="0"/>
    <m/>
    <x v="1"/>
    <n v="2"/>
  </r>
  <r>
    <s v="MTC-MT-20260115"/>
    <s v="ประตูด้านหน้าทางเข้า EE11/1 เสียงดัง"/>
    <x v="6"/>
    <m/>
    <x v="6"/>
    <s v="ชั้น11"/>
    <s v="ทีมซ่อม"/>
    <m/>
    <s v="ง่าย"/>
    <s v="สำคัญ"/>
    <s v="ไม่ด่วน"/>
    <x v="1"/>
    <d v="2026-06-06T00:00:00"/>
    <s v="1คน"/>
    <x v="6"/>
    <x v="1"/>
    <s v="- ขันสกรูปรับลดความเร็วในการปิด และลดระยะ latching_x000a_- ฉีดน้ำมันหลื่นลื่นที่สกรู และบานพับ กันการชำรุด"/>
    <x v="1"/>
    <n v="1"/>
  </r>
  <r>
    <s v="MTC-MT-20260116"/>
    <s v="ประตูห้องpantrg โช๊ค,เสียงดัง"/>
    <x v="6"/>
    <m/>
    <x v="6"/>
    <s v="ชั้น11"/>
    <s v="ทีมซ่อม"/>
    <m/>
    <s v="ง่าย"/>
    <s v="สำคัญ"/>
    <s v="ไม่ด่วน"/>
    <x v="1"/>
    <d v="2026-06-06T00:00:00"/>
    <s v="1คน"/>
    <x v="17"/>
    <x v="1"/>
    <s v="- ขันสกรูปรับลดความเร็วในการปิดของโช๊ค และขันลดระยะ latching ก่อนปิดสนิท_x000a_- ฉีดน้ำมันหล่อลื่นบริเวณสกรูโช๊ค และบานพับป้องกันการชำรุดในอนาคต_x000a_- ฉีดน้ำมันหล่อลื่นบริเวณลูกยางล็อคโช๊ค เพื่อลดเสียงจากการเสียดสี"/>
    <x v="1"/>
    <n v="1"/>
  </r>
  <r>
    <s v="MTC-MT-20260116"/>
    <s v="ประตูห้องน้ำชาย ชั้น10 เสียงดัง"/>
    <x v="11"/>
    <m/>
    <x v="6"/>
    <s v="ชั้น10"/>
    <s v="ทีมซ่อม"/>
    <m/>
    <s v="ง่าย"/>
    <s v="สำคัญ"/>
    <s v="ไม่ด่วน"/>
    <x v="1"/>
    <d v="2026-06-03T00:00:00"/>
    <s v="1คน"/>
    <x v="0"/>
    <x v="0"/>
    <m/>
    <x v="1"/>
    <n v="1"/>
  </r>
  <r>
    <s v="MTC-MT-20260117"/>
    <s v="ประตูห้องpantrg เสียงดัง ชั้น10"/>
    <x v="11"/>
    <m/>
    <x v="6"/>
    <s v="ชั้น10"/>
    <s v="ทีมซ่อม"/>
    <m/>
    <s v="ง่าย"/>
    <s v="สำคัญ"/>
    <s v="ไม่ด่วน"/>
    <x v="1"/>
    <d v="2026-06-03T00:00:00"/>
    <s v="1คน"/>
    <x v="0"/>
    <x v="0"/>
    <m/>
    <x v="1"/>
    <n v="1"/>
  </r>
  <r>
    <s v="MTC-MT-20260118"/>
    <s v="ประตุห้องเมืองไทย1 ปิดไม่สนิท"/>
    <x v="11"/>
    <m/>
    <x v="6"/>
    <s v="ชั้น10"/>
    <s v="ทีมซ่อม"/>
    <m/>
    <s v="ง่าย"/>
    <s v="สำคัญ"/>
    <s v="ไม่ด่วน"/>
    <x v="1"/>
    <d v="2026-06-03T00:00:00"/>
    <s v="1คน"/>
    <x v="0"/>
    <x v="0"/>
    <m/>
    <x v="1"/>
    <n v="1"/>
  </r>
  <r>
    <s v="MTC-MT-20260119"/>
    <s v="EE Room ชั้น10 เสียงดัง"/>
    <x v="11"/>
    <m/>
    <x v="6"/>
    <s v="ชั้น10"/>
    <s v="ทีมซ่อม"/>
    <m/>
    <s v="ง่าย"/>
    <s v="สำคัญ"/>
    <s v="ไม่ด่วน"/>
    <x v="1"/>
    <d v="2026-06-03T00:00:00"/>
    <s v="1คน"/>
    <x v="0"/>
    <x v="0"/>
    <m/>
    <x v="1"/>
    <n v="1"/>
  </r>
  <r>
    <s v="MTC-MT-20260121"/>
    <s v="ประตู ST2 เสียงดัง"/>
    <x v="11"/>
    <m/>
    <x v="6"/>
    <s v="ชั้น10"/>
    <s v="ทีมซ่อม"/>
    <m/>
    <s v="ง่าย"/>
    <s v="สำคัญ"/>
    <s v="ไม่ด่วน"/>
    <x v="1"/>
    <d v="2026-06-24T00:00:00"/>
    <s v="2คน"/>
    <x v="0"/>
    <x v="0"/>
    <m/>
    <x v="1"/>
    <n v="4"/>
  </r>
  <r>
    <s v="MTC-MT-20260122"/>
    <s v="ประตูห้องรองสุรัตน์ ปิดไม่สนิท,เสียงดัง,กลอนล็อค"/>
    <x v="5"/>
    <m/>
    <x v="6"/>
    <s v="ชั้น9"/>
    <s v="ทีมซ่อม"/>
    <m/>
    <s v="ง่าย"/>
    <s v="สำคัญ"/>
    <s v="ไม่ด่วน"/>
    <x v="0"/>
    <m/>
    <s v="2คน"/>
    <x v="0"/>
    <x v="0"/>
    <m/>
    <x v="1"/>
    <m/>
  </r>
  <r>
    <s v="MTC-MT-20260123"/>
    <s v="ประตูห้องคุณอำนาจ ปิดไม่สนิท"/>
    <x v="5"/>
    <m/>
    <x v="6"/>
    <s v="ชั้น9"/>
    <s v="ทีมซ่อม"/>
    <m/>
    <s v="ง่าย"/>
    <s v="สำคัญ"/>
    <s v="ไม่ด่วน"/>
    <x v="1"/>
    <d v="2026-06-05T00:00:00"/>
    <s v="1คน"/>
    <x v="0"/>
    <x v="1"/>
    <m/>
    <x v="1"/>
    <n v="1"/>
  </r>
  <r>
    <s v="MTC-MT-20260124"/>
    <s v="ห้องpantrg ชั้น9เสียงดัง"/>
    <x v="5"/>
    <m/>
    <x v="6"/>
    <s v="ชั้น9"/>
    <s v="ทีมซ่อม"/>
    <m/>
    <s v="ง่าย"/>
    <s v="สำคัญ"/>
    <s v="ไม่ด่วน"/>
    <x v="1"/>
    <d v="2026-06-24T00:00:00"/>
    <s v="2คน"/>
    <x v="0"/>
    <x v="0"/>
    <m/>
    <x v="1"/>
    <n v="4"/>
  </r>
  <r>
    <s v="MTC-MT-20260125"/>
    <s v="ห้องน้ำหญิงชั้น9 เสียงดัง"/>
    <x v="5"/>
    <m/>
    <x v="6"/>
    <s v="ชั้น9"/>
    <s v="ทีมซ่อม"/>
    <m/>
    <s v="ง่าย"/>
    <s v="สำคัญ"/>
    <s v="ไม่ด่วน"/>
    <x v="1"/>
    <d v="2026-06-24T00:00:00"/>
    <s v="2คน"/>
    <x v="11"/>
    <x v="1"/>
    <m/>
    <x v="1"/>
    <n v="4"/>
  </r>
  <r>
    <s v="MTC-MT-20260126"/>
    <s v="EE Room 9/1โช๊ค,ปิดไม่สนิท"/>
    <x v="5"/>
    <m/>
    <x v="6"/>
    <s v="ชั้น9"/>
    <s v="ทีมซ่อม"/>
    <m/>
    <s v="ง่าย"/>
    <s v="สำคัญ"/>
    <s v="ไม่ด่วน"/>
    <x v="1"/>
    <d v="2026-05-13T00:00:00"/>
    <s v="2คน"/>
    <x v="17"/>
    <x v="1"/>
    <s v="ทำการปรับขายึดโช๊คอัดทอร์คบานพับฉีดsonaxบานพับ"/>
    <x v="2"/>
    <n v="2"/>
  </r>
  <r>
    <s v="MTC-MT-20260127"/>
    <s v="EE9 เสียงดัง"/>
    <x v="5"/>
    <m/>
    <x v="6"/>
    <s v="ชั้น9"/>
    <s v="ทีมซ่อม"/>
    <m/>
    <s v="ง่าย"/>
    <s v="สำคัญ"/>
    <s v="ไม่ด่วน"/>
    <x v="1"/>
    <d v="2026-05-13T00:00:00"/>
    <s v="2คน"/>
    <x v="17"/>
    <x v="1"/>
    <m/>
    <x v="2"/>
    <n v="2"/>
  </r>
  <r>
    <s v="MTC-MT-20260128"/>
    <s v="ST1 ชั้น9 เสียงดัง"/>
    <x v="5"/>
    <m/>
    <x v="6"/>
    <s v="ชั้น9"/>
    <s v="ทีมซ่อม"/>
    <m/>
    <s v="ง่าย"/>
    <s v="สำคัญ"/>
    <s v="ไม่ด่วน"/>
    <x v="1"/>
    <d v="2026-05-13T00:00:00"/>
    <s v="2คน"/>
    <x v="12"/>
    <x v="1"/>
    <m/>
    <x v="2"/>
    <n v="2"/>
  </r>
  <r>
    <s v="MTC-MT-20260129"/>
    <s v="ST2 เสียงดัง"/>
    <x v="5"/>
    <m/>
    <x v="6"/>
    <s v="ชั้น9"/>
    <s v="ทีมซ่อม"/>
    <m/>
    <s v="ง่าย"/>
    <s v="สำคัญ"/>
    <s v="ไม่ด่วน"/>
    <x v="1"/>
    <d v="2026-05-13T00:00:00"/>
    <s v="2คน"/>
    <x v="12"/>
    <x v="1"/>
    <m/>
    <x v="2"/>
    <n v="2"/>
  </r>
  <r>
    <s v="MTC-MT-20260130"/>
    <s v="ประตูเก็บของปิดไม่สนิท ชั้น 8"/>
    <x v="8"/>
    <m/>
    <x v="6"/>
    <s v="ชั้น8"/>
    <s v="ทีมซ่อม"/>
    <m/>
    <s v="ง่าย"/>
    <s v="สำคัญ"/>
    <s v="ไม่ด่วน"/>
    <x v="1"/>
    <d v="2026-05-13T00:00:00"/>
    <s v="2คน"/>
    <x v="0"/>
    <x v="0"/>
    <m/>
    <x v="2"/>
    <n v="2"/>
  </r>
  <r>
    <s v="MTC-MT-20260131"/>
    <s v="ห้องpantrg ชั้น8เสียงดัง"/>
    <x v="8"/>
    <m/>
    <x v="6"/>
    <s v="ชั้น8"/>
    <s v="ทีมซ่อม"/>
    <m/>
    <s v="ง่าย"/>
    <s v="สำคัญ"/>
    <s v="ไม่ด่วน"/>
    <x v="1"/>
    <d v="2026-06-19T00:00:00"/>
    <s v="2คน"/>
    <x v="0"/>
    <x v="0"/>
    <m/>
    <x v="1"/>
    <n v="3"/>
  </r>
  <r>
    <s v="MTC-MT-20260132"/>
    <s v="ST1 ชั้น8 เสียงดัง"/>
    <x v="8"/>
    <m/>
    <x v="6"/>
    <s v="ชั้น8"/>
    <s v="ทีมซ่อม"/>
    <m/>
    <s v="ง่าย"/>
    <s v="สำคัญ"/>
    <s v="ไม่ด่วน"/>
    <x v="1"/>
    <d v="2026-05-31T00:00:00"/>
    <s v="1คน"/>
    <x v="11"/>
    <x v="1"/>
    <s v="- ขันสกรูปรับระยะ Latching เพื่อให้ประตูชะลอก่อนปิด_x000a_- ฉีดน้ำมันหลื่นลื่นที่สกรู และบานพับ กันการชำรุ"/>
    <x v="2"/>
    <n v="5"/>
  </r>
  <r>
    <s v="MTC-MT-20260133"/>
    <s v="EE ROOM 8 เสียงดัง"/>
    <x v="8"/>
    <m/>
    <x v="6"/>
    <s v="ชั้น8"/>
    <s v="ทีมซ่อม"/>
    <m/>
    <s v="ง่าย"/>
    <s v="สำคัญ"/>
    <s v="ไม่ด่วน"/>
    <x v="1"/>
    <d v="2026-05-31T00:00:00"/>
    <s v="1คน"/>
    <x v="11"/>
    <x v="1"/>
    <s v="- ขันสกรูปรับระยะ Latching และความเร็วในการปิด_x000a_- ฉีดน้ำมันหลื่นลื่นที่สกรู และบานพับ กันการชำรุด"/>
    <x v="2"/>
    <n v="5"/>
  </r>
  <r>
    <s v="MTC-MT-20260134"/>
    <s v="ST2 ปิดไม่สนิท ชั้น8"/>
    <x v="8"/>
    <m/>
    <x v="6"/>
    <s v="ชั้น8"/>
    <s v="ทีมซ่อม"/>
    <m/>
    <s v="ง่าย"/>
    <s v="สำคัญ"/>
    <s v="ไม่ด่วน"/>
    <x v="1"/>
    <d v="2026-05-31T00:00:00"/>
    <s v="1คน"/>
    <x v="15"/>
    <x v="1"/>
    <s v="- ขันสกรูปรับเพิ่มความเร็วในการปิด_x000a_- ขันสกรูวปรับระยะตัวล็อคราวประตูใหม่_x000a_- ฉีดน้ำมันหลื่นลื่นที่สกรู และบานพับ กันการชำรุด"/>
    <x v="2"/>
    <n v="5"/>
  </r>
  <r>
    <s v="MTC-MT-20260135"/>
    <s v="Fireman เสียงดัง"/>
    <x v="8"/>
    <m/>
    <x v="6"/>
    <s v="ชั้น8"/>
    <s v="ทีมซ่อม"/>
    <m/>
    <s v="ง่าย"/>
    <s v="สำคัญ"/>
    <s v="ไม่ด่วน"/>
    <x v="1"/>
    <d v="2026-06-19T00:00:00"/>
    <s v="2คน"/>
    <x v="0"/>
    <x v="0"/>
    <m/>
    <x v="1"/>
    <n v="3"/>
  </r>
  <r>
    <s v="MTC-MT-20260136"/>
    <s v="EE 7/1 ปิดไม่สนิท"/>
    <x v="7"/>
    <m/>
    <x v="6"/>
    <s v="ชั้น7"/>
    <s v="ทีมซ่อม"/>
    <m/>
    <s v="ง่าย"/>
    <s v="สำคัญ"/>
    <s v="ไม่ด่วน"/>
    <x v="1"/>
    <d v="2026-06-19T00:00:00"/>
    <s v="1คน"/>
    <x v="17"/>
    <x v="1"/>
    <m/>
    <x v="1"/>
    <n v="3"/>
  </r>
  <r>
    <s v="MTC-MT-20260137"/>
    <s v="ประตูห้องน้ำพิเศษปิดไม่สนิท ชั้น7"/>
    <x v="7"/>
    <m/>
    <x v="6"/>
    <s v="ชั้น7"/>
    <s v="ทีมซ่อม"/>
    <m/>
    <s v="ง่าย"/>
    <s v="สำคัญ"/>
    <s v="ไม่ด่วน"/>
    <x v="1"/>
    <d v="2026-06-25T00:00:00"/>
    <s v="2คน"/>
    <x v="18"/>
    <x v="1"/>
    <m/>
    <x v="1"/>
    <n v="4"/>
  </r>
  <r>
    <s v="MTC-MT-20260138"/>
    <s v="ประตุห้อง pantry ชั้น7 เสียงดัง"/>
    <x v="7"/>
    <m/>
    <x v="6"/>
    <s v="ชั้น7"/>
    <s v="ทีมซ่อม"/>
    <m/>
    <s v="ง่าย"/>
    <s v="สำคัญ"/>
    <s v="ไม่ด่วน"/>
    <x v="1"/>
    <d v="2026-06-25T00:00:00"/>
    <s v="2คน"/>
    <x v="17"/>
    <x v="0"/>
    <m/>
    <x v="1"/>
    <n v="4"/>
  </r>
  <r>
    <s v="MTC-MT-20260139"/>
    <s v="ST1เสียงดัง ชัน7"/>
    <x v="7"/>
    <m/>
    <x v="6"/>
    <s v="ชั้น7"/>
    <s v="ทีมซ่อม"/>
    <m/>
    <s v="ง่าย"/>
    <s v="สำคัญ"/>
    <s v="ไม่ด่วน"/>
    <x v="1"/>
    <d v="2026-06-20T00:00:00"/>
    <s v="3คน"/>
    <x v="19"/>
    <x v="1"/>
    <s v="- เนื่องจากบานประตูตก จึงจำเป็นต้องปรับตำแหน่งบานพับใหม่ โดยการใช้แผ่นเหล็กชิมใต้บานประตูเพื่อล็อคตำแหน่งบานพับก่อนขันสกรูยึดอีกรอบ_x000a_- ขันสกรูปรับเพิ่มความเร็ว และเพิ่มระยะ latching ของโช๊ค_x000a_- ฉีดน้ำมันหล่อลื่นกันสนิม และลดความฝืด บริเวณโช๊ค"/>
    <x v="1"/>
    <n v="3"/>
  </r>
  <r>
    <s v="MTC-MT-20260140"/>
    <s v="EE7 ปิดไม่สนิท ชั้น7"/>
    <x v="7"/>
    <m/>
    <x v="6"/>
    <s v="ชั้น7"/>
    <s v="ทีมซ่อม"/>
    <m/>
    <s v="ง่าย"/>
    <s v="สำคัญ"/>
    <s v="ไม่ด่วน"/>
    <x v="1"/>
    <d v="2026-05-28T00:00:00"/>
    <s v="2คน"/>
    <x v="11"/>
    <x v="1"/>
    <m/>
    <x v="2"/>
    <n v="4"/>
  </r>
  <r>
    <s v="MTC-MT-20260141"/>
    <s v="ห้องน้ำชายชั้น6 ปิดไม่สนิท,เสียงดัง"/>
    <x v="2"/>
    <m/>
    <x v="6"/>
    <s v="ชั้น6"/>
    <s v="ทีมซ่อม"/>
    <m/>
    <s v="ง่าย"/>
    <s v="สำคัญ"/>
    <s v="ไม่ด่วน"/>
    <x v="1"/>
    <d v="2569-06-25T00:00:00"/>
    <s v="2คน"/>
    <x v="17"/>
    <x v="0"/>
    <m/>
    <x v="1"/>
    <n v="4"/>
  </r>
  <r>
    <s v="MTC-MT-20260142"/>
    <s v="ประตูห้องpantrg 6 ลูกบิด,โช๊ค,เสียงดัง"/>
    <x v="2"/>
    <m/>
    <x v="6"/>
    <s v="ชั้น6"/>
    <s v="ทีมซ่อม"/>
    <m/>
    <s v="ง่าย"/>
    <s v="สำคัญ"/>
    <s v="ไม่ด่วน"/>
    <x v="1"/>
    <d v="2026-06-25T00:00:00"/>
    <s v="2คน"/>
    <x v="17"/>
    <x v="0"/>
    <m/>
    <x v="1"/>
    <n v="4"/>
  </r>
  <r>
    <s v="MTC-MT-20260143"/>
    <s v="ST 1 ชั้น6เสียงดัง"/>
    <x v="2"/>
    <m/>
    <x v="6"/>
    <s v="ชั้น6"/>
    <s v="ทีมซ่อม"/>
    <m/>
    <s v="ง่าย"/>
    <s v="สำคัญ"/>
    <s v="ไม่ด่วน"/>
    <x v="1"/>
    <d v="2026-05-27T00:00:00"/>
    <s v="1คน"/>
    <x v="11"/>
    <x v="1"/>
    <s v="- ขันสกรูปรับระยะ Latching และความเร็วในการปิด_x000a_- ฉีดน้ำมันหลื่นลื่นที่สกรู และบานพับ กันการชำรุด"/>
    <x v="2"/>
    <n v="4"/>
  </r>
  <r>
    <s v="MTC-MT-20260144"/>
    <s v="EE 6 เสียงดัง"/>
    <x v="2"/>
    <m/>
    <x v="6"/>
    <s v="ชั้น6"/>
    <s v="ทีมซ่อม"/>
    <m/>
    <s v="ง่าย"/>
    <s v="สำคัญ"/>
    <s v="ไม่ด่วน"/>
    <x v="1"/>
    <d v="2026-05-27T00:00:00"/>
    <s v="1คน"/>
    <x v="9"/>
    <x v="1"/>
    <s v="- ขันสกรูปรับระยะ Latching และความเร็วในการปิด_x000a_- ฉีดน้ำมันหลื่นลื่นที่สกรู และบานพับ กันการชำรุด"/>
    <x v="2"/>
    <n v="4"/>
  </r>
  <r>
    <s v="MTC-MT-20260145"/>
    <s v="ประตูห้องประชุมชั้น5 โช๊ค"/>
    <x v="4"/>
    <m/>
    <x v="6"/>
    <s v="ชั้น5"/>
    <s v="ทีมซ่อม"/>
    <m/>
    <s v="ง่าย"/>
    <s v="สำคัญ"/>
    <s v="ไม่ด่วน"/>
    <x v="1"/>
    <d v="2026-06-24T00:00:00"/>
    <s v="2คน"/>
    <x v="0"/>
    <x v="0"/>
    <m/>
    <x v="1"/>
    <n v="4"/>
  </r>
  <r>
    <s v="MTC-MT-20260146"/>
    <s v="ห้องน้ำชายชั้น5 ลูกบิด,โช๊ค"/>
    <x v="4"/>
    <m/>
    <x v="6"/>
    <s v="ชั้น5"/>
    <s v="ทีมซ่อม"/>
    <m/>
    <s v="ง่าย"/>
    <s v="สำคัญ"/>
    <s v="ไม่ด่วน"/>
    <x v="1"/>
    <m/>
    <s v="2คน"/>
    <x v="0"/>
    <x v="0"/>
    <m/>
    <x v="1"/>
    <m/>
  </r>
  <r>
    <s v="MTC-MT-20260147"/>
    <s v="ประตูcontron auto door ไม่ล็อค"/>
    <x v="4"/>
    <m/>
    <x v="6"/>
    <s v="ชั้น5"/>
    <s v="ทีมซ่อม"/>
    <s v="รอซื้อ break glass"/>
    <s v="ง่าย"/>
    <s v="สำคัญ"/>
    <s v="ไม่ด่วน"/>
    <x v="0"/>
    <m/>
    <s v="2คน"/>
    <x v="0"/>
    <x v="0"/>
    <m/>
    <x v="1"/>
    <m/>
  </r>
  <r>
    <s v="MTC-MT-20260148"/>
    <s v="ประตูห้องChiller,ลูกบิด"/>
    <x v="4"/>
    <m/>
    <x v="6"/>
    <s v="ชั้น5"/>
    <s v="ทีมซ่อม"/>
    <s v="ต้องเปลี่ยนลูกบิดใหม่"/>
    <s v="ง่าย"/>
    <s v="สำคัญ"/>
    <s v="ไม่ด่วน"/>
    <x v="0"/>
    <m/>
    <s v="2คน"/>
    <x v="0"/>
    <x v="0"/>
    <m/>
    <x v="1"/>
    <m/>
  </r>
  <r>
    <s v="MTC-MT-20260149"/>
    <s v="ประตูFireman ลูกบิด ชั้น4"/>
    <x v="17"/>
    <m/>
    <x v="6"/>
    <s v="ชั้น4"/>
    <s v="ทีมซ่อม"/>
    <s v="ต้องเปลี่ยนลูกบิดใหม่"/>
    <s v="ง่าย"/>
    <s v="สำคัญ"/>
    <s v="ไม่ด่วน"/>
    <x v="0"/>
    <m/>
    <s v="2คน"/>
    <x v="0"/>
    <x v="0"/>
    <m/>
    <x v="1"/>
    <m/>
  </r>
  <r>
    <s v="MTC-MT-20260150"/>
    <s v="ST2 ปิดไม่สนิท ชั้น4"/>
    <x v="17"/>
    <m/>
    <x v="6"/>
    <s v="ชั้น4"/>
    <s v="ทีมซ่อม"/>
    <m/>
    <s v="ง่าย"/>
    <s v="สำคัญ"/>
    <s v="ไม่ด่วน"/>
    <x v="1"/>
    <d v="2026-06-20T00:00:00"/>
    <s v="2คน"/>
    <x v="11"/>
    <x v="1"/>
    <s v="- ขันสกรูปรับความเร็วโช๊ค_x000a_- ฉีดน้ำมันหล่อลื่นกันชำรุด"/>
    <x v="1"/>
    <n v="3"/>
  </r>
  <r>
    <s v="MTC-MT-20260151"/>
    <s v="ประตูห้องประชุมวิริยะปิดม่สนิท ชั้น2"/>
    <x v="3"/>
    <m/>
    <x v="6"/>
    <s v="ชั้น2"/>
    <s v="ทีมซ่อม"/>
    <m/>
    <s v="ง่าย"/>
    <s v="สำคัญ"/>
    <s v="ไม่ด่วน"/>
    <x v="1"/>
    <d v="2026-06-20T00:00:00"/>
    <s v="2คน"/>
    <x v="8"/>
    <x v="1"/>
    <s v="- ขันสกรูปรับความเร็วโช๊ค_x000a_- ฉีดน้ำมันหล่อลื่นกันชำรุด"/>
    <x v="1"/>
    <n v="3"/>
  </r>
  <r>
    <s v="MTC-MT-20260152"/>
    <s v="ห้องpantrg ปิดไม่สนิท ชั้น2"/>
    <x v="3"/>
    <m/>
    <x v="6"/>
    <s v="ชั้น2"/>
    <s v="ทีมซ่อม"/>
    <m/>
    <s v="ง่าย"/>
    <s v="สำคัญ"/>
    <s v="ไม่ด่วน"/>
    <x v="1"/>
    <d v="2026-06-20T00:00:00"/>
    <s v="2คน"/>
    <x v="6"/>
    <x v="1"/>
    <s v="- ขันสกรูปรับความเร็วโช๊ค_x000a_- ฉีดน้ำมันหล่อลื่นกันชำรุด"/>
    <x v="1"/>
    <n v="3"/>
  </r>
  <r>
    <s v="MTC-MT-20260153"/>
    <s v="ประตุห้องcommand auto door ไม่ล้อค"/>
    <x v="0"/>
    <m/>
    <x v="6"/>
    <s v="ชั้นG"/>
    <s v="ทีมซ่อม"/>
    <s v="รอซื้อ break glass"/>
    <s v="ง่าย"/>
    <s v="สำคัญ"/>
    <s v="ไม่ด่วน"/>
    <x v="0"/>
    <m/>
    <s v="2คน"/>
    <x v="0"/>
    <x v="0"/>
    <m/>
    <x v="1"/>
    <m/>
  </r>
  <r>
    <s v="MTC-MT-20260154"/>
    <s v="โถปัสสาวะชายชั้น7ใช้งานไม่ได้"/>
    <x v="18"/>
    <m/>
    <x v="8"/>
    <s v="ชั้น7"/>
    <s v="ทีมซ่อม"/>
    <m/>
    <s v="ง่าย"/>
    <s v="สำคัญ"/>
    <s v="ด่วน"/>
    <x v="1"/>
    <d v="2026-05-13T00:00:00"/>
    <s v="4คน"/>
    <x v="0"/>
    <x v="1"/>
    <s v="1.ดูเเบบหาหาตำแหน่งวาล์วน้ำที่ส่งไปยังโถปัสสาวะและทำการปิดวาล์วDrain ค้างท่อทิ้ง _x000a_2.ทำการเปลี่ยนเซนเซอร์และวาล์วน้ำ_x000a_3.ปัญหาเเทรกท่อDrainอุดตันแก้ไขด้วยการนำน้ำสลายคาบมาใส่(ปกติเรียบร้อย)_x000a_4.ปัญหาเเทรก ท่อDrain รั่ว แก้ไขด้วยการน้ำท่อPVC1/2 มาต่อระหว่างข้อต่อท่อที่มีการรั่ว (ปกติเรียบร้อย)"/>
    <x v="2"/>
    <n v="2"/>
  </r>
  <r>
    <s v="MTC-MT-20260155"/>
    <s v="ติดตามงานซ่อมเครื่องชาร์จรถ EV บ้าน กจ"/>
    <x v="19"/>
    <m/>
    <x v="10"/>
    <s v="บ้าน กจ"/>
    <s v="ทีมซ่อม"/>
    <m/>
    <s v="ง่าย"/>
    <s v="สำคัญ"/>
    <s v="ด่วน"/>
    <x v="1"/>
    <d v="2569-06-04T00:00:00"/>
    <s v="1คน"/>
    <x v="20"/>
    <x v="3"/>
    <m/>
    <x v="1"/>
    <n v="1"/>
  </r>
  <r>
    <s v="MTC-MT-20260156"/>
    <s v="แก้ไขสลิงม่านหย่อน ห้องเก็บรูปชั้น9"/>
    <x v="20"/>
    <m/>
    <x v="1"/>
    <s v="ห้องเก็บรูป"/>
    <s v="ทีมซ่อม"/>
    <m/>
    <s v="ง่าย"/>
    <s v="สำคัญ"/>
    <s v="ไม่ด่วน"/>
    <x v="1"/>
    <d v="2026-05-16T00:00:00"/>
    <s v="2คน"/>
    <x v="6"/>
    <x v="1"/>
    <s v="คลายสกรูวยึดสลิงเพื่อขยับสายสลิงให้ตึงขึ้น แล้วขันสกรูวยึดหลังได้ระยะแล้ว"/>
    <x v="2"/>
    <n v="3"/>
  </r>
  <r>
    <s v="MTC-MT-20260157"/>
    <s v="แก้ไขสลิงม่านหย่อนโถงฝั่งโลตัสชั้น10"/>
    <x v="21"/>
    <m/>
    <x v="1"/>
    <s v="ฝั่งโลตัส"/>
    <s v="ทีมซ่อม"/>
    <m/>
    <s v="ง่าย"/>
    <s v="สำคัญ"/>
    <s v="ด่วน"/>
    <x v="1"/>
    <d v="2026-05-16T00:00:00"/>
    <s v="2คน"/>
    <x v="18"/>
    <x v="1"/>
    <s v="คลายสกรูวยึดสลิงเพื่อขยับสายสลิงให้ตึงขึ้น แล้วขันสกรูวยึดหลังได้ระยะแล้ว"/>
    <x v="2"/>
    <n v="3"/>
  </r>
  <r>
    <s v="MTC-MT-20260158"/>
    <s v="แก้ไขโช๊คประตูทางเข้าด้านข้างฝั่งร้านกาแฟ"/>
    <x v="22"/>
    <m/>
    <x v="6"/>
    <s v="ประตูทางเข้าด้านข้าง"/>
    <s v="ทีมซ่อม"/>
    <m/>
    <s v="ง่าย"/>
    <s v="สำคัญ"/>
    <s v="ด่วน"/>
    <x v="1"/>
    <d v="2026-05-17T00:00:00"/>
    <s v="1คน"/>
    <x v="19"/>
    <x v="1"/>
    <s v="- ขันสกรูวปรับระยะ Latchet และความเร็วเปิด-ปิด ประตู_x000a_- ฉีดน้ำมันล้างสนิมในร่องสกรูว"/>
    <x v="2"/>
    <n v="3"/>
  </r>
  <r>
    <s v="MTC-MT-20260158"/>
    <s v="ประตูทางเข้าด้านข้างติดร้านกาแฟลื่น"/>
    <x v="0"/>
    <m/>
    <x v="6"/>
    <m/>
    <m/>
    <m/>
    <s v="ง่าย"/>
    <s v="สำคัญ"/>
    <s v="ด่วน"/>
    <x v="1"/>
    <m/>
    <m/>
    <x v="0"/>
    <x v="0"/>
    <m/>
    <x v="3"/>
    <m/>
  </r>
  <r>
    <s v="MTC-MT-20260159"/>
    <s v="ประตูทางเข้าด้านข้างติดลานจอดรถลื่น"/>
    <x v="0"/>
    <m/>
    <x v="6"/>
    <m/>
    <m/>
    <m/>
    <s v="ง่าย"/>
    <s v="สำคัญ"/>
    <s v="ด่วน"/>
    <x v="1"/>
    <m/>
    <m/>
    <x v="0"/>
    <x v="0"/>
    <m/>
    <x v="3"/>
    <m/>
  </r>
  <r>
    <s v="MTC-MT-20260160"/>
    <s v="ประตูทางเข้าด้านหน้าติดโต๊ะรีเซปลื่น"/>
    <x v="0"/>
    <m/>
    <x v="6"/>
    <m/>
    <m/>
    <m/>
    <s v="ง่าย"/>
    <s v="สำคัญ"/>
    <s v="ด่วน"/>
    <x v="1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  <r>
    <m/>
    <s v="น้ำหยดที่โต๊ะทำงาน"/>
    <x v="24"/>
    <m/>
    <x v="16"/>
    <s v="ห้องรองสุรัตน"/>
    <s v="ผู้รับเหมา"/>
    <m/>
    <s v="ยาก"/>
    <s v="สำคัญ"/>
    <s v="ด่วน"/>
    <x v="0"/>
    <m/>
    <m/>
    <x v="0"/>
    <x v="0"/>
    <m/>
    <x v="3"/>
    <m/>
  </r>
  <r>
    <m/>
    <s v="ห้องอาบน้ำชั้น6 ไม่ไหล"/>
    <x v="25"/>
    <m/>
    <x v="4"/>
    <s v="ห้องอาบน้ำ"/>
    <s v="ทีมซ่อม"/>
    <m/>
    <s v="กลาง"/>
    <s v="สำคัญ"/>
    <s v="ไม่ด่วน"/>
    <x v="0"/>
    <m/>
    <m/>
    <x v="0"/>
    <x v="0"/>
    <m/>
    <x v="3"/>
    <m/>
  </r>
  <r>
    <m/>
    <s v="เครื่องฉีดแอลกอฮอล์เสีย"/>
    <x v="26"/>
    <m/>
    <x v="3"/>
    <s v="ลิฟต์ "/>
    <s v="ทีมซ่อม"/>
    <m/>
    <m/>
    <m/>
    <m/>
    <x v="0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  <r>
    <m/>
    <m/>
    <x v="23"/>
    <m/>
    <x v="15"/>
    <m/>
    <m/>
    <m/>
    <m/>
    <m/>
    <m/>
    <x v="2"/>
    <m/>
    <m/>
    <x v="0"/>
    <x v="0"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" cacheId="0" applyNumberFormats="0" applyBorderFormats="0" applyFontFormats="0" applyPatternFormats="0" applyAlignmentFormats="0" applyWidthHeightFormats="1" dataCaption="Values" updatedVersion="8" minRefreshableVersion="3" createdVersion="8" indent="0" outline="1" outlineData="1" multipleFieldFilters="0" rowHeaderCaption="ชั้น" colHeaderCaption="เวลาที่ใช้">
  <location ref="R14:T31" firstHeaderRow="1" firstDataRow="1" firstDataCol="0"/>
  <pivotFields count="19">
    <pivotField showAll="0" insertBlankRow="1"/>
    <pivotField showAll="0" insertBlankRow="1"/>
    <pivotField showAll="0" insertBlankRow="1" includeNewItemsInFilter="1">
      <items count="38">
        <item m="1" x="36"/>
        <item m="1" x="29"/>
        <item x="25"/>
        <item x="18"/>
        <item m="1" x="27"/>
        <item x="24"/>
        <item m="1" x="34"/>
        <item m="1" x="33"/>
        <item m="1" x="32"/>
        <item m="1" x="31"/>
        <item m="1" x="30"/>
        <item x="26"/>
        <item x="12"/>
        <item x="23"/>
        <item x="14"/>
        <item m="1" x="28"/>
        <item m="1" x="35"/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5"/>
        <item x="16"/>
        <item x="17"/>
        <item x="20"/>
        <item x="21"/>
        <item x="22"/>
        <item t="default"/>
      </items>
    </pivotField>
    <pivotField showAll="0" insertBlankRow="1"/>
    <pivotField showAll="0" insertBlankRow="1" includeNewItemsInFilter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 includeNewItemsInFilter="1">
      <items count="6">
        <item n="สำเร็จ" x="1"/>
        <item m="1" x="4"/>
        <item h="1" x="2"/>
        <item m="1" x="3"/>
        <item x="0"/>
        <item t="default"/>
      </items>
    </pivotField>
    <pivotField showAll="0" insertBlankRow="1"/>
    <pivotField showAll="0" insertBlankRow="1"/>
    <pivotField showAll="0" insertBlankRow="1" sumSubtotal="1">
      <items count="22">
        <item x="1"/>
        <item x="2"/>
        <item x="4"/>
        <item x="5"/>
        <item x="3"/>
        <item x="0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sum"/>
      </items>
    </pivotField>
    <pivotField showAll="0" insertBlankRow="1">
      <items count="5">
        <item x="0"/>
        <item x="1"/>
        <item x="2"/>
        <item x="3"/>
        <item t="default"/>
      </items>
    </pivotField>
    <pivotField showAll="0" insertBlankRow="1"/>
    <pivotField showAll="0" insertBlankRow="1" includeNewItemsInFilter="1">
      <items count="5">
        <item h="1" x="0"/>
        <item h="1" x="3"/>
        <item x="2"/>
        <item x="1"/>
        <item t="default"/>
      </items>
    </pivotField>
    <pivotField showAll="0" insertBlankRow="1"/>
  </pivotFields>
  <formats count="79">
    <format dxfId="763">
      <pivotArea type="origin" dataOnly="0" labelOnly="1" outline="0" fieldPosition="0"/>
    </format>
    <format dxfId="762">
      <pivotArea field="-2" type="button" dataOnly="0" labelOnly="1" outline="0"/>
    </format>
    <format dxfId="761">
      <pivotArea field="11" type="button" dataOnly="0" labelOnly="1" outline="0"/>
    </format>
    <format dxfId="760">
      <pivotArea type="topRight" dataOnly="0" labelOnly="1" outline="0" fieldPosition="0"/>
    </format>
    <format dxfId="759">
      <pivotArea field="2" type="button" dataOnly="0" labelOnly="1" outline="0"/>
    </format>
    <format dxfId="758">
      <pivotArea type="origin" dataOnly="0" labelOnly="1" outline="0" fieldPosition="0"/>
    </format>
    <format dxfId="757">
      <pivotArea field="-2" type="button" dataOnly="0" labelOnly="1" outline="0"/>
    </format>
    <format dxfId="756">
      <pivotArea field="11" type="button" dataOnly="0" labelOnly="1" outline="0"/>
    </format>
    <format dxfId="755">
      <pivotArea type="topRight" dataOnly="0" labelOnly="1" outline="0" fieldPosition="0"/>
    </format>
    <format dxfId="754">
      <pivotArea field="2" type="button" dataOnly="0" labelOnly="1" outline="0"/>
    </format>
    <format dxfId="753">
      <pivotArea outline="0" collapsedLevelsAreSubtotals="1" fieldPosition="0"/>
    </format>
    <format dxfId="752">
      <pivotArea outline="0" collapsedLevelsAreSubtotals="1" fieldPosition="0"/>
    </format>
    <format dxfId="751">
      <pivotArea field="-2" type="button" dataOnly="0" labelOnly="1" outline="0"/>
    </format>
    <format dxfId="750">
      <pivotArea field="11" type="button" dataOnly="0" labelOnly="1" outline="0"/>
    </format>
    <format dxfId="749">
      <pivotArea type="origin" dataOnly="0" labelOnly="1" outline="0" offset="A2" fieldPosition="0"/>
    </format>
    <format dxfId="748">
      <pivotArea field="-2" type="button" dataOnly="0" labelOnly="1" outline="0"/>
    </format>
    <format dxfId="747">
      <pivotArea field="11" type="button" dataOnly="0" labelOnly="1" outline="0"/>
    </format>
    <format dxfId="746">
      <pivotArea type="topRight" dataOnly="0" labelOnly="1" outline="0" fieldPosition="0"/>
    </format>
    <format dxfId="745">
      <pivotArea field="2" type="button" dataOnly="0" labelOnly="1" outline="0"/>
    </format>
    <format dxfId="744">
      <pivotArea dataOnly="0" labelOnly="1" grandRow="1" outline="0" fieldPosition="0"/>
    </format>
    <format dxfId="743">
      <pivotArea field="2" type="button" dataOnly="0" labelOnly="1" outline="0"/>
    </format>
    <format dxfId="742">
      <pivotArea field="2" type="button" dataOnly="0" labelOnly="1" outline="0"/>
    </format>
    <format dxfId="741">
      <pivotArea field="17" type="button" dataOnly="0" labelOnly="1" outline="0"/>
    </format>
    <format dxfId="740">
      <pivotArea type="origin" dataOnly="0" labelOnly="1" outline="0" fieldPosition="0"/>
    </format>
    <format dxfId="739">
      <pivotArea field="2" type="button" dataOnly="0" labelOnly="1" outline="0"/>
    </format>
    <format dxfId="738">
      <pivotArea dataOnly="0" labelOnly="1" grandRow="1" outline="0" fieldPosition="0"/>
    </format>
    <format dxfId="737">
      <pivotArea field="17" type="button" dataOnly="0" labelOnly="1" outline="0"/>
    </format>
    <format dxfId="736">
      <pivotArea type="origin" dataOnly="0" labelOnly="1" outline="0" fieldPosition="0"/>
    </format>
    <format dxfId="735">
      <pivotArea field="2" type="button" dataOnly="0" labelOnly="1" outline="0"/>
    </format>
    <format dxfId="734">
      <pivotArea dataOnly="0" labelOnly="1" grandRow="1" outline="0" fieldPosition="0"/>
    </format>
    <format dxfId="733">
      <pivotArea field="17" type="button" dataOnly="0" labelOnly="1" outline="0"/>
    </format>
    <format dxfId="732">
      <pivotArea type="origin" dataOnly="0" labelOnly="1" outline="0" fieldPosition="0"/>
    </format>
    <format dxfId="731">
      <pivotArea field="2" type="button" dataOnly="0" labelOnly="1" outline="0"/>
    </format>
    <format dxfId="730">
      <pivotArea dataOnly="0" labelOnly="1" grandRow="1" outline="0" fieldPosition="0"/>
    </format>
    <format dxfId="729">
      <pivotArea type="all" dataOnly="0" outline="0" fieldPosition="0"/>
    </format>
    <format dxfId="728">
      <pivotArea type="origin" dataOnly="0" labelOnly="1" outline="0" fieldPosition="0"/>
    </format>
    <format dxfId="727">
      <pivotArea field="-2" type="button" dataOnly="0" labelOnly="1" outline="0"/>
    </format>
    <format dxfId="726">
      <pivotArea field="11" type="button" dataOnly="0" labelOnly="1" outline="0"/>
    </format>
    <format dxfId="725">
      <pivotArea type="topRight" dataOnly="0" labelOnly="1" outline="0" fieldPosition="0"/>
    </format>
    <format dxfId="724">
      <pivotArea outline="0" collapsedLevelsAreSubtotals="1" fieldPosition="0"/>
    </format>
    <format dxfId="723">
      <pivotArea type="origin" dataOnly="0" labelOnly="1" outline="0" offset="A2" fieldPosition="0"/>
    </format>
    <format dxfId="722">
      <pivotArea field="2" type="button" dataOnly="0" labelOnly="1" outline="0"/>
    </format>
    <format dxfId="721">
      <pivotArea dataOnly="0" labelOnly="1" grandRow="1" outline="0" fieldPosition="0"/>
    </format>
    <format dxfId="720">
      <pivotArea type="origin" dataOnly="0" labelOnly="1" outline="0" offset="A2" fieldPosition="0"/>
    </format>
    <format dxfId="719">
      <pivotArea field="11" type="button" dataOnly="0" labelOnly="1" outline="0"/>
    </format>
    <format dxfId="718">
      <pivotArea type="topRight" dataOnly="0" labelOnly="1" outline="0" fieldPosition="0"/>
    </format>
    <format dxfId="717">
      <pivotArea type="origin" dataOnly="0" labelOnly="1" outline="0" offset="A1" fieldPosition="0"/>
    </format>
    <format dxfId="716">
      <pivotArea field="-2" type="button" dataOnly="0" labelOnly="1" outline="0"/>
    </format>
    <format dxfId="715">
      <pivotArea type="topRight" dataOnly="0" labelOnly="1" outline="0" offset="A1" fieldPosition="0"/>
    </format>
    <format dxfId="714">
      <pivotArea field="-2" type="button" dataOnly="0" labelOnly="1" outline="0"/>
    </format>
    <format>
      <pivotArea type="topRight" dataOnly="0" labelOnly="1" outline="0" fieldPosition="0"/>
    </format>
    <format dxfId="713">
      <pivotArea type="all" dataOnly="0" outline="0" fieldPosition="0"/>
    </format>
    <format dxfId="712">
      <pivotArea field="11" type="button" dataOnly="0" labelOnly="1" outline="0"/>
    </format>
    <format dxfId="711">
      <pivotArea type="origin" dataOnly="0" labelOnly="1" outline="0" fieldPosition="0"/>
    </format>
    <format dxfId="710">
      <pivotArea field="2" type="button" dataOnly="0" labelOnly="1" outline="0"/>
    </format>
    <format dxfId="709">
      <pivotArea type="all" dataOnly="0" outline="0" fieldPosition="0"/>
    </format>
    <format>
      <pivotArea type="all" dataOnly="0" outline="0" fieldPosition="0"/>
    </format>
    <format>
      <pivotArea outline="0" collapsedLevelsAreSubtotals="1" fieldPosition="0"/>
    </format>
    <format>
      <pivotArea type="origin" dataOnly="0" labelOnly="1" outline="0" fieldPosition="0"/>
    </format>
    <format>
      <pivotArea field="11" type="button" dataOnly="0" labelOnly="1" outline="0"/>
    </format>
    <format>
      <pivotArea field="-2" type="button" dataOnly="0" labelOnly="1" outline="0"/>
    </format>
    <format>
      <pivotArea type="topRight" dataOnly="0" labelOnly="1" outline="0" fieldPosition="0"/>
    </format>
    <format>
      <pivotArea field="2" type="button" dataOnly="0" labelOnly="1" outline="0"/>
    </format>
    <format>
      <pivotArea dataOnly="0" labelOnly="1" grandRow="1" outline="0" fieldPosition="0"/>
    </format>
    <format dxfId="708">
      <pivotArea type="origin" dataOnly="0" labelOnly="1" outline="0" fieldPosition="0"/>
    </format>
    <format dxfId="707">
      <pivotArea type="origin" dataOnly="0" labelOnly="1" outline="0" fieldPosition="0"/>
    </format>
    <format dxfId="706">
      <pivotArea type="all" dataOnly="0" outline="0" fieldPosition="0"/>
    </format>
    <format dxfId="705">
      <pivotArea field="15" type="button" dataOnly="0" labelOnly="1" outline="0"/>
    </format>
    <format dxfId="704">
      <pivotArea field="15" type="button" dataOnly="0" labelOnly="1" outline="0"/>
    </format>
    <format dxfId="703">
      <pivotArea field="14" type="button" dataOnly="0" labelOnly="1" outline="0"/>
    </format>
    <format dxfId="702">
      <pivotArea field="14" type="button" dataOnly="0" labelOnly="1" outline="0"/>
    </format>
    <format dxfId="701">
      <pivotArea grandCol="1" outline="0" collapsedLevelsAreSubtotals="1" fieldPosition="0"/>
    </format>
    <format dxfId="700">
      <pivotArea type="topRight" dataOnly="0" labelOnly="1" outline="0" fieldPosition="0"/>
    </format>
    <format dxfId="699">
      <pivotArea dataOnly="0" labelOnly="1" grandCol="1" outline="0" fieldPosition="0"/>
    </format>
    <format dxfId="698">
      <pivotArea grandCol="1" outline="0" collapsedLevelsAreSubtotals="1" fieldPosition="0"/>
    </format>
    <format dxfId="697">
      <pivotArea type="topRight" dataOnly="0" labelOnly="1" outline="0" fieldPosition="0"/>
    </format>
    <format dxfId="696">
      <pivotArea dataOnly="0" labelOnly="1" grandCol="1" outline="0" fieldPosition="0"/>
    </format>
    <format dxfId="695">
      <pivotArea type="all" dataOnly="0" outline="0" fieldPosition="0"/>
    </format>
    <format dxfId="694">
      <pivotArea type="all" dataOnly="0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" cacheId="0" applyNumberFormats="0" applyBorderFormats="0" applyFontFormats="0" applyPatternFormats="0" applyAlignmentFormats="0" applyWidthHeightFormats="1" dataCaption="Values" updatedVersion="8" minRefreshableVersion="3" createdVersion="8" indent="0" outline="1" outlineData="1" multipleFieldFilters="0" rowHeaderCaption="ชั้น" colHeaderCaption="ค่าใช้จ่าย">
  <location ref="M31" firstHeaderRow="0" firstDataRow="1" firstDataCol="0"/>
  <pivotFields count="19">
    <pivotField showAll="0" insertBlankRow="1"/>
    <pivotField showAll="0" insertBlankRow="1"/>
    <pivotField axis="axisRow" showAll="0" insertBlankRow="1" includeNewItemsInFilter="1">
      <items count="38">
        <item m="1" x="36"/>
        <item m="1" x="29"/>
        <item x="25"/>
        <item x="18"/>
        <item m="1" x="27"/>
        <item x="24"/>
        <item m="1" x="34"/>
        <item m="1" x="33"/>
        <item m="1" x="32"/>
        <item m="1" x="31"/>
        <item m="1" x="30"/>
        <item x="26"/>
        <item x="12"/>
        <item x="23"/>
        <item x="14"/>
        <item m="1" x="28"/>
        <item m="1" x="35"/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5"/>
        <item x="16"/>
        <item x="17"/>
        <item x="20"/>
        <item x="21"/>
        <item x="22"/>
        <item t="default"/>
      </items>
    </pivotField>
    <pivotField showAll="0" insertBlankRow="1"/>
    <pivotField axis="axisRow" showAll="0" insertBlankRow="1" includeNewItemsInFilter="1">
      <items count="19">
        <item x="0"/>
        <item x="5"/>
        <item x="11"/>
        <item x="10"/>
        <item x="6"/>
        <item x="4"/>
        <item x="7"/>
        <item x="2"/>
        <item x="1"/>
        <item x="9"/>
        <item x="8"/>
        <item x="3"/>
        <item x="15"/>
        <item m="1" x="17"/>
        <item x="12"/>
        <item x="13"/>
        <item x="14"/>
        <item x="16"/>
        <item t="default"/>
      </items>
    </pivotField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 includeNewItemsInFilter="1">
      <items count="6">
        <item n="สำเร็จ" x="1"/>
        <item m="1" x="4"/>
        <item h="1" x="2"/>
        <item m="1" x="3"/>
        <item x="0"/>
        <item t="default"/>
      </items>
    </pivotField>
    <pivotField showAll="0" insertBlankRow="1"/>
    <pivotField showAll="0" insertBlankRow="1"/>
    <pivotField showAll="0" insertBlankRow="1"/>
    <pivotField axis="axisCol" dataField="1" showAll="0" insertBlankRow="1">
      <items count="5">
        <item n="(บาท)" x="0"/>
        <item x="1"/>
        <item x="2"/>
        <item x="3"/>
        <item t="default"/>
      </items>
    </pivotField>
    <pivotField showAll="0" insertBlankRow="1"/>
    <pivotField showAll="0" insertBlankRow="1" includeNewItemsInFilter="1">
      <items count="5">
        <item x="0"/>
        <item h="1" x="3"/>
        <item h="1" x="2"/>
        <item x="1"/>
        <item t="default"/>
      </items>
    </pivotField>
    <pivotField showAll="0" insertBlankRow="1"/>
  </pivotFields>
  <rowFields count="2">
    <field x="2"/>
    <field x="4"/>
  </rowFields>
  <rowItems count="89">
    <i>
      <x v="12"/>
    </i>
    <i r="1">
      <x/>
    </i>
    <i r="1">
      <x v="2"/>
    </i>
    <i r="1">
      <x v="3"/>
    </i>
    <i r="1">
      <x v="11"/>
    </i>
    <i t="blank">
      <x v="12"/>
    </i>
    <i>
      <x v="17"/>
    </i>
    <i r="1">
      <x v="3"/>
    </i>
    <i t="blank">
      <x v="17"/>
    </i>
    <i>
      <x v="18"/>
    </i>
    <i r="1">
      <x/>
    </i>
    <i r="1">
      <x v="4"/>
    </i>
    <i r="1">
      <x v="5"/>
    </i>
    <i r="1">
      <x v="9"/>
    </i>
    <i r="1">
      <x v="11"/>
    </i>
    <i r="1">
      <x v="16"/>
    </i>
    <i t="blank">
      <x v="18"/>
    </i>
    <i>
      <x v="19"/>
    </i>
    <i r="1">
      <x v="4"/>
    </i>
    <i r="1">
      <x v="6"/>
    </i>
    <i r="1">
      <x v="8"/>
    </i>
    <i r="1">
      <x v="10"/>
    </i>
    <i t="blank">
      <x v="19"/>
    </i>
    <i>
      <x v="20"/>
    </i>
    <i r="1">
      <x/>
    </i>
    <i r="1">
      <x v="4"/>
    </i>
    <i r="1">
      <x v="5"/>
    </i>
    <i r="1">
      <x v="6"/>
    </i>
    <i r="1">
      <x v="7"/>
    </i>
    <i r="1">
      <x v="10"/>
    </i>
    <i t="blank">
      <x v="20"/>
    </i>
    <i>
      <x v="21"/>
    </i>
    <i r="1">
      <x v="1"/>
    </i>
    <i r="1">
      <x v="4"/>
    </i>
    <i t="blank">
      <x v="21"/>
    </i>
    <i>
      <x v="22"/>
    </i>
    <i r="1">
      <x/>
    </i>
    <i r="1">
      <x v="1"/>
    </i>
    <i r="1">
      <x v="4"/>
    </i>
    <i r="1">
      <x v="6"/>
    </i>
    <i r="1">
      <x v="10"/>
    </i>
    <i t="blank">
      <x v="22"/>
    </i>
    <i>
      <x v="23"/>
    </i>
    <i r="1">
      <x/>
    </i>
    <i r="1">
      <x v="4"/>
    </i>
    <i r="1">
      <x v="6"/>
    </i>
    <i r="1">
      <x v="11"/>
    </i>
    <i t="blank">
      <x v="23"/>
    </i>
    <i>
      <x v="24"/>
    </i>
    <i r="1">
      <x/>
    </i>
    <i r="1">
      <x v="4"/>
    </i>
    <i r="1">
      <x v="6"/>
    </i>
    <i r="1">
      <x v="10"/>
    </i>
    <i r="1">
      <x v="11"/>
    </i>
    <i t="blank">
      <x v="24"/>
    </i>
    <i>
      <x v="25"/>
    </i>
    <i r="1">
      <x/>
    </i>
    <i r="1">
      <x v="4"/>
    </i>
    <i r="1">
      <x v="10"/>
    </i>
    <i r="1">
      <x v="11"/>
    </i>
    <i t="blank">
      <x v="25"/>
    </i>
    <i>
      <x v="26"/>
    </i>
    <i r="1">
      <x v="4"/>
    </i>
    <i r="1">
      <x v="6"/>
    </i>
    <i r="1">
      <x v="7"/>
    </i>
    <i r="1">
      <x v="10"/>
    </i>
    <i t="blank">
      <x v="26"/>
    </i>
    <i>
      <x v="27"/>
    </i>
    <i r="1">
      <x/>
    </i>
    <i r="1">
      <x v="4"/>
    </i>
    <i r="1">
      <x v="10"/>
    </i>
    <i t="blank">
      <x v="27"/>
    </i>
    <i>
      <x v="28"/>
    </i>
    <i r="1">
      <x/>
    </i>
    <i r="1">
      <x v="4"/>
    </i>
    <i r="1">
      <x v="6"/>
    </i>
    <i t="blank">
      <x v="28"/>
    </i>
    <i>
      <x v="29"/>
    </i>
    <i r="1">
      <x v="4"/>
    </i>
    <i r="1">
      <x v="6"/>
    </i>
    <i r="1">
      <x v="10"/>
    </i>
    <i t="blank">
      <x v="29"/>
    </i>
    <i>
      <x v="30"/>
    </i>
    <i r="1">
      <x v="5"/>
    </i>
    <i t="blank">
      <x v="30"/>
    </i>
    <i>
      <x v="33"/>
    </i>
    <i r="1">
      <x v="4"/>
    </i>
    <i t="blank">
      <x v="33"/>
    </i>
    <i t="grand">
      <x/>
    </i>
  </rowItems>
  <colFields count="1">
    <field x="15"/>
  </colFields>
  <colItems count="4">
    <i>
      <x/>
    </i>
    <i>
      <x v="1"/>
    </i>
    <i>
      <x v="3"/>
    </i>
    <i t="grand">
      <x/>
    </i>
  </colItems>
  <dataFields count="1">
    <dataField name="ผลรวม ของ ค่าใช้จ่าย (บาท)" fld="15" baseField="2" baseItem="0"/>
  </dataFields>
  <formats count="145">
    <format dxfId="273">
      <pivotArea type="origin" dataOnly="0" labelOnly="1" outline="0" fieldPosition="0"/>
    </format>
    <format dxfId="272">
      <pivotArea field="-2" type="button" dataOnly="0" labelOnly="1" outline="0" axis="axisValues" fieldPosition="0"/>
    </format>
    <format dxfId="271">
      <pivotArea field="11" type="button" dataOnly="0" labelOnly="1" outline="0"/>
    </format>
    <format dxfId="270">
      <pivotArea type="topRight" dataOnly="0" labelOnly="1" outline="0" fieldPosition="0"/>
    </format>
    <format dxfId="269">
      <pivotArea field="2" type="button" dataOnly="0" labelOnly="1" outline="0" axis="axisRow" fieldPosition="0"/>
    </format>
    <format dxfId="268">
      <pivotArea type="origin" dataOnly="0" labelOnly="1" outline="0" fieldPosition="0"/>
    </format>
    <format dxfId="267">
      <pivotArea field="-2" type="button" dataOnly="0" labelOnly="1" outline="0" axis="axisValues" fieldPosition="0"/>
    </format>
    <format dxfId="266">
      <pivotArea field="11" type="button" dataOnly="0" labelOnly="1" outline="0"/>
    </format>
    <format dxfId="265">
      <pivotArea type="topRight" dataOnly="0" labelOnly="1" outline="0" fieldPosition="0"/>
    </format>
    <format dxfId="264">
      <pivotArea field="2" type="button" dataOnly="0" labelOnly="1" outline="0" axis="axisRow" fieldPosition="0"/>
    </format>
    <format dxfId="263">
      <pivotArea outline="0" collapsedLevelsAreSubtotals="1" fieldPosition="0"/>
    </format>
    <format dxfId="262">
      <pivotArea outline="0" collapsedLevelsAreSubtotals="1" fieldPosition="0"/>
    </format>
    <format dxfId="261">
      <pivotArea field="-2" type="button" dataOnly="0" labelOnly="1" outline="0" axis="axisValues" fieldPosition="0"/>
    </format>
    <format dxfId="260">
      <pivotArea field="11" type="button" dataOnly="0" labelOnly="1" outline="0"/>
    </format>
    <format dxfId="259">
      <pivotArea type="origin" dataOnly="0" labelOnly="1" outline="0" offset="A2" fieldPosition="0"/>
    </format>
    <format dxfId="258">
      <pivotArea field="-2" type="button" dataOnly="0" labelOnly="1" outline="0" axis="axisValues" fieldPosition="0"/>
    </format>
    <format dxfId="257">
      <pivotArea field="11" type="button" dataOnly="0" labelOnly="1" outline="0"/>
    </format>
    <format dxfId="256">
      <pivotArea type="topRight" dataOnly="0" labelOnly="1" outline="0" fieldPosition="0"/>
    </format>
    <format dxfId="255">
      <pivotArea field="2" type="button" dataOnly="0" labelOnly="1" outline="0" axis="axisRow" fieldPosition="0"/>
    </format>
    <format dxfId="254">
      <pivotArea dataOnly="0" labelOnly="1" grandRow="1" outline="0" fieldPosition="0"/>
    </format>
    <format dxfId="253">
      <pivotArea field="2" type="button" dataOnly="0" labelOnly="1" outline="0" axis="axisRow" fieldPosition="0"/>
    </format>
    <format dxfId="252">
      <pivotArea field="2" type="button" dataOnly="0" labelOnly="1" outline="0" axis="axisRow" fieldPosition="0"/>
    </format>
    <format dxfId="251">
      <pivotArea field="17" type="button" dataOnly="0" labelOnly="1" outline="0"/>
    </format>
    <format dxfId="250">
      <pivotArea type="origin" dataOnly="0" labelOnly="1" outline="0" fieldPosition="0"/>
    </format>
    <format dxfId="249">
      <pivotArea field="2" type="button" dataOnly="0" labelOnly="1" outline="0" axis="axisRow" fieldPosition="0"/>
    </format>
    <format dxfId="248">
      <pivotArea dataOnly="0" labelOnly="1" grandRow="1" outline="0" fieldPosition="0"/>
    </format>
    <format dxfId="247">
      <pivotArea field="17" type="button" dataOnly="0" labelOnly="1" outline="0"/>
    </format>
    <format dxfId="246">
      <pivotArea type="origin" dataOnly="0" labelOnly="1" outline="0" fieldPosition="0"/>
    </format>
    <format dxfId="245">
      <pivotArea field="2" type="button" dataOnly="0" labelOnly="1" outline="0" axis="axisRow" fieldPosition="0"/>
    </format>
    <format dxfId="244">
      <pivotArea dataOnly="0" labelOnly="1" grandRow="1" outline="0" fieldPosition="0"/>
    </format>
    <format dxfId="243">
      <pivotArea field="17" type="button" dataOnly="0" labelOnly="1" outline="0"/>
    </format>
    <format dxfId="242">
      <pivotArea type="origin" dataOnly="0" labelOnly="1" outline="0" fieldPosition="0"/>
    </format>
    <format dxfId="241">
      <pivotArea field="2" type="button" dataOnly="0" labelOnly="1" outline="0" axis="axisRow" fieldPosition="0"/>
    </format>
    <format dxfId="240">
      <pivotArea dataOnly="0" labelOnly="1" grandRow="1" outline="0" fieldPosition="0"/>
    </format>
    <format dxfId="239">
      <pivotArea type="all" dataOnly="0" outline="0" fieldPosition="0"/>
    </format>
    <format dxfId="238">
      <pivotArea type="origin" dataOnly="0" labelOnly="1" outline="0" fieldPosition="0"/>
    </format>
    <format dxfId="237">
      <pivotArea field="-2" type="button" dataOnly="0" labelOnly="1" outline="0" axis="axisValues" fieldPosition="0"/>
    </format>
    <format dxfId="236">
      <pivotArea field="11" type="button" dataOnly="0" labelOnly="1" outline="0"/>
    </format>
    <format dxfId="235">
      <pivotArea type="topRight" dataOnly="0" labelOnly="1" outline="0" fieldPosition="0"/>
    </format>
    <format dxfId="234">
      <pivotArea outline="0" collapsedLevelsAreSubtotals="1" fieldPosition="0"/>
    </format>
    <format dxfId="233">
      <pivotArea type="origin" dataOnly="0" labelOnly="1" outline="0" offset="A2" fieldPosition="0"/>
    </format>
    <format dxfId="232">
      <pivotArea field="2" type="button" dataOnly="0" labelOnly="1" outline="0" axis="axisRow" fieldPosition="0"/>
    </format>
    <format dxfId="231">
      <pivotArea dataOnly="0" labelOnly="1" grandRow="1" outline="0" fieldPosition="0"/>
    </format>
    <format dxfId="230">
      <pivotArea type="origin" dataOnly="0" labelOnly="1" outline="0" offset="A2" fieldPosition="0"/>
    </format>
    <format dxfId="229">
      <pivotArea field="11" type="button" dataOnly="0" labelOnly="1" outline="0"/>
    </format>
    <format dxfId="228">
      <pivotArea type="topRight" dataOnly="0" labelOnly="1" outline="0" fieldPosition="0"/>
    </format>
    <format dxfId="227">
      <pivotArea type="origin" dataOnly="0" labelOnly="1" outline="0" offset="A1" fieldPosition="0"/>
    </format>
    <format dxfId="226">
      <pivotArea field="-2" type="button" dataOnly="0" labelOnly="1" outline="0" axis="axisValues" fieldPosition="0"/>
    </format>
    <format dxfId="225">
      <pivotArea type="topRight" dataOnly="0" labelOnly="1" outline="0" offset="A1" fieldPosition="0"/>
    </format>
    <format dxfId="224">
      <pivotArea field="-2" type="button" dataOnly="0" labelOnly="1" outline="0" axis="axisValues" fieldPosition="0"/>
    </format>
    <format>
      <pivotArea type="topRight" dataOnly="0" labelOnly="1" outline="0" fieldPosition="0"/>
    </format>
    <format dxfId="223">
      <pivotArea type="all" dataOnly="0" outline="0" fieldPosition="0"/>
    </format>
    <format dxfId="222">
      <pivotArea field="11" type="button" dataOnly="0" labelOnly="1" outline="0"/>
    </format>
    <format dxfId="221">
      <pivotArea type="origin" dataOnly="0" labelOnly="1" outline="0" fieldPosition="0"/>
    </format>
    <format dxfId="220">
      <pivotArea field="2" type="button" dataOnly="0" labelOnly="1" outline="0" axis="axisRow" fieldPosition="0"/>
    </format>
    <format dxfId="219">
      <pivotArea type="all" dataOnly="0" outline="0" fieldPosition="0"/>
    </format>
    <format>
      <pivotArea type="all" dataOnly="0" outline="0" fieldPosition="0"/>
    </format>
    <format>
      <pivotArea outline="0" collapsedLevelsAreSubtotals="1" fieldPosition="0"/>
    </format>
    <format>
      <pivotArea type="origin" dataOnly="0" labelOnly="1" outline="0" fieldPosition="0"/>
    </format>
    <format>
      <pivotArea field="11" type="button" dataOnly="0" labelOnly="1" outline="0"/>
    </format>
    <format>
      <pivotArea field="-2" type="button" dataOnly="0" labelOnly="1" outline="0" axis="axisValues" fieldPosition="0"/>
    </format>
    <format>
      <pivotArea type="topRight" dataOnly="0" labelOnly="1" outline="0" fieldPosition="0"/>
    </format>
    <format>
      <pivotArea field="2" type="button" dataOnly="0" labelOnly="1" outline="0" axis="axisRow" fieldPosition="0"/>
    </format>
    <format>
      <pivotArea dataOnly="0" labelOnly="1" fieldPosition="0">
        <references count="1">
          <reference field="2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>
      <pivotArea dataOnly="0" labelOnly="1" grandRow="1" outline="0" fieldPosition="0"/>
    </format>
    <format dxfId="218">
      <pivotArea type="origin" dataOnly="0" labelOnly="1" outline="0" fieldPosition="0"/>
    </format>
    <format dxfId="217">
      <pivotArea type="origin" dataOnly="0" labelOnly="1" outline="0" fieldPosition="0"/>
    </format>
    <format dxfId="216">
      <pivotArea type="all" dataOnly="0" outline="0" fieldPosition="0"/>
    </format>
    <format dxfId="215">
      <pivotArea outline="0" collapsedLevelsAreSubtotals="1" fieldPosition="0">
        <references count="1">
          <reference field="15" count="0" selected="0"/>
        </references>
      </pivotArea>
    </format>
    <format dxfId="214">
      <pivotArea field="15" type="button" dataOnly="0" labelOnly="1" outline="0" axis="axisCol" fieldPosition="0"/>
    </format>
    <format dxfId="213">
      <pivotArea dataOnly="0" labelOnly="1" fieldPosition="0">
        <references count="1">
          <reference field="15" count="0"/>
        </references>
      </pivotArea>
    </format>
    <format dxfId="212">
      <pivotArea outline="0" collapsedLevelsAreSubtotals="1" fieldPosition="0">
        <references count="1">
          <reference field="15" count="0" selected="0"/>
        </references>
      </pivotArea>
    </format>
    <format dxfId="211">
      <pivotArea field="15" type="button" dataOnly="0" labelOnly="1" outline="0" axis="axisCol" fieldPosition="0"/>
    </format>
    <format dxfId="210">
      <pivotArea dataOnly="0" labelOnly="1" fieldPosition="0">
        <references count="1">
          <reference field="15" count="0"/>
        </references>
      </pivotArea>
    </format>
    <format dxfId="209">
      <pivotArea grandCol="1" outline="0" collapsedLevelsAreSubtotals="1" fieldPosition="0"/>
    </format>
    <format dxfId="208">
      <pivotArea type="topRight" dataOnly="0" labelOnly="1" outline="0" fieldPosition="0"/>
    </format>
    <format dxfId="207">
      <pivotArea dataOnly="0" labelOnly="1" grandCol="1" outline="0" fieldPosition="0"/>
    </format>
    <format dxfId="206">
      <pivotArea grandCol="1" outline="0" collapsedLevelsAreSubtotals="1" fieldPosition="0"/>
    </format>
    <format dxfId="205">
      <pivotArea type="topRight" dataOnly="0" labelOnly="1" outline="0" fieldPosition="0"/>
    </format>
    <format dxfId="204">
      <pivotArea dataOnly="0" labelOnly="1" grandCol="1" outline="0" fieldPosition="0"/>
    </format>
    <format dxfId="203">
      <pivotArea outline="0" collapsedLevelsAreSubtotals="1" fieldPosition="0"/>
    </format>
    <format dxfId="202">
      <pivotArea field="2" type="button" dataOnly="0" labelOnly="1" outline="0" axis="axisRow" fieldPosition="0"/>
    </format>
    <format dxfId="201">
      <pivotArea dataOnly="0" labelOnly="1" fieldPosition="0">
        <references count="1">
          <reference field="2" count="13">
            <x v="12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200">
      <pivotArea dataOnly="0" labelOnly="1" grandRow="1" outline="0" fieldPosition="0"/>
    </format>
    <format dxfId="199">
      <pivotArea dataOnly="0" labelOnly="1" fieldPosition="0">
        <references count="2">
          <reference field="2" count="1" selected="0">
            <x v="12"/>
          </reference>
          <reference field="4" count="4">
            <x v="0"/>
            <x v="2"/>
            <x v="3"/>
            <x v="11"/>
          </reference>
        </references>
      </pivotArea>
    </format>
    <format dxfId="198">
      <pivotArea dataOnly="0" labelOnly="1" fieldPosition="0">
        <references count="2">
          <reference field="2" count="1" selected="0">
            <x v="18"/>
          </reference>
          <reference field="4" count="4">
            <x v="0"/>
            <x v="4"/>
            <x v="9"/>
            <x v="11"/>
          </reference>
        </references>
      </pivotArea>
    </format>
    <format dxfId="197">
      <pivotArea dataOnly="0" labelOnly="1" fieldPosition="0">
        <references count="2">
          <reference field="2" count="1" selected="0">
            <x v="19"/>
          </reference>
          <reference field="4" count="3">
            <x v="6"/>
            <x v="8"/>
            <x v="10"/>
          </reference>
        </references>
      </pivotArea>
    </format>
    <format dxfId="196">
      <pivotArea dataOnly="0" labelOnly="1" fieldPosition="0">
        <references count="2">
          <reference field="2" count="1" selected="0">
            <x v="20"/>
          </reference>
          <reference field="4" count="5">
            <x v="0"/>
            <x v="5"/>
            <x v="6"/>
            <x v="7"/>
            <x v="10"/>
          </reference>
        </references>
      </pivotArea>
    </format>
    <format dxfId="195">
      <pivotArea dataOnly="0" labelOnly="1" fieldPosition="0">
        <references count="2">
          <reference field="2" count="1" selected="0">
            <x v="21"/>
          </reference>
          <reference field="4" count="1">
            <x v="1"/>
          </reference>
        </references>
      </pivotArea>
    </format>
    <format dxfId="194">
      <pivotArea dataOnly="0" labelOnly="1" fieldPosition="0">
        <references count="2">
          <reference field="2" count="1" selected="0">
            <x v="22"/>
          </reference>
          <reference field="4" count="4">
            <x v="1"/>
            <x v="4"/>
            <x v="6"/>
            <x v="10"/>
          </reference>
        </references>
      </pivotArea>
    </format>
    <format dxfId="193">
      <pivotArea dataOnly="0" labelOnly="1" fieldPosition="0">
        <references count="2">
          <reference field="2" count="1" selected="0">
            <x v="23"/>
          </reference>
          <reference field="4" count="3">
            <x v="0"/>
            <x v="6"/>
            <x v="11"/>
          </reference>
        </references>
      </pivotArea>
    </format>
    <format dxfId="192">
      <pivotArea dataOnly="0" labelOnly="1" fieldPosition="0">
        <references count="2">
          <reference field="2" count="1" selected="0">
            <x v="24"/>
          </reference>
          <reference field="4" count="5">
            <x v="0"/>
            <x v="4"/>
            <x v="6"/>
            <x v="10"/>
            <x v="11"/>
          </reference>
        </references>
      </pivotArea>
    </format>
    <format dxfId="191">
      <pivotArea dataOnly="0" labelOnly="1" fieldPosition="0">
        <references count="2">
          <reference field="2" count="1" selected="0">
            <x v="25"/>
          </reference>
          <reference field="4" count="4">
            <x v="0"/>
            <x v="4"/>
            <x v="10"/>
            <x v="11"/>
          </reference>
        </references>
      </pivotArea>
    </format>
    <format dxfId="190">
      <pivotArea dataOnly="0" labelOnly="1" fieldPosition="0">
        <references count="2">
          <reference field="2" count="1" selected="0">
            <x v="26"/>
          </reference>
          <reference field="4" count="4">
            <x v="4"/>
            <x v="6"/>
            <x v="7"/>
            <x v="10"/>
          </reference>
        </references>
      </pivotArea>
    </format>
    <format dxfId="189">
      <pivotArea dataOnly="0" labelOnly="1" fieldPosition="0">
        <references count="2">
          <reference field="2" count="1" selected="0">
            <x v="27"/>
          </reference>
          <reference field="4" count="2">
            <x v="0"/>
            <x v="10"/>
          </reference>
        </references>
      </pivotArea>
    </format>
    <format dxfId="188">
      <pivotArea dataOnly="0" labelOnly="1" fieldPosition="0">
        <references count="2">
          <reference field="2" count="1" selected="0">
            <x v="28"/>
          </reference>
          <reference field="4" count="2">
            <x v="0"/>
            <x v="6"/>
          </reference>
        </references>
      </pivotArea>
    </format>
    <format dxfId="187">
      <pivotArea dataOnly="0" labelOnly="1" fieldPosition="0">
        <references count="2">
          <reference field="2" count="1" selected="0">
            <x v="29"/>
          </reference>
          <reference field="4" count="2">
            <x v="6"/>
            <x v="10"/>
          </reference>
        </references>
      </pivotArea>
    </format>
    <format dxfId="186">
      <pivotArea dataOnly="0" labelOnly="1" fieldPosition="0">
        <references count="1">
          <reference field="15" count="0"/>
        </references>
      </pivotArea>
    </format>
    <format dxfId="185">
      <pivotArea dataOnly="0" labelOnly="1" grandCol="1" outline="0" fieldPosition="0"/>
    </format>
    <format dxfId="184">
      <pivotArea type="all" dataOnly="0" outline="0" fieldPosition="0"/>
    </format>
    <format dxfId="183">
      <pivotArea outline="0" collapsedLevelsAreSubtotals="1" fieldPosition="0"/>
    </format>
    <format dxfId="182">
      <pivotArea type="origin" dataOnly="0" labelOnly="1" outline="0" fieldPosition="0"/>
    </format>
    <format dxfId="181">
      <pivotArea field="15" type="button" dataOnly="0" labelOnly="1" outline="0" axis="axisCol" fieldPosition="0"/>
    </format>
    <format dxfId="180">
      <pivotArea type="topRight" dataOnly="0" labelOnly="1" outline="0" fieldPosition="0"/>
    </format>
    <format dxfId="179">
      <pivotArea field="2" type="button" dataOnly="0" labelOnly="1" outline="0" axis="axisRow" fieldPosition="0"/>
    </format>
    <format dxfId="178">
      <pivotArea dataOnly="0" labelOnly="1" fieldPosition="0">
        <references count="1">
          <reference field="2" count="13">
            <x v="12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177">
      <pivotArea dataOnly="0" labelOnly="1" grandRow="1" outline="0" fieldPosition="0"/>
    </format>
    <format dxfId="176">
      <pivotArea dataOnly="0" labelOnly="1" fieldPosition="0">
        <references count="2">
          <reference field="2" count="1" selected="0">
            <x v="12"/>
          </reference>
          <reference field="4" count="4">
            <x v="0"/>
            <x v="2"/>
            <x v="3"/>
            <x v="11"/>
          </reference>
        </references>
      </pivotArea>
    </format>
    <format dxfId="175">
      <pivotArea dataOnly="0" labelOnly="1" fieldPosition="0">
        <references count="2">
          <reference field="2" count="1" selected="0">
            <x v="18"/>
          </reference>
          <reference field="4" count="4">
            <x v="0"/>
            <x v="4"/>
            <x v="9"/>
            <x v="11"/>
          </reference>
        </references>
      </pivotArea>
    </format>
    <format dxfId="174">
      <pivotArea dataOnly="0" labelOnly="1" fieldPosition="0">
        <references count="2">
          <reference field="2" count="1" selected="0">
            <x v="19"/>
          </reference>
          <reference field="4" count="3">
            <x v="6"/>
            <x v="8"/>
            <x v="10"/>
          </reference>
        </references>
      </pivotArea>
    </format>
    <format dxfId="173">
      <pivotArea dataOnly="0" labelOnly="1" fieldPosition="0">
        <references count="2">
          <reference field="2" count="1" selected="0">
            <x v="20"/>
          </reference>
          <reference field="4" count="5">
            <x v="0"/>
            <x v="5"/>
            <x v="6"/>
            <x v="7"/>
            <x v="10"/>
          </reference>
        </references>
      </pivotArea>
    </format>
    <format dxfId="172">
      <pivotArea dataOnly="0" labelOnly="1" fieldPosition="0">
        <references count="2">
          <reference field="2" count="1" selected="0">
            <x v="21"/>
          </reference>
          <reference field="4" count="1">
            <x v="1"/>
          </reference>
        </references>
      </pivotArea>
    </format>
    <format dxfId="171">
      <pivotArea dataOnly="0" labelOnly="1" fieldPosition="0">
        <references count="2">
          <reference field="2" count="1" selected="0">
            <x v="22"/>
          </reference>
          <reference field="4" count="4">
            <x v="1"/>
            <x v="4"/>
            <x v="6"/>
            <x v="10"/>
          </reference>
        </references>
      </pivotArea>
    </format>
    <format dxfId="170">
      <pivotArea dataOnly="0" labelOnly="1" fieldPosition="0">
        <references count="2">
          <reference field="2" count="1" selected="0">
            <x v="23"/>
          </reference>
          <reference field="4" count="3">
            <x v="0"/>
            <x v="6"/>
            <x v="11"/>
          </reference>
        </references>
      </pivotArea>
    </format>
    <format dxfId="169">
      <pivotArea dataOnly="0" labelOnly="1" fieldPosition="0">
        <references count="2">
          <reference field="2" count="1" selected="0">
            <x v="24"/>
          </reference>
          <reference field="4" count="5">
            <x v="0"/>
            <x v="4"/>
            <x v="6"/>
            <x v="10"/>
            <x v="11"/>
          </reference>
        </references>
      </pivotArea>
    </format>
    <format dxfId="168">
      <pivotArea dataOnly="0" labelOnly="1" fieldPosition="0">
        <references count="2">
          <reference field="2" count="1" selected="0">
            <x v="25"/>
          </reference>
          <reference field="4" count="4">
            <x v="0"/>
            <x v="4"/>
            <x v="10"/>
            <x v="11"/>
          </reference>
        </references>
      </pivotArea>
    </format>
    <format dxfId="167">
      <pivotArea dataOnly="0" labelOnly="1" fieldPosition="0">
        <references count="2">
          <reference field="2" count="1" selected="0">
            <x v="26"/>
          </reference>
          <reference field="4" count="4">
            <x v="4"/>
            <x v="6"/>
            <x v="7"/>
            <x v="10"/>
          </reference>
        </references>
      </pivotArea>
    </format>
    <format dxfId="166">
      <pivotArea dataOnly="0" labelOnly="1" fieldPosition="0">
        <references count="2">
          <reference field="2" count="1" selected="0">
            <x v="27"/>
          </reference>
          <reference field="4" count="2">
            <x v="0"/>
            <x v="10"/>
          </reference>
        </references>
      </pivotArea>
    </format>
    <format dxfId="165">
      <pivotArea dataOnly="0" labelOnly="1" fieldPosition="0">
        <references count="2">
          <reference field="2" count="1" selected="0">
            <x v="28"/>
          </reference>
          <reference field="4" count="2">
            <x v="0"/>
            <x v="6"/>
          </reference>
        </references>
      </pivotArea>
    </format>
    <format dxfId="164">
      <pivotArea dataOnly="0" labelOnly="1" fieldPosition="0">
        <references count="2">
          <reference field="2" count="1" selected="0">
            <x v="29"/>
          </reference>
          <reference field="4" count="2">
            <x v="6"/>
            <x v="10"/>
          </reference>
        </references>
      </pivotArea>
    </format>
    <format dxfId="163">
      <pivotArea dataOnly="0" labelOnly="1" fieldPosition="0">
        <references count="1">
          <reference field="15" count="0"/>
        </references>
      </pivotArea>
    </format>
    <format dxfId="162">
      <pivotArea dataOnly="0" labelOnly="1" grandCol="1" outline="0" fieldPosition="0"/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type="origin" dataOnly="0" labelOnly="1" outline="0" fieldPosition="0"/>
    </format>
    <format dxfId="158">
      <pivotArea field="15" type="button" dataOnly="0" labelOnly="1" outline="0" axis="axisCol" fieldPosition="0"/>
    </format>
    <format dxfId="157">
      <pivotArea type="topRight" dataOnly="0" labelOnly="1" outline="0" fieldPosition="0"/>
    </format>
    <format dxfId="156">
      <pivotArea field="2" type="button" dataOnly="0" labelOnly="1" outline="0" axis="axisRow" fieldPosition="0"/>
    </format>
    <format dxfId="155">
      <pivotArea dataOnly="0" labelOnly="1" fieldPosition="0">
        <references count="1">
          <reference field="2" count="13">
            <x v="12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154">
      <pivotArea dataOnly="0" labelOnly="1" grandRow="1" outline="0" fieldPosition="0"/>
    </format>
    <format dxfId="153">
      <pivotArea dataOnly="0" labelOnly="1" fieldPosition="0">
        <references count="2">
          <reference field="2" count="1" selected="0">
            <x v="12"/>
          </reference>
          <reference field="4" count="4">
            <x v="0"/>
            <x v="2"/>
            <x v="3"/>
            <x v="11"/>
          </reference>
        </references>
      </pivotArea>
    </format>
    <format dxfId="152">
      <pivotArea dataOnly="0" labelOnly="1" fieldPosition="0">
        <references count="2">
          <reference field="2" count="1" selected="0">
            <x v="18"/>
          </reference>
          <reference field="4" count="4">
            <x v="0"/>
            <x v="4"/>
            <x v="9"/>
            <x v="11"/>
          </reference>
        </references>
      </pivotArea>
    </format>
    <format dxfId="151">
      <pivotArea dataOnly="0" labelOnly="1" fieldPosition="0">
        <references count="2">
          <reference field="2" count="1" selected="0">
            <x v="19"/>
          </reference>
          <reference field="4" count="3">
            <x v="6"/>
            <x v="8"/>
            <x v="10"/>
          </reference>
        </references>
      </pivotArea>
    </format>
    <format dxfId="150">
      <pivotArea dataOnly="0" labelOnly="1" fieldPosition="0">
        <references count="2">
          <reference field="2" count="1" selected="0">
            <x v="20"/>
          </reference>
          <reference field="4" count="5">
            <x v="0"/>
            <x v="5"/>
            <x v="6"/>
            <x v="7"/>
            <x v="10"/>
          </reference>
        </references>
      </pivotArea>
    </format>
    <format dxfId="149">
      <pivotArea dataOnly="0" labelOnly="1" fieldPosition="0">
        <references count="2">
          <reference field="2" count="1" selected="0">
            <x v="21"/>
          </reference>
          <reference field="4" count="1">
            <x v="1"/>
          </reference>
        </references>
      </pivotArea>
    </format>
    <format dxfId="148">
      <pivotArea dataOnly="0" labelOnly="1" fieldPosition="0">
        <references count="2">
          <reference field="2" count="1" selected="0">
            <x v="22"/>
          </reference>
          <reference field="4" count="4">
            <x v="1"/>
            <x v="4"/>
            <x v="6"/>
            <x v="10"/>
          </reference>
        </references>
      </pivotArea>
    </format>
    <format dxfId="147">
      <pivotArea dataOnly="0" labelOnly="1" fieldPosition="0">
        <references count="2">
          <reference field="2" count="1" selected="0">
            <x v="23"/>
          </reference>
          <reference field="4" count="3">
            <x v="0"/>
            <x v="6"/>
            <x v="11"/>
          </reference>
        </references>
      </pivotArea>
    </format>
    <format dxfId="146">
      <pivotArea dataOnly="0" labelOnly="1" fieldPosition="0">
        <references count="2">
          <reference field="2" count="1" selected="0">
            <x v="24"/>
          </reference>
          <reference field="4" count="5">
            <x v="0"/>
            <x v="4"/>
            <x v="6"/>
            <x v="10"/>
            <x v="11"/>
          </reference>
        </references>
      </pivotArea>
    </format>
    <format dxfId="145">
      <pivotArea dataOnly="0" labelOnly="1" fieldPosition="0">
        <references count="2">
          <reference field="2" count="1" selected="0">
            <x v="25"/>
          </reference>
          <reference field="4" count="4">
            <x v="0"/>
            <x v="4"/>
            <x v="10"/>
            <x v="11"/>
          </reference>
        </references>
      </pivotArea>
    </format>
    <format dxfId="144">
      <pivotArea dataOnly="0" labelOnly="1" fieldPosition="0">
        <references count="2">
          <reference field="2" count="1" selected="0">
            <x v="26"/>
          </reference>
          <reference field="4" count="4">
            <x v="4"/>
            <x v="6"/>
            <x v="7"/>
            <x v="10"/>
          </reference>
        </references>
      </pivotArea>
    </format>
    <format dxfId="143">
      <pivotArea dataOnly="0" labelOnly="1" fieldPosition="0">
        <references count="2">
          <reference field="2" count="1" selected="0">
            <x v="27"/>
          </reference>
          <reference field="4" count="2">
            <x v="0"/>
            <x v="10"/>
          </reference>
        </references>
      </pivotArea>
    </format>
    <format dxfId="142">
      <pivotArea dataOnly="0" labelOnly="1" fieldPosition="0">
        <references count="2">
          <reference field="2" count="1" selected="0">
            <x v="28"/>
          </reference>
          <reference field="4" count="2">
            <x v="0"/>
            <x v="6"/>
          </reference>
        </references>
      </pivotArea>
    </format>
    <format dxfId="141">
      <pivotArea dataOnly="0" labelOnly="1" fieldPosition="0">
        <references count="2">
          <reference field="2" count="1" selected="0">
            <x v="29"/>
          </reference>
          <reference field="4" count="2">
            <x v="6"/>
            <x v="10"/>
          </reference>
        </references>
      </pivotArea>
    </format>
    <format dxfId="140">
      <pivotArea dataOnly="0" labelOnly="1" fieldPosition="0">
        <references count="1">
          <reference field="15" count="0"/>
        </references>
      </pivotArea>
    </format>
    <format dxfId="139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1" cacheId="0" applyNumberFormats="0" applyBorderFormats="0" applyFontFormats="0" applyPatternFormats="0" applyAlignmentFormats="0" applyWidthHeightFormats="1" dataCaption="Values" updatedVersion="8" minRefreshableVersion="3" createdVersion="8" indent="0" outline="1" outlineData="1" multipleFieldFilters="0" rowHeaderCaption="ชั้น" colHeaderCaption="ค่าใช้จ่าย">
  <location ref="G31:J121" firstHeaderRow="1" firstDataRow="2" firstDataCol="1"/>
  <pivotFields count="19">
    <pivotField showAll="0" insertBlankRow="1"/>
    <pivotField showAll="0" insertBlankRow="1"/>
    <pivotField axis="axisRow" showAll="0" insertBlankRow="1" includeNewItemsInFilter="1">
      <items count="38">
        <item sd="0" m="1" x="36"/>
        <item m="1" x="29"/>
        <item x="25"/>
        <item x="18"/>
        <item m="1" x="27"/>
        <item x="24"/>
        <item m="1" x="34"/>
        <item m="1" x="33"/>
        <item m="1" x="32"/>
        <item m="1" x="31"/>
        <item m="1" x="30"/>
        <item x="26"/>
        <item x="12"/>
        <item x="23"/>
        <item x="14"/>
        <item m="1" x="28"/>
        <item m="1" x="35"/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5"/>
        <item x="16"/>
        <item x="17"/>
        <item x="20"/>
        <item x="21"/>
        <item x="22"/>
        <item t="default"/>
      </items>
    </pivotField>
    <pivotField showAll="0" insertBlankRow="1"/>
    <pivotField axis="axisRow" showAll="0" insertBlankRow="1" includeNewItemsInFilter="1">
      <items count="19">
        <item x="0"/>
        <item x="5"/>
        <item x="11"/>
        <item x="10"/>
        <item x="6"/>
        <item x="4"/>
        <item x="7"/>
        <item x="2"/>
        <item x="1"/>
        <item x="9"/>
        <item x="8"/>
        <item x="3"/>
        <item x="15"/>
        <item m="1" x="17"/>
        <item x="12"/>
        <item x="13"/>
        <item x="14"/>
        <item x="16"/>
        <item t="default"/>
      </items>
    </pivotField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axis="axisCol" dataField="1" showAll="0" insertBlankRow="1" includeNewItemsInFilter="1">
      <items count="6">
        <item n="จำนวนงานที่สำเร็จ" x="1"/>
        <item n="จำนวนงานที่รอดำเนินการ" m="1" x="4"/>
        <item h="1" x="2"/>
        <item m="1" x="3"/>
        <item x="0"/>
        <item t="default"/>
      </items>
    </pivotField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 includeNewItemsInFilter="1">
      <items count="5">
        <item x="0"/>
        <item h="1" x="3"/>
        <item h="1" x="2"/>
        <item x="1"/>
        <item t="default"/>
      </items>
    </pivotField>
    <pivotField showAll="0" insertBlankRow="1"/>
  </pivotFields>
  <rowFields count="2">
    <field x="2"/>
    <field x="4"/>
  </rowFields>
  <rowItems count="89">
    <i>
      <x v="12"/>
    </i>
    <i r="1">
      <x/>
    </i>
    <i r="1">
      <x v="2"/>
    </i>
    <i r="1">
      <x v="3"/>
    </i>
    <i r="1">
      <x v="11"/>
    </i>
    <i t="blank">
      <x v="12"/>
    </i>
    <i>
      <x v="17"/>
    </i>
    <i r="1">
      <x v="3"/>
    </i>
    <i t="blank">
      <x v="17"/>
    </i>
    <i>
      <x v="18"/>
    </i>
    <i r="1">
      <x/>
    </i>
    <i r="1">
      <x v="4"/>
    </i>
    <i r="1">
      <x v="5"/>
    </i>
    <i r="1">
      <x v="9"/>
    </i>
    <i r="1">
      <x v="11"/>
    </i>
    <i r="1">
      <x v="16"/>
    </i>
    <i t="blank">
      <x v="18"/>
    </i>
    <i>
      <x v="19"/>
    </i>
    <i r="1">
      <x v="4"/>
    </i>
    <i r="1">
      <x v="6"/>
    </i>
    <i r="1">
      <x v="8"/>
    </i>
    <i r="1">
      <x v="10"/>
    </i>
    <i t="blank">
      <x v="19"/>
    </i>
    <i>
      <x v="20"/>
    </i>
    <i r="1">
      <x/>
    </i>
    <i r="1">
      <x v="4"/>
    </i>
    <i r="1">
      <x v="5"/>
    </i>
    <i r="1">
      <x v="6"/>
    </i>
    <i r="1">
      <x v="7"/>
    </i>
    <i r="1">
      <x v="10"/>
    </i>
    <i t="blank">
      <x v="20"/>
    </i>
    <i>
      <x v="21"/>
    </i>
    <i r="1">
      <x v="1"/>
    </i>
    <i r="1">
      <x v="4"/>
    </i>
    <i t="blank">
      <x v="21"/>
    </i>
    <i>
      <x v="22"/>
    </i>
    <i r="1">
      <x/>
    </i>
    <i r="1">
      <x v="1"/>
    </i>
    <i r="1">
      <x v="4"/>
    </i>
    <i r="1">
      <x v="6"/>
    </i>
    <i r="1">
      <x v="10"/>
    </i>
    <i t="blank">
      <x v="22"/>
    </i>
    <i>
      <x v="23"/>
    </i>
    <i r="1">
      <x/>
    </i>
    <i r="1">
      <x v="4"/>
    </i>
    <i r="1">
      <x v="6"/>
    </i>
    <i r="1">
      <x v="11"/>
    </i>
    <i t="blank">
      <x v="23"/>
    </i>
    <i>
      <x v="24"/>
    </i>
    <i r="1">
      <x/>
    </i>
    <i r="1">
      <x v="4"/>
    </i>
    <i r="1">
      <x v="6"/>
    </i>
    <i r="1">
      <x v="10"/>
    </i>
    <i r="1">
      <x v="11"/>
    </i>
    <i t="blank">
      <x v="24"/>
    </i>
    <i>
      <x v="25"/>
    </i>
    <i r="1">
      <x/>
    </i>
    <i r="1">
      <x v="4"/>
    </i>
    <i r="1">
      <x v="10"/>
    </i>
    <i r="1">
      <x v="11"/>
    </i>
    <i t="blank">
      <x v="25"/>
    </i>
    <i>
      <x v="26"/>
    </i>
    <i r="1">
      <x v="4"/>
    </i>
    <i r="1">
      <x v="6"/>
    </i>
    <i r="1">
      <x v="7"/>
    </i>
    <i r="1">
      <x v="10"/>
    </i>
    <i t="blank">
      <x v="26"/>
    </i>
    <i>
      <x v="27"/>
    </i>
    <i r="1">
      <x/>
    </i>
    <i r="1">
      <x v="4"/>
    </i>
    <i r="1">
      <x v="10"/>
    </i>
    <i t="blank">
      <x v="27"/>
    </i>
    <i>
      <x v="28"/>
    </i>
    <i r="1">
      <x/>
    </i>
    <i r="1">
      <x v="4"/>
    </i>
    <i r="1">
      <x v="6"/>
    </i>
    <i t="blank">
      <x v="28"/>
    </i>
    <i>
      <x v="29"/>
    </i>
    <i r="1">
      <x v="4"/>
    </i>
    <i r="1">
      <x v="6"/>
    </i>
    <i r="1">
      <x v="10"/>
    </i>
    <i t="blank">
      <x v="29"/>
    </i>
    <i>
      <x v="30"/>
    </i>
    <i r="1">
      <x v="5"/>
    </i>
    <i t="blank">
      <x v="30"/>
    </i>
    <i>
      <x v="33"/>
    </i>
    <i r="1">
      <x v="4"/>
    </i>
    <i t="blank">
      <x v="33"/>
    </i>
    <i t="grand">
      <x/>
    </i>
  </rowItems>
  <colFields count="1">
    <field x="11"/>
  </colFields>
  <colItems count="3">
    <i>
      <x/>
    </i>
    <i>
      <x v="4"/>
    </i>
    <i t="grand">
      <x/>
    </i>
  </colItems>
  <dataFields count="1">
    <dataField name="  งานซ่อม" fld="11" subtotal="count" baseField="2" baseItem="0"/>
  </dataFields>
  <formats count="148">
    <format dxfId="407">
      <pivotArea type="origin" dataOnly="0" labelOnly="1" outline="0" fieldPosition="0"/>
    </format>
    <format dxfId="406">
      <pivotArea field="-2" type="button" dataOnly="0" labelOnly="1" outline="0" axis="axisValues" fieldPosition="0"/>
    </format>
    <format dxfId="405">
      <pivotArea field="11" type="button" dataOnly="0" labelOnly="1" outline="0" axis="axisCol" fieldPosition="0"/>
    </format>
    <format dxfId="404">
      <pivotArea type="topRight" dataOnly="0" labelOnly="1" outline="0" fieldPosition="0"/>
    </format>
    <format dxfId="403">
      <pivotArea field="2" type="button" dataOnly="0" labelOnly="1" outline="0" axis="axisRow" fieldPosition="0"/>
    </format>
    <format dxfId="402">
      <pivotArea type="origin" dataOnly="0" labelOnly="1" outline="0" fieldPosition="0"/>
    </format>
    <format dxfId="401">
      <pivotArea field="-2" type="button" dataOnly="0" labelOnly="1" outline="0" axis="axisValues" fieldPosition="0"/>
    </format>
    <format dxfId="400">
      <pivotArea field="11" type="button" dataOnly="0" labelOnly="1" outline="0" axis="axisCol" fieldPosition="0"/>
    </format>
    <format dxfId="399">
      <pivotArea type="topRight" dataOnly="0" labelOnly="1" outline="0" fieldPosition="0"/>
    </format>
    <format dxfId="398">
      <pivotArea field="2" type="button" dataOnly="0" labelOnly="1" outline="0" axis="axisRow" fieldPosition="0"/>
    </format>
    <format dxfId="397">
      <pivotArea outline="0" collapsedLevelsAreSubtotals="1" fieldPosition="0"/>
    </format>
    <format dxfId="396">
      <pivotArea outline="0" collapsedLevelsAreSubtotals="1" fieldPosition="0"/>
    </format>
    <format dxfId="395">
      <pivotArea field="-2" type="button" dataOnly="0" labelOnly="1" outline="0" axis="axisValues" fieldPosition="0"/>
    </format>
    <format dxfId="394">
      <pivotArea field="11" type="button" dataOnly="0" labelOnly="1" outline="0" axis="axisCol" fieldPosition="0"/>
    </format>
    <format dxfId="393">
      <pivotArea type="origin" dataOnly="0" labelOnly="1" outline="0" offset="A2" fieldPosition="0"/>
    </format>
    <format dxfId="392">
      <pivotArea field="-2" type="button" dataOnly="0" labelOnly="1" outline="0" axis="axisValues" fieldPosition="0"/>
    </format>
    <format dxfId="391">
      <pivotArea field="11" type="button" dataOnly="0" labelOnly="1" outline="0" axis="axisCol" fieldPosition="0"/>
    </format>
    <format dxfId="390">
      <pivotArea type="topRight" dataOnly="0" labelOnly="1" outline="0" fieldPosition="0"/>
    </format>
    <format dxfId="389">
      <pivotArea field="2" type="button" dataOnly="0" labelOnly="1" outline="0" axis="axisRow" fieldPosition="0"/>
    </format>
    <format dxfId="388">
      <pivotArea dataOnly="0" labelOnly="1" grandRow="1" outline="0" fieldPosition="0"/>
    </format>
    <format dxfId="387">
      <pivotArea field="2" type="button" dataOnly="0" labelOnly="1" outline="0" axis="axisRow" fieldPosition="0"/>
    </format>
    <format dxfId="386">
      <pivotArea field="2" type="button" dataOnly="0" labelOnly="1" outline="0" axis="axisRow" fieldPosition="0"/>
    </format>
    <format dxfId="385">
      <pivotArea field="17" type="button" dataOnly="0" labelOnly="1" outline="0"/>
    </format>
    <format dxfId="384">
      <pivotArea type="origin" dataOnly="0" labelOnly="1" outline="0" fieldPosition="0"/>
    </format>
    <format dxfId="383">
      <pivotArea field="2" type="button" dataOnly="0" labelOnly="1" outline="0" axis="axisRow" fieldPosition="0"/>
    </format>
    <format dxfId="382">
      <pivotArea dataOnly="0" labelOnly="1" grandRow="1" outline="0" fieldPosition="0"/>
    </format>
    <format dxfId="381">
      <pivotArea field="17" type="button" dataOnly="0" labelOnly="1" outline="0"/>
    </format>
    <format dxfId="380">
      <pivotArea type="origin" dataOnly="0" labelOnly="1" outline="0" fieldPosition="0"/>
    </format>
    <format dxfId="379">
      <pivotArea field="2" type="button" dataOnly="0" labelOnly="1" outline="0" axis="axisRow" fieldPosition="0"/>
    </format>
    <format dxfId="378">
      <pivotArea dataOnly="0" labelOnly="1" grandRow="1" outline="0" fieldPosition="0"/>
    </format>
    <format dxfId="377">
      <pivotArea field="17" type="button" dataOnly="0" labelOnly="1" outline="0"/>
    </format>
    <format dxfId="376">
      <pivotArea type="origin" dataOnly="0" labelOnly="1" outline="0" fieldPosition="0"/>
    </format>
    <format dxfId="375">
      <pivotArea field="2" type="button" dataOnly="0" labelOnly="1" outline="0" axis="axisRow" fieldPosition="0"/>
    </format>
    <format dxfId="374">
      <pivotArea dataOnly="0" labelOnly="1" grandRow="1" outline="0" fieldPosition="0"/>
    </format>
    <format dxfId="373">
      <pivotArea type="all" dataOnly="0" outline="0" fieldPosition="0"/>
    </format>
    <format dxfId="372">
      <pivotArea type="origin" dataOnly="0" labelOnly="1" outline="0" fieldPosition="0"/>
    </format>
    <format dxfId="371">
      <pivotArea field="-2" type="button" dataOnly="0" labelOnly="1" outline="0" axis="axisValues" fieldPosition="0"/>
    </format>
    <format dxfId="370">
      <pivotArea field="11" type="button" dataOnly="0" labelOnly="1" outline="0" axis="axisCol" fieldPosition="0"/>
    </format>
    <format dxfId="369">
      <pivotArea type="topRight" dataOnly="0" labelOnly="1" outline="0" fieldPosition="0"/>
    </format>
    <format dxfId="368">
      <pivotArea outline="0" collapsedLevelsAreSubtotals="1" fieldPosition="0"/>
    </format>
    <format dxfId="367">
      <pivotArea type="origin" dataOnly="0" labelOnly="1" outline="0" offset="A2" fieldPosition="0"/>
    </format>
    <format dxfId="366">
      <pivotArea field="2" type="button" dataOnly="0" labelOnly="1" outline="0" axis="axisRow" fieldPosition="0"/>
    </format>
    <format dxfId="365">
      <pivotArea dataOnly="0" labelOnly="1" grandRow="1" outline="0" fieldPosition="0"/>
    </format>
    <format dxfId="364">
      <pivotArea type="origin" dataOnly="0" labelOnly="1" outline="0" offset="A2" fieldPosition="0"/>
    </format>
    <format dxfId="363">
      <pivotArea field="11" type="button" dataOnly="0" labelOnly="1" outline="0" axis="axisCol" fieldPosition="0"/>
    </format>
    <format dxfId="362">
      <pivotArea type="topRight" dataOnly="0" labelOnly="1" outline="0" fieldPosition="0"/>
    </format>
    <format dxfId="361">
      <pivotArea type="origin" dataOnly="0" labelOnly="1" outline="0" offset="A1" fieldPosition="0"/>
    </format>
    <format dxfId="360">
      <pivotArea field="-2" type="button" dataOnly="0" labelOnly="1" outline="0" axis="axisValues" fieldPosition="0"/>
    </format>
    <format dxfId="359">
      <pivotArea type="topRight" dataOnly="0" labelOnly="1" outline="0" offset="A1" fieldPosition="0"/>
    </format>
    <format dxfId="358">
      <pivotArea field="-2" type="button" dataOnly="0" labelOnly="1" outline="0" axis="axisValues" fieldPosition="0"/>
    </format>
    <format>
      <pivotArea type="topRight" dataOnly="0" labelOnly="1" outline="0" fieldPosition="0"/>
    </format>
    <format dxfId="357">
      <pivotArea type="all" dataOnly="0" outline="0" fieldPosition="0"/>
    </format>
    <format dxfId="356">
      <pivotArea dataOnly="0" labelOnly="1" fieldPosition="0">
        <references count="1">
          <reference field="11" count="1">
            <x v="0"/>
          </reference>
        </references>
      </pivotArea>
    </format>
    <format dxfId="355">
      <pivotArea dataOnly="0" labelOnly="1" fieldPosition="0">
        <references count="1">
          <reference field="11" count="1">
            <x v="0"/>
          </reference>
        </references>
      </pivotArea>
    </format>
    <format dxfId="354">
      <pivotArea field="11" type="button" dataOnly="0" labelOnly="1" outline="0" axis="axisCol" fieldPosition="0"/>
    </format>
    <format dxfId="353">
      <pivotArea dataOnly="0" labelOnly="1" outline="0" fieldPosition="0">
        <references count="2">
          <reference field="4294967294" count="1">
            <x v="0"/>
          </reference>
          <reference field="11" count="1" selected="0">
            <x v="0"/>
          </reference>
        </references>
      </pivotArea>
    </format>
    <format dxfId="352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format>
    <format dxfId="351">
      <pivotArea type="origin" dataOnly="0" labelOnly="1" outline="0" fieldPosition="0"/>
    </format>
    <format dxfId="350">
      <pivotArea field="2" type="button" dataOnly="0" labelOnly="1" outline="0" axis="axisRow" fieldPosition="0"/>
    </format>
    <format dxfId="349">
      <pivotArea type="all" dataOnly="0" outline="0" fieldPosition="0"/>
    </format>
    <format>
      <pivotArea type="all" dataOnly="0" outline="0" fieldPosition="0"/>
    </format>
    <format>
      <pivotArea outline="0" collapsedLevelsAreSubtotals="1" fieldPosition="0"/>
    </format>
    <format>
      <pivotArea type="origin" dataOnly="0" labelOnly="1" outline="0" fieldPosition="0"/>
    </format>
    <format>
      <pivotArea field="11" type="button" dataOnly="0" labelOnly="1" outline="0" axis="axisCol" fieldPosition="0"/>
    </format>
    <format>
      <pivotArea field="-2" type="button" dataOnly="0" labelOnly="1" outline="0" axis="axisValues" fieldPosition="0"/>
    </format>
    <format>
      <pivotArea type="topRight" dataOnly="0" labelOnly="1" outline="0" fieldPosition="0"/>
    </format>
    <format>
      <pivotArea field="2" type="button" dataOnly="0" labelOnly="1" outline="0" axis="axisRow" fieldPosition="0"/>
    </format>
    <format>
      <pivotArea dataOnly="0" labelOnly="1" fieldPosition="0">
        <references count="1">
          <reference field="2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1" count="2">
            <x v="0"/>
            <x v="1"/>
          </reference>
        </references>
      </pivotArea>
    </format>
    <format>
      <pivotArea dataOnly="0" labelOnly="1" grandCol="1" outline="0" fieldPosition="0">
        <references count="1">
          <reference field="4294967294" count="1" selected="0">
            <x v="0"/>
          </reference>
        </references>
      </pivotArea>
    </format>
    <format>
      <pivotArea dataOnly="0" labelOnly="1" outline="0" fieldPosition="0">
        <references count="2">
          <reference field="4294967294" count="1">
            <x v="0"/>
          </reference>
          <reference field="11" count="1" selected="0">
            <x v="0"/>
          </reference>
        </references>
      </pivotArea>
    </format>
    <format>
      <pivotArea dataOnly="0" labelOnly="1" outline="0" fieldPosition="0">
        <references count="2">
          <reference field="4294967294" count="1">
            <x v="0"/>
          </reference>
          <reference field="11" count="1" selected="0">
            <x v="1"/>
          </reference>
        </references>
      </pivotArea>
    </format>
    <format dxfId="348">
      <pivotArea type="origin" dataOnly="0" labelOnly="1" outline="0" fieldPosition="0"/>
    </format>
    <format dxfId="347">
      <pivotArea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46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format>
    <format dxfId="345">
      <pivotArea dataOnly="0" labelOnly="1" fieldPosition="0">
        <references count="1">
          <reference field="11" count="1">
            <x v="1"/>
          </reference>
        </references>
      </pivotArea>
    </format>
    <format dxfId="344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format>
    <format dxfId="343">
      <pivotArea dataOnly="0" labelOnly="1" fieldPosition="0">
        <references count="1">
          <reference field="11" count="1">
            <x v="0"/>
          </reference>
        </references>
      </pivotArea>
    </format>
    <format dxfId="342">
      <pivotArea dataOnly="0" labelOnly="1" grandCol="1" outline="0" fieldPosition="0">
        <references count="1">
          <reference field="4294967294" count="1" selected="0">
            <x v="0"/>
          </reference>
        </references>
      </pivotArea>
    </format>
    <format dxfId="3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0">
      <pivotArea type="origin" dataOnly="0" labelOnly="1" outline="0" fieldPosition="0"/>
    </format>
    <format dxfId="339">
      <pivotArea type="all" dataOnly="0" outline="0" fieldPosition="0"/>
    </format>
    <format dxfId="338">
      <pivotArea outline="0" collapsedLevelsAreSubtotals="1" fieldPosition="0"/>
    </format>
    <format dxfId="337">
      <pivotArea field="2" type="button" dataOnly="0" labelOnly="1" outline="0" axis="axisRow" fieldPosition="0"/>
    </format>
    <format dxfId="336">
      <pivotArea dataOnly="0" labelOnly="1" fieldPosition="0">
        <references count="1">
          <reference field="2" count="13">
            <x v="12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335">
      <pivotArea dataOnly="0" labelOnly="1" grandRow="1" outline="0" fieldPosition="0"/>
    </format>
    <format dxfId="334">
      <pivotArea dataOnly="0" labelOnly="1" fieldPosition="0">
        <references count="2">
          <reference field="2" count="1" selected="0">
            <x v="12"/>
          </reference>
          <reference field="4" count="4">
            <x v="0"/>
            <x v="2"/>
            <x v="3"/>
            <x v="11"/>
          </reference>
        </references>
      </pivotArea>
    </format>
    <format dxfId="333">
      <pivotArea dataOnly="0" labelOnly="1" fieldPosition="0">
        <references count="2">
          <reference field="2" count="1" selected="0">
            <x v="18"/>
          </reference>
          <reference field="4" count="4">
            <x v="0"/>
            <x v="4"/>
            <x v="9"/>
            <x v="11"/>
          </reference>
        </references>
      </pivotArea>
    </format>
    <format dxfId="332">
      <pivotArea dataOnly="0" labelOnly="1" fieldPosition="0">
        <references count="2">
          <reference field="2" count="1" selected="0">
            <x v="19"/>
          </reference>
          <reference field="4" count="3">
            <x v="6"/>
            <x v="8"/>
            <x v="10"/>
          </reference>
        </references>
      </pivotArea>
    </format>
    <format dxfId="331">
      <pivotArea dataOnly="0" labelOnly="1" fieldPosition="0">
        <references count="2">
          <reference field="2" count="1" selected="0">
            <x v="20"/>
          </reference>
          <reference field="4" count="5">
            <x v="0"/>
            <x v="5"/>
            <x v="6"/>
            <x v="7"/>
            <x v="10"/>
          </reference>
        </references>
      </pivotArea>
    </format>
    <format dxfId="330">
      <pivotArea dataOnly="0" labelOnly="1" fieldPosition="0">
        <references count="2">
          <reference field="2" count="1" selected="0">
            <x v="21"/>
          </reference>
          <reference field="4" count="1">
            <x v="1"/>
          </reference>
        </references>
      </pivotArea>
    </format>
    <format dxfId="329">
      <pivotArea dataOnly="0" labelOnly="1" fieldPosition="0">
        <references count="2">
          <reference field="2" count="1" selected="0">
            <x v="22"/>
          </reference>
          <reference field="4" count="4">
            <x v="1"/>
            <x v="4"/>
            <x v="6"/>
            <x v="10"/>
          </reference>
        </references>
      </pivotArea>
    </format>
    <format dxfId="328">
      <pivotArea dataOnly="0" labelOnly="1" fieldPosition="0">
        <references count="2">
          <reference field="2" count="1" selected="0">
            <x v="23"/>
          </reference>
          <reference field="4" count="3">
            <x v="0"/>
            <x v="6"/>
            <x v="11"/>
          </reference>
        </references>
      </pivotArea>
    </format>
    <format dxfId="327">
      <pivotArea dataOnly="0" labelOnly="1" fieldPosition="0">
        <references count="2">
          <reference field="2" count="1" selected="0">
            <x v="24"/>
          </reference>
          <reference field="4" count="5">
            <x v="0"/>
            <x v="4"/>
            <x v="6"/>
            <x v="10"/>
            <x v="11"/>
          </reference>
        </references>
      </pivotArea>
    </format>
    <format dxfId="326">
      <pivotArea dataOnly="0" labelOnly="1" fieldPosition="0">
        <references count="2">
          <reference field="2" count="1" selected="0">
            <x v="25"/>
          </reference>
          <reference field="4" count="4">
            <x v="0"/>
            <x v="4"/>
            <x v="10"/>
            <x v="11"/>
          </reference>
        </references>
      </pivotArea>
    </format>
    <format dxfId="325">
      <pivotArea dataOnly="0" labelOnly="1" fieldPosition="0">
        <references count="2">
          <reference field="2" count="1" selected="0">
            <x v="26"/>
          </reference>
          <reference field="4" count="4">
            <x v="4"/>
            <x v="6"/>
            <x v="7"/>
            <x v="10"/>
          </reference>
        </references>
      </pivotArea>
    </format>
    <format dxfId="324">
      <pivotArea dataOnly="0" labelOnly="1" fieldPosition="0">
        <references count="2">
          <reference field="2" count="1" selected="0">
            <x v="27"/>
          </reference>
          <reference field="4" count="2">
            <x v="0"/>
            <x v="10"/>
          </reference>
        </references>
      </pivotArea>
    </format>
    <format dxfId="323">
      <pivotArea dataOnly="0" labelOnly="1" fieldPosition="0">
        <references count="2">
          <reference field="2" count="1" selected="0">
            <x v="28"/>
          </reference>
          <reference field="4" count="2">
            <x v="0"/>
            <x v="6"/>
          </reference>
        </references>
      </pivotArea>
    </format>
    <format dxfId="322">
      <pivotArea dataOnly="0" labelOnly="1" fieldPosition="0">
        <references count="2">
          <reference field="2" count="1" selected="0">
            <x v="29"/>
          </reference>
          <reference field="4" count="2">
            <x v="6"/>
            <x v="10"/>
          </reference>
        </references>
      </pivotArea>
    </format>
    <format dxfId="321">
      <pivotArea dataOnly="0" labelOnly="1" fieldPosition="0">
        <references count="1">
          <reference field="11" count="2">
            <x v="0"/>
            <x v="1"/>
          </reference>
        </references>
      </pivotArea>
    </format>
    <format dxfId="320">
      <pivotArea dataOnly="0" labelOnly="1" grandCol="1" outline="0" fieldPosition="0"/>
    </format>
    <format dxfId="319">
      <pivotArea type="all" dataOnly="0" outline="0" fieldPosition="0"/>
    </format>
    <format dxfId="318">
      <pivotArea outline="0" collapsedLevelsAreSubtotals="1" fieldPosition="0"/>
    </format>
    <format dxfId="317">
      <pivotArea type="origin" dataOnly="0" labelOnly="1" outline="0" fieldPosition="0"/>
    </format>
    <format dxfId="316">
      <pivotArea field="11" type="button" dataOnly="0" labelOnly="1" outline="0" axis="axisCol" fieldPosition="0"/>
    </format>
    <format dxfId="315">
      <pivotArea type="topRight" dataOnly="0" labelOnly="1" outline="0" fieldPosition="0"/>
    </format>
    <format dxfId="314">
      <pivotArea field="2" type="button" dataOnly="0" labelOnly="1" outline="0" axis="axisRow" fieldPosition="0"/>
    </format>
    <format dxfId="313">
      <pivotArea dataOnly="0" labelOnly="1" fieldPosition="0">
        <references count="1">
          <reference field="2" count="13">
            <x v="12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312">
      <pivotArea dataOnly="0" labelOnly="1" grandRow="1" outline="0" fieldPosition="0"/>
    </format>
    <format dxfId="311">
      <pivotArea dataOnly="0" labelOnly="1" fieldPosition="0">
        <references count="2">
          <reference field="2" count="1" selected="0">
            <x v="12"/>
          </reference>
          <reference field="4" count="4">
            <x v="0"/>
            <x v="2"/>
            <x v="3"/>
            <x v="11"/>
          </reference>
        </references>
      </pivotArea>
    </format>
    <format dxfId="310">
      <pivotArea dataOnly="0" labelOnly="1" fieldPosition="0">
        <references count="2">
          <reference field="2" count="1" selected="0">
            <x v="18"/>
          </reference>
          <reference field="4" count="4">
            <x v="0"/>
            <x v="4"/>
            <x v="9"/>
            <x v="11"/>
          </reference>
        </references>
      </pivotArea>
    </format>
    <format dxfId="309">
      <pivotArea dataOnly="0" labelOnly="1" fieldPosition="0">
        <references count="2">
          <reference field="2" count="1" selected="0">
            <x v="19"/>
          </reference>
          <reference field="4" count="3">
            <x v="6"/>
            <x v="8"/>
            <x v="10"/>
          </reference>
        </references>
      </pivotArea>
    </format>
    <format dxfId="308">
      <pivotArea dataOnly="0" labelOnly="1" fieldPosition="0">
        <references count="2">
          <reference field="2" count="1" selected="0">
            <x v="20"/>
          </reference>
          <reference field="4" count="5">
            <x v="0"/>
            <x v="5"/>
            <x v="6"/>
            <x v="7"/>
            <x v="10"/>
          </reference>
        </references>
      </pivotArea>
    </format>
    <format dxfId="307">
      <pivotArea dataOnly="0" labelOnly="1" fieldPosition="0">
        <references count="2">
          <reference field="2" count="1" selected="0">
            <x v="21"/>
          </reference>
          <reference field="4" count="1">
            <x v="1"/>
          </reference>
        </references>
      </pivotArea>
    </format>
    <format dxfId="306">
      <pivotArea dataOnly="0" labelOnly="1" fieldPosition="0">
        <references count="2">
          <reference field="2" count="1" selected="0">
            <x v="22"/>
          </reference>
          <reference field="4" count="4">
            <x v="1"/>
            <x v="4"/>
            <x v="6"/>
            <x v="10"/>
          </reference>
        </references>
      </pivotArea>
    </format>
    <format dxfId="305">
      <pivotArea dataOnly="0" labelOnly="1" fieldPosition="0">
        <references count="2">
          <reference field="2" count="1" selected="0">
            <x v="23"/>
          </reference>
          <reference field="4" count="3">
            <x v="0"/>
            <x v="6"/>
            <x v="11"/>
          </reference>
        </references>
      </pivotArea>
    </format>
    <format dxfId="304">
      <pivotArea dataOnly="0" labelOnly="1" fieldPosition="0">
        <references count="2">
          <reference field="2" count="1" selected="0">
            <x v="24"/>
          </reference>
          <reference field="4" count="5">
            <x v="0"/>
            <x v="4"/>
            <x v="6"/>
            <x v="10"/>
            <x v="11"/>
          </reference>
        </references>
      </pivotArea>
    </format>
    <format dxfId="303">
      <pivotArea dataOnly="0" labelOnly="1" fieldPosition="0">
        <references count="2">
          <reference field="2" count="1" selected="0">
            <x v="25"/>
          </reference>
          <reference field="4" count="4">
            <x v="0"/>
            <x v="4"/>
            <x v="10"/>
            <x v="11"/>
          </reference>
        </references>
      </pivotArea>
    </format>
    <format dxfId="302">
      <pivotArea dataOnly="0" labelOnly="1" fieldPosition="0">
        <references count="2">
          <reference field="2" count="1" selected="0">
            <x v="26"/>
          </reference>
          <reference field="4" count="4">
            <x v="4"/>
            <x v="6"/>
            <x v="7"/>
            <x v="10"/>
          </reference>
        </references>
      </pivotArea>
    </format>
    <format dxfId="301">
      <pivotArea dataOnly="0" labelOnly="1" fieldPosition="0">
        <references count="2">
          <reference field="2" count="1" selected="0">
            <x v="27"/>
          </reference>
          <reference field="4" count="2">
            <x v="0"/>
            <x v="10"/>
          </reference>
        </references>
      </pivotArea>
    </format>
    <format dxfId="300">
      <pivotArea dataOnly="0" labelOnly="1" fieldPosition="0">
        <references count="2">
          <reference field="2" count="1" selected="0">
            <x v="28"/>
          </reference>
          <reference field="4" count="2">
            <x v="0"/>
            <x v="6"/>
          </reference>
        </references>
      </pivotArea>
    </format>
    <format dxfId="299">
      <pivotArea dataOnly="0" labelOnly="1" fieldPosition="0">
        <references count="2">
          <reference field="2" count="1" selected="0">
            <x v="29"/>
          </reference>
          <reference field="4" count="2">
            <x v="6"/>
            <x v="10"/>
          </reference>
        </references>
      </pivotArea>
    </format>
    <format dxfId="298">
      <pivotArea dataOnly="0" labelOnly="1" fieldPosition="0">
        <references count="1">
          <reference field="11" count="2">
            <x v="0"/>
            <x v="1"/>
          </reference>
        </references>
      </pivotArea>
    </format>
    <format dxfId="297">
      <pivotArea dataOnly="0" labelOnly="1" grandCol="1" outline="0" fieldPosition="0"/>
    </format>
    <format dxfId="296">
      <pivotArea type="all" dataOnly="0" outline="0" fieldPosition="0"/>
    </format>
    <format dxfId="295">
      <pivotArea outline="0" collapsedLevelsAreSubtotals="1" fieldPosition="0"/>
    </format>
    <format dxfId="294">
      <pivotArea type="origin" dataOnly="0" labelOnly="1" outline="0" fieldPosition="0"/>
    </format>
    <format dxfId="293">
      <pivotArea field="11" type="button" dataOnly="0" labelOnly="1" outline="0" axis="axisCol" fieldPosition="0"/>
    </format>
    <format dxfId="292">
      <pivotArea type="topRight" dataOnly="0" labelOnly="1" outline="0" fieldPosition="0"/>
    </format>
    <format dxfId="291">
      <pivotArea field="2" type="button" dataOnly="0" labelOnly="1" outline="0" axis="axisRow" fieldPosition="0"/>
    </format>
    <format dxfId="290">
      <pivotArea dataOnly="0" labelOnly="1" fieldPosition="0">
        <references count="1">
          <reference field="2" count="13">
            <x v="12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289">
      <pivotArea dataOnly="0" labelOnly="1" grandRow="1" outline="0" fieldPosition="0"/>
    </format>
    <format dxfId="288">
      <pivotArea dataOnly="0" labelOnly="1" fieldPosition="0">
        <references count="2">
          <reference field="2" count="1" selected="0">
            <x v="12"/>
          </reference>
          <reference field="4" count="4">
            <x v="0"/>
            <x v="2"/>
            <x v="3"/>
            <x v="11"/>
          </reference>
        </references>
      </pivotArea>
    </format>
    <format dxfId="287">
      <pivotArea dataOnly="0" labelOnly="1" fieldPosition="0">
        <references count="2">
          <reference field="2" count="1" selected="0">
            <x v="18"/>
          </reference>
          <reference field="4" count="4">
            <x v="0"/>
            <x v="4"/>
            <x v="9"/>
            <x v="11"/>
          </reference>
        </references>
      </pivotArea>
    </format>
    <format dxfId="286">
      <pivotArea dataOnly="0" labelOnly="1" fieldPosition="0">
        <references count="2">
          <reference field="2" count="1" selected="0">
            <x v="19"/>
          </reference>
          <reference field="4" count="3">
            <x v="6"/>
            <x v="8"/>
            <x v="10"/>
          </reference>
        </references>
      </pivotArea>
    </format>
    <format dxfId="285">
      <pivotArea dataOnly="0" labelOnly="1" fieldPosition="0">
        <references count="2">
          <reference field="2" count="1" selected="0">
            <x v="20"/>
          </reference>
          <reference field="4" count="5">
            <x v="0"/>
            <x v="5"/>
            <x v="6"/>
            <x v="7"/>
            <x v="10"/>
          </reference>
        </references>
      </pivotArea>
    </format>
    <format dxfId="284">
      <pivotArea dataOnly="0" labelOnly="1" fieldPosition="0">
        <references count="2">
          <reference field="2" count="1" selected="0">
            <x v="21"/>
          </reference>
          <reference field="4" count="1">
            <x v="1"/>
          </reference>
        </references>
      </pivotArea>
    </format>
    <format dxfId="283">
      <pivotArea dataOnly="0" labelOnly="1" fieldPosition="0">
        <references count="2">
          <reference field="2" count="1" selected="0">
            <x v="22"/>
          </reference>
          <reference field="4" count="4">
            <x v="1"/>
            <x v="4"/>
            <x v="6"/>
            <x v="10"/>
          </reference>
        </references>
      </pivotArea>
    </format>
    <format dxfId="282">
      <pivotArea dataOnly="0" labelOnly="1" fieldPosition="0">
        <references count="2">
          <reference field="2" count="1" selected="0">
            <x v="23"/>
          </reference>
          <reference field="4" count="3">
            <x v="0"/>
            <x v="6"/>
            <x v="11"/>
          </reference>
        </references>
      </pivotArea>
    </format>
    <format dxfId="281">
      <pivotArea dataOnly="0" labelOnly="1" fieldPosition="0">
        <references count="2">
          <reference field="2" count="1" selected="0">
            <x v="24"/>
          </reference>
          <reference field="4" count="5">
            <x v="0"/>
            <x v="4"/>
            <x v="6"/>
            <x v="10"/>
            <x v="11"/>
          </reference>
        </references>
      </pivotArea>
    </format>
    <format dxfId="280">
      <pivotArea dataOnly="0" labelOnly="1" fieldPosition="0">
        <references count="2">
          <reference field="2" count="1" selected="0">
            <x v="25"/>
          </reference>
          <reference field="4" count="4">
            <x v="0"/>
            <x v="4"/>
            <x v="10"/>
            <x v="11"/>
          </reference>
        </references>
      </pivotArea>
    </format>
    <format dxfId="279">
      <pivotArea dataOnly="0" labelOnly="1" fieldPosition="0">
        <references count="2">
          <reference field="2" count="1" selected="0">
            <x v="26"/>
          </reference>
          <reference field="4" count="4">
            <x v="4"/>
            <x v="6"/>
            <x v="7"/>
            <x v="10"/>
          </reference>
        </references>
      </pivotArea>
    </format>
    <format dxfId="278">
      <pivotArea dataOnly="0" labelOnly="1" fieldPosition="0">
        <references count="2">
          <reference field="2" count="1" selected="0">
            <x v="27"/>
          </reference>
          <reference field="4" count="2">
            <x v="0"/>
            <x v="10"/>
          </reference>
        </references>
      </pivotArea>
    </format>
    <format dxfId="277">
      <pivotArea dataOnly="0" labelOnly="1" fieldPosition="0">
        <references count="2">
          <reference field="2" count="1" selected="0">
            <x v="28"/>
          </reference>
          <reference field="4" count="2">
            <x v="0"/>
            <x v="6"/>
          </reference>
        </references>
      </pivotArea>
    </format>
    <format dxfId="276">
      <pivotArea dataOnly="0" labelOnly="1" fieldPosition="0">
        <references count="2">
          <reference field="2" count="1" selected="0">
            <x v="29"/>
          </reference>
          <reference field="4" count="2">
            <x v="6"/>
            <x v="10"/>
          </reference>
        </references>
      </pivotArea>
    </format>
    <format dxfId="275">
      <pivotArea dataOnly="0" labelOnly="1" fieldPosition="0">
        <references count="1">
          <reference field="11" count="2">
            <x v="0"/>
            <x v="1"/>
          </reference>
        </references>
      </pivotArea>
    </format>
    <format dxfId="274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4" cacheId="0" applyNumberFormats="0" applyBorderFormats="0" applyFontFormats="0" applyPatternFormats="0" applyAlignmentFormats="0" applyWidthHeightFormats="1" dataCaption="Values" grandTotalCaption="ผลรวมงานทั้งหมด" updatedVersion="8" minRefreshableVersion="3" createdVersion="8" indent="0" outline="1" outlineData="1" multipleFieldFilters="0" rowHeaderCaption="ประเภทงาน" colHeaderCaption="ค่าใช้จ่าย">
  <location ref="A31:D115" firstHeaderRow="1" firstDataRow="2" firstDataCol="1"/>
  <pivotFields count="19">
    <pivotField showAll="0" insertBlankRow="1"/>
    <pivotField showAll="0" insertBlankRow="1"/>
    <pivotField axis="axisRow" showAll="0" insertBlankRow="1" includeNewItemsInFilter="1">
      <items count="38">
        <item m="1" x="36"/>
        <item m="1" x="29"/>
        <item n="6" x="25"/>
        <item n="7" x="18"/>
        <item m="1" x="27"/>
        <item n="9" x="24"/>
        <item m="1" x="34"/>
        <item m="1" x="33"/>
        <item m="1" x="32"/>
        <item m="1" x="31"/>
        <item m="1" x="30"/>
        <item x="26"/>
        <item x="12"/>
        <item x="23"/>
        <item x="14"/>
        <item m="1" x="28"/>
        <item m="1" x="35"/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5"/>
        <item x="16"/>
        <item x="17"/>
        <item x="20"/>
        <item x="21"/>
        <item x="22"/>
        <item t="default"/>
      </items>
    </pivotField>
    <pivotField showAll="0" insertBlankRow="1"/>
    <pivotField axis="axisRow" showAll="0" insertBlankRow="1" includeNewItemsInFilter="1">
      <items count="19">
        <item x="0"/>
        <item x="5"/>
        <item x="11"/>
        <item x="10"/>
        <item x="6"/>
        <item x="4"/>
        <item x="7"/>
        <item x="2"/>
        <item x="1"/>
        <item x="9"/>
        <item x="8"/>
        <item x="3"/>
        <item x="15"/>
        <item m="1" x="17"/>
        <item x="12"/>
        <item x="13"/>
        <item x="14"/>
        <item x="16"/>
        <item t="default"/>
      </items>
    </pivotField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axis="axisCol" dataField="1" showAll="0" insertBlankRow="1" includeNewItemsInFilter="1">
      <items count="6">
        <item n="จำนวนงานที่สำเร็จ" x="1"/>
        <item n="จำนวนงานที่รอดำเนินการ" m="1" x="4"/>
        <item h="1" x="2"/>
        <item m="1" x="3"/>
        <item x="0"/>
        <item t="default"/>
      </items>
    </pivotField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 includeNewItemsInFilter="1">
      <items count="5">
        <item x="0"/>
        <item h="1" x="3"/>
        <item h="1" x="2"/>
        <item x="1"/>
        <item t="default"/>
      </items>
    </pivotField>
    <pivotField showAll="0" insertBlankRow="1"/>
  </pivotFields>
  <rowFields count="2">
    <field x="4"/>
    <field x="2"/>
  </rowFields>
  <rowItems count="83">
    <i>
      <x/>
    </i>
    <i r="1">
      <x v="12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7"/>
    </i>
    <i r="1">
      <x v="28"/>
    </i>
    <i t="blank">
      <x/>
    </i>
    <i>
      <x v="1"/>
    </i>
    <i r="1">
      <x v="21"/>
    </i>
    <i r="1">
      <x v="22"/>
    </i>
    <i t="blank">
      <x v="1"/>
    </i>
    <i>
      <x v="2"/>
    </i>
    <i r="1">
      <x v="12"/>
    </i>
    <i t="blank">
      <x v="2"/>
    </i>
    <i>
      <x v="3"/>
    </i>
    <i r="1">
      <x v="12"/>
    </i>
    <i r="1">
      <x v="17"/>
    </i>
    <i t="blank">
      <x v="3"/>
    </i>
    <i>
      <x v="4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3"/>
    </i>
    <i t="blank">
      <x v="4"/>
    </i>
    <i>
      <x v="5"/>
    </i>
    <i r="1">
      <x v="18"/>
    </i>
    <i r="1">
      <x v="20"/>
    </i>
    <i r="1">
      <x v="30"/>
    </i>
    <i t="blank">
      <x v="5"/>
    </i>
    <i>
      <x v="6"/>
    </i>
    <i r="1">
      <x v="19"/>
    </i>
    <i r="1">
      <x v="20"/>
    </i>
    <i r="1">
      <x v="22"/>
    </i>
    <i r="1">
      <x v="23"/>
    </i>
    <i r="1">
      <x v="24"/>
    </i>
    <i r="1">
      <x v="26"/>
    </i>
    <i r="1">
      <x v="28"/>
    </i>
    <i r="1">
      <x v="29"/>
    </i>
    <i t="blank">
      <x v="6"/>
    </i>
    <i>
      <x v="7"/>
    </i>
    <i r="1">
      <x v="20"/>
    </i>
    <i r="1">
      <x v="26"/>
    </i>
    <i t="blank">
      <x v="7"/>
    </i>
    <i>
      <x v="8"/>
    </i>
    <i r="1">
      <x v="19"/>
    </i>
    <i t="blank">
      <x v="8"/>
    </i>
    <i>
      <x v="9"/>
    </i>
    <i r="1">
      <x v="18"/>
    </i>
    <i t="blank">
      <x v="9"/>
    </i>
    <i>
      <x v="10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29"/>
    </i>
    <i t="blank">
      <x v="10"/>
    </i>
    <i>
      <x v="11"/>
    </i>
    <i r="1">
      <x v="12"/>
    </i>
    <i r="1">
      <x v="18"/>
    </i>
    <i r="1">
      <x v="23"/>
    </i>
    <i r="1">
      <x v="24"/>
    </i>
    <i r="1">
      <x v="25"/>
    </i>
    <i t="blank">
      <x v="11"/>
    </i>
    <i>
      <x v="16"/>
    </i>
    <i r="1">
      <x v="18"/>
    </i>
    <i t="blank">
      <x v="16"/>
    </i>
    <i t="grand">
      <x/>
    </i>
  </rowItems>
  <colFields count="1">
    <field x="11"/>
  </colFields>
  <colItems count="3">
    <i>
      <x/>
    </i>
    <i>
      <x v="4"/>
    </i>
    <i t="grand">
      <x/>
    </i>
  </colItems>
  <dataFields count="1">
    <dataField name="นับจำนวน ของ สำเร็จ" fld="11" subtotal="count" baseField="4" baseItem="0"/>
  </dataFields>
  <formats count="146">
    <format dxfId="539">
      <pivotArea type="origin" dataOnly="0" labelOnly="1" outline="0" fieldPosition="0"/>
    </format>
    <format dxfId="538">
      <pivotArea field="-2" type="button" dataOnly="0" labelOnly="1" outline="0" axis="axisValues" fieldPosition="0"/>
    </format>
    <format dxfId="537">
      <pivotArea field="11" type="button" dataOnly="0" labelOnly="1" outline="0" axis="axisCol" fieldPosition="0"/>
    </format>
    <format dxfId="536">
      <pivotArea type="topRight" dataOnly="0" labelOnly="1" outline="0" fieldPosition="0"/>
    </format>
    <format dxfId="535">
      <pivotArea field="2" type="button" dataOnly="0" labelOnly="1" outline="0" axis="axisRow" fieldPosition="1"/>
    </format>
    <format dxfId="534">
      <pivotArea type="origin" dataOnly="0" labelOnly="1" outline="0" fieldPosition="0"/>
    </format>
    <format dxfId="533">
      <pivotArea field="-2" type="button" dataOnly="0" labelOnly="1" outline="0" axis="axisValues" fieldPosition="0"/>
    </format>
    <format dxfId="532">
      <pivotArea field="11" type="button" dataOnly="0" labelOnly="1" outline="0" axis="axisCol" fieldPosition="0"/>
    </format>
    <format dxfId="531">
      <pivotArea type="topRight" dataOnly="0" labelOnly="1" outline="0" fieldPosition="0"/>
    </format>
    <format dxfId="530">
      <pivotArea field="2" type="button" dataOnly="0" labelOnly="1" outline="0" axis="axisRow" fieldPosition="1"/>
    </format>
    <format dxfId="529">
      <pivotArea outline="0" collapsedLevelsAreSubtotals="1" fieldPosition="0"/>
    </format>
    <format dxfId="528">
      <pivotArea outline="0" collapsedLevelsAreSubtotals="1" fieldPosition="0"/>
    </format>
    <format dxfId="527">
      <pivotArea field="-2" type="button" dataOnly="0" labelOnly="1" outline="0" axis="axisValues" fieldPosition="0"/>
    </format>
    <format dxfId="526">
      <pivotArea field="11" type="button" dataOnly="0" labelOnly="1" outline="0" axis="axisCol" fieldPosition="0"/>
    </format>
    <format dxfId="525">
      <pivotArea type="origin" dataOnly="0" labelOnly="1" outline="0" offset="A2" fieldPosition="0"/>
    </format>
    <format dxfId="524">
      <pivotArea field="-2" type="button" dataOnly="0" labelOnly="1" outline="0" axis="axisValues" fieldPosition="0"/>
    </format>
    <format dxfId="523">
      <pivotArea field="11" type="button" dataOnly="0" labelOnly="1" outline="0" axis="axisCol" fieldPosition="0"/>
    </format>
    <format dxfId="522">
      <pivotArea type="topRight" dataOnly="0" labelOnly="1" outline="0" fieldPosition="0"/>
    </format>
    <format dxfId="521">
      <pivotArea field="2" type="button" dataOnly="0" labelOnly="1" outline="0" axis="axisRow" fieldPosition="1"/>
    </format>
    <format dxfId="520">
      <pivotArea dataOnly="0" labelOnly="1" grandRow="1" outline="0" fieldPosition="0"/>
    </format>
    <format dxfId="519">
      <pivotArea field="2" type="button" dataOnly="0" labelOnly="1" outline="0" axis="axisRow" fieldPosition="1"/>
    </format>
    <format dxfId="518">
      <pivotArea field="2" type="button" dataOnly="0" labelOnly="1" outline="0" axis="axisRow" fieldPosition="1"/>
    </format>
    <format dxfId="517">
      <pivotArea field="17" type="button" dataOnly="0" labelOnly="1" outline="0"/>
    </format>
    <format dxfId="516">
      <pivotArea type="origin" dataOnly="0" labelOnly="1" outline="0" fieldPosition="0"/>
    </format>
    <format dxfId="515">
      <pivotArea field="2" type="button" dataOnly="0" labelOnly="1" outline="0" axis="axisRow" fieldPosition="1"/>
    </format>
    <format dxfId="514">
      <pivotArea dataOnly="0" labelOnly="1" grandRow="1" outline="0" fieldPosition="0"/>
    </format>
    <format dxfId="513">
      <pivotArea field="17" type="button" dataOnly="0" labelOnly="1" outline="0"/>
    </format>
    <format dxfId="512">
      <pivotArea type="origin" dataOnly="0" labelOnly="1" outline="0" fieldPosition="0"/>
    </format>
    <format dxfId="511">
      <pivotArea field="2" type="button" dataOnly="0" labelOnly="1" outline="0" axis="axisRow" fieldPosition="1"/>
    </format>
    <format dxfId="510">
      <pivotArea dataOnly="0" labelOnly="1" grandRow="1" outline="0" fieldPosition="0"/>
    </format>
    <format dxfId="509">
      <pivotArea field="17" type="button" dataOnly="0" labelOnly="1" outline="0"/>
    </format>
    <format dxfId="508">
      <pivotArea type="origin" dataOnly="0" labelOnly="1" outline="0" fieldPosition="0"/>
    </format>
    <format dxfId="507">
      <pivotArea field="2" type="button" dataOnly="0" labelOnly="1" outline="0" axis="axisRow" fieldPosition="1"/>
    </format>
    <format dxfId="506">
      <pivotArea dataOnly="0" labelOnly="1" grandRow="1" outline="0" fieldPosition="0"/>
    </format>
    <format dxfId="505">
      <pivotArea type="all" dataOnly="0" outline="0" fieldPosition="0"/>
    </format>
    <format dxfId="504">
      <pivotArea type="origin" dataOnly="0" labelOnly="1" outline="0" fieldPosition="0"/>
    </format>
    <format dxfId="503">
      <pivotArea field="-2" type="button" dataOnly="0" labelOnly="1" outline="0" axis="axisValues" fieldPosition="0"/>
    </format>
    <format dxfId="502">
      <pivotArea field="11" type="button" dataOnly="0" labelOnly="1" outline="0" axis="axisCol" fieldPosition="0"/>
    </format>
    <format dxfId="501">
      <pivotArea type="topRight" dataOnly="0" labelOnly="1" outline="0" fieldPosition="0"/>
    </format>
    <format dxfId="500">
      <pivotArea outline="0" collapsedLevelsAreSubtotals="1" fieldPosition="0"/>
    </format>
    <format dxfId="499">
      <pivotArea type="origin" dataOnly="0" labelOnly="1" outline="0" offset="A2" fieldPosition="0"/>
    </format>
    <format dxfId="498">
      <pivotArea field="2" type="button" dataOnly="0" labelOnly="1" outline="0" axis="axisRow" fieldPosition="1"/>
    </format>
    <format dxfId="497">
      <pivotArea dataOnly="0" labelOnly="1" grandRow="1" outline="0" fieldPosition="0"/>
    </format>
    <format dxfId="496">
      <pivotArea type="origin" dataOnly="0" labelOnly="1" outline="0" offset="A2" fieldPosition="0"/>
    </format>
    <format dxfId="495">
      <pivotArea field="11" type="button" dataOnly="0" labelOnly="1" outline="0" axis="axisCol" fieldPosition="0"/>
    </format>
    <format dxfId="494">
      <pivotArea type="topRight" dataOnly="0" labelOnly="1" outline="0" fieldPosition="0"/>
    </format>
    <format dxfId="493">
      <pivotArea type="origin" dataOnly="0" labelOnly="1" outline="0" offset="A1" fieldPosition="0"/>
    </format>
    <format dxfId="492">
      <pivotArea field="-2" type="button" dataOnly="0" labelOnly="1" outline="0" axis="axisValues" fieldPosition="0"/>
    </format>
    <format dxfId="491">
      <pivotArea type="topRight" dataOnly="0" labelOnly="1" outline="0" offset="A1" fieldPosition="0"/>
    </format>
    <format dxfId="490">
      <pivotArea field="-2" type="button" dataOnly="0" labelOnly="1" outline="0" axis="axisValues" fieldPosition="0"/>
    </format>
    <format>
      <pivotArea type="topRight" dataOnly="0" labelOnly="1" outline="0" fieldPosition="0"/>
    </format>
    <format dxfId="489">
      <pivotArea type="all" dataOnly="0" outline="0" fieldPosition="0"/>
    </format>
    <format dxfId="488">
      <pivotArea dataOnly="0" labelOnly="1" fieldPosition="0">
        <references count="1">
          <reference field="11" count="1">
            <x v="0"/>
          </reference>
        </references>
      </pivotArea>
    </format>
    <format dxfId="487">
      <pivotArea dataOnly="0" labelOnly="1" fieldPosition="0">
        <references count="1">
          <reference field="11" count="1">
            <x v="0"/>
          </reference>
        </references>
      </pivotArea>
    </format>
    <format dxfId="486">
      <pivotArea field="11" type="button" dataOnly="0" labelOnly="1" outline="0" axis="axisCol" fieldPosition="0"/>
    </format>
    <format dxfId="485">
      <pivotArea dataOnly="0" labelOnly="1" outline="0" fieldPosition="0">
        <references count="2">
          <reference field="4294967294" count="1">
            <x v="0"/>
          </reference>
          <reference field="11" count="1" selected="0">
            <x v="0"/>
          </reference>
        </references>
      </pivotArea>
    </format>
    <format dxfId="484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format>
    <format dxfId="483">
      <pivotArea type="origin" dataOnly="0" labelOnly="1" outline="0" fieldPosition="0"/>
    </format>
    <format dxfId="482">
      <pivotArea field="2" type="button" dataOnly="0" labelOnly="1" outline="0" axis="axisRow" fieldPosition="1"/>
    </format>
    <format dxfId="481">
      <pivotArea type="all" dataOnly="0" outline="0" fieldPosition="0"/>
    </format>
    <format>
      <pivotArea type="all" dataOnly="0" outline="0" fieldPosition="0"/>
    </format>
    <format>
      <pivotArea outline="0" collapsedLevelsAreSubtotals="1" fieldPosition="0"/>
    </format>
    <format>
      <pivotArea type="origin" dataOnly="0" labelOnly="1" outline="0" fieldPosition="0"/>
    </format>
    <format>
      <pivotArea field="11" type="button" dataOnly="0" labelOnly="1" outline="0" axis="axisCol" fieldPosition="0"/>
    </format>
    <format>
      <pivotArea field="-2" type="button" dataOnly="0" labelOnly="1" outline="0" axis="axisValues" fieldPosition="0"/>
    </format>
    <format>
      <pivotArea type="topRight" dataOnly="0" labelOnly="1" outline="0" fieldPosition="0"/>
    </format>
    <format>
      <pivotArea field="2" type="button" dataOnly="0" labelOnly="1" outline="0" axis="axisRow" fieldPosition="1"/>
    </format>
    <format>
      <pivotArea dataOnly="0" labelOnly="1" fieldPosition="0">
        <references count="1">
          <reference field="2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1" count="2">
            <x v="0"/>
            <x v="1"/>
          </reference>
        </references>
      </pivotArea>
    </format>
    <format>
      <pivotArea dataOnly="0" labelOnly="1" grandCol="1" outline="0" fieldPosition="0">
        <references count="1">
          <reference field="4294967294" count="1" selected="0">
            <x v="0"/>
          </reference>
        </references>
      </pivotArea>
    </format>
    <format>
      <pivotArea dataOnly="0" labelOnly="1" outline="0" fieldPosition="0">
        <references count="2">
          <reference field="4294967294" count="1">
            <x v="0"/>
          </reference>
          <reference field="11" count="1" selected="0">
            <x v="0"/>
          </reference>
        </references>
      </pivotArea>
    </format>
    <format>
      <pivotArea dataOnly="0" labelOnly="1" outline="0" fieldPosition="0">
        <references count="2">
          <reference field="4294967294" count="1">
            <x v="0"/>
          </reference>
          <reference field="11" count="1" selected="0">
            <x v="1"/>
          </reference>
        </references>
      </pivotArea>
    </format>
    <format dxfId="480">
      <pivotArea type="origin" dataOnly="0" labelOnly="1" outline="0" fieldPosition="0"/>
    </format>
    <format dxfId="479">
      <pivotArea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8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format>
    <format dxfId="477">
      <pivotArea dataOnly="0" labelOnly="1" fieldPosition="0">
        <references count="1">
          <reference field="11" count="1">
            <x v="1"/>
          </reference>
        </references>
      </pivotArea>
    </format>
    <format dxfId="476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format>
    <format dxfId="475">
      <pivotArea dataOnly="0" labelOnly="1" fieldPosition="0">
        <references count="1">
          <reference field="11" count="1">
            <x v="0"/>
          </reference>
        </references>
      </pivotArea>
    </format>
    <format dxfId="474">
      <pivotArea dataOnly="0" labelOnly="1" grandCol="1" outline="0" fieldPosition="0">
        <references count="1">
          <reference field="4294967294" count="1" selected="0">
            <x v="0"/>
          </reference>
        </references>
      </pivotArea>
    </format>
    <format dxfId="47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2">
      <pivotArea type="origin" dataOnly="0" labelOnly="1" outline="0" fieldPosition="0"/>
    </format>
    <format dxfId="471">
      <pivotArea type="all" dataOnly="0" outline="0" fieldPosition="0"/>
    </format>
    <format dxfId="470">
      <pivotArea outline="0" fieldPosition="0">
        <references count="1">
          <reference field="4294967294" count="1">
            <x v="0"/>
          </reference>
        </references>
      </pivotArea>
    </format>
    <format dxfId="469">
      <pivotArea outline="0" collapsedLevelsAreSubtotals="1" fieldPosition="0"/>
    </format>
    <format dxfId="468">
      <pivotArea field="4" type="button" dataOnly="0" labelOnly="1" outline="0" axis="axisRow" fieldPosition="0"/>
    </format>
    <format dxfId="467">
      <pivotArea dataOnly="0" labelOnly="1" fieldPosition="0">
        <references count="1">
          <reference field="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66">
      <pivotArea dataOnly="0" labelOnly="1" grandRow="1" outline="0" fieldPosition="0"/>
    </format>
    <format dxfId="465">
      <pivotArea dataOnly="0" labelOnly="1" fieldPosition="0">
        <references count="2">
          <reference field="2" count="8">
            <x v="12"/>
            <x v="18"/>
            <x v="20"/>
            <x v="23"/>
            <x v="24"/>
            <x v="25"/>
            <x v="27"/>
            <x v="28"/>
          </reference>
          <reference field="4" count="1" selected="0">
            <x v="0"/>
          </reference>
        </references>
      </pivotArea>
    </format>
    <format dxfId="464">
      <pivotArea dataOnly="0" labelOnly="1" fieldPosition="0">
        <references count="2">
          <reference field="2" count="2">
            <x v="21"/>
            <x v="22"/>
          </reference>
          <reference field="4" count="1" selected="0">
            <x v="1"/>
          </reference>
        </references>
      </pivotArea>
    </format>
    <format dxfId="463">
      <pivotArea dataOnly="0" labelOnly="1" fieldPosition="0">
        <references count="2">
          <reference field="2" count="1">
            <x v="12"/>
          </reference>
          <reference field="4" count="1" selected="0">
            <x v="2"/>
          </reference>
        </references>
      </pivotArea>
    </format>
    <format dxfId="462">
      <pivotArea dataOnly="0" labelOnly="1" fieldPosition="0">
        <references count="2">
          <reference field="2" count="1">
            <x v="12"/>
          </reference>
          <reference field="4" count="1" selected="0">
            <x v="3"/>
          </reference>
        </references>
      </pivotArea>
    </format>
    <format dxfId="461">
      <pivotArea dataOnly="0" labelOnly="1" fieldPosition="0">
        <references count="2">
          <reference field="2" count="5">
            <x v="18"/>
            <x v="22"/>
            <x v="24"/>
            <x v="25"/>
            <x v="26"/>
          </reference>
          <reference field="4" count="1" selected="0">
            <x v="4"/>
          </reference>
        </references>
      </pivotArea>
    </format>
    <format dxfId="460">
      <pivotArea dataOnly="0" labelOnly="1" fieldPosition="0">
        <references count="2">
          <reference field="2" count="1">
            <x v="20"/>
          </reference>
          <reference field="4" count="1" selected="0">
            <x v="5"/>
          </reference>
        </references>
      </pivotArea>
    </format>
    <format dxfId="459">
      <pivotArea dataOnly="0" labelOnly="1" fieldPosition="0">
        <references count="2">
          <reference field="2" count="8">
            <x v="19"/>
            <x v="20"/>
            <x v="22"/>
            <x v="23"/>
            <x v="24"/>
            <x v="26"/>
            <x v="28"/>
            <x v="29"/>
          </reference>
          <reference field="4" count="1" selected="0">
            <x v="6"/>
          </reference>
        </references>
      </pivotArea>
    </format>
    <format dxfId="458">
      <pivotArea dataOnly="0" labelOnly="1" fieldPosition="0">
        <references count="2">
          <reference field="2" count="2">
            <x v="20"/>
            <x v="26"/>
          </reference>
          <reference field="4" count="1" selected="0">
            <x v="7"/>
          </reference>
        </references>
      </pivotArea>
    </format>
    <format dxfId="457">
      <pivotArea dataOnly="0" labelOnly="1" fieldPosition="0">
        <references count="2">
          <reference field="2" count="1">
            <x v="19"/>
          </reference>
          <reference field="4" count="1" selected="0">
            <x v="8"/>
          </reference>
        </references>
      </pivotArea>
    </format>
    <format dxfId="456">
      <pivotArea dataOnly="0" labelOnly="1" fieldPosition="0">
        <references count="2">
          <reference field="2" count="1">
            <x v="18"/>
          </reference>
          <reference field="4" count="1" selected="0">
            <x v="9"/>
          </reference>
        </references>
      </pivotArea>
    </format>
    <format dxfId="455">
      <pivotArea dataOnly="0" labelOnly="1" fieldPosition="0">
        <references count="2">
          <reference field="2" count="8">
            <x v="19"/>
            <x v="20"/>
            <x v="22"/>
            <x v="24"/>
            <x v="25"/>
            <x v="26"/>
            <x v="27"/>
            <x v="29"/>
          </reference>
          <reference field="4" count="1" selected="0">
            <x v="10"/>
          </reference>
        </references>
      </pivotArea>
    </format>
    <format dxfId="454">
      <pivotArea dataOnly="0" labelOnly="1" fieldPosition="0">
        <references count="2">
          <reference field="2" count="5">
            <x v="12"/>
            <x v="18"/>
            <x v="23"/>
            <x v="24"/>
            <x v="25"/>
          </reference>
          <reference field="4" count="1" selected="0">
            <x v="11"/>
          </reference>
        </references>
      </pivotArea>
    </format>
    <format dxfId="453">
      <pivotArea dataOnly="0" labelOnly="1" fieldPosition="0">
        <references count="1">
          <reference field="11" count="2">
            <x v="0"/>
            <x v="1"/>
          </reference>
        </references>
      </pivotArea>
    </format>
    <format dxfId="452">
      <pivotArea dataOnly="0" labelOnly="1" grandCol="1" outline="0" fieldPosition="0"/>
    </format>
    <format dxfId="451">
      <pivotArea type="all" dataOnly="0" outline="0" fieldPosition="0"/>
    </format>
    <format dxfId="450">
      <pivotArea outline="0" collapsedLevelsAreSubtotals="1" fieldPosition="0"/>
    </format>
    <format dxfId="449">
      <pivotArea type="origin" dataOnly="0" labelOnly="1" outline="0" fieldPosition="0"/>
    </format>
    <format dxfId="448">
      <pivotArea field="11" type="button" dataOnly="0" labelOnly="1" outline="0" axis="axisCol" fieldPosition="0"/>
    </format>
    <format dxfId="447">
      <pivotArea type="topRight" dataOnly="0" labelOnly="1" outline="0" fieldPosition="0"/>
    </format>
    <format dxfId="446">
      <pivotArea field="4" type="button" dataOnly="0" labelOnly="1" outline="0" axis="axisRow" fieldPosition="0"/>
    </format>
    <format dxfId="445">
      <pivotArea dataOnly="0" labelOnly="1" fieldPosition="0">
        <references count="1">
          <reference field="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44">
      <pivotArea dataOnly="0" labelOnly="1" grandRow="1" outline="0" fieldPosition="0"/>
    </format>
    <format dxfId="443">
      <pivotArea dataOnly="0" labelOnly="1" fieldPosition="0">
        <references count="2">
          <reference field="2" count="8">
            <x v="12"/>
            <x v="18"/>
            <x v="20"/>
            <x v="23"/>
            <x v="24"/>
            <x v="25"/>
            <x v="27"/>
            <x v="28"/>
          </reference>
          <reference field="4" count="1" selected="0">
            <x v="0"/>
          </reference>
        </references>
      </pivotArea>
    </format>
    <format dxfId="442">
      <pivotArea dataOnly="0" labelOnly="1" fieldPosition="0">
        <references count="2">
          <reference field="2" count="2">
            <x v="21"/>
            <x v="22"/>
          </reference>
          <reference field="4" count="1" selected="0">
            <x v="1"/>
          </reference>
        </references>
      </pivotArea>
    </format>
    <format dxfId="441">
      <pivotArea dataOnly="0" labelOnly="1" fieldPosition="0">
        <references count="2">
          <reference field="2" count="1">
            <x v="12"/>
          </reference>
          <reference field="4" count="1" selected="0">
            <x v="2"/>
          </reference>
        </references>
      </pivotArea>
    </format>
    <format dxfId="440">
      <pivotArea dataOnly="0" labelOnly="1" fieldPosition="0">
        <references count="2">
          <reference field="2" count="1">
            <x v="12"/>
          </reference>
          <reference field="4" count="1" selected="0">
            <x v="3"/>
          </reference>
        </references>
      </pivotArea>
    </format>
    <format dxfId="439">
      <pivotArea dataOnly="0" labelOnly="1" fieldPosition="0">
        <references count="2">
          <reference field="2" count="5">
            <x v="18"/>
            <x v="22"/>
            <x v="24"/>
            <x v="25"/>
            <x v="26"/>
          </reference>
          <reference field="4" count="1" selected="0">
            <x v="4"/>
          </reference>
        </references>
      </pivotArea>
    </format>
    <format dxfId="438">
      <pivotArea dataOnly="0" labelOnly="1" fieldPosition="0">
        <references count="2">
          <reference field="2" count="1">
            <x v="20"/>
          </reference>
          <reference field="4" count="1" selected="0">
            <x v="5"/>
          </reference>
        </references>
      </pivotArea>
    </format>
    <format dxfId="437">
      <pivotArea dataOnly="0" labelOnly="1" fieldPosition="0">
        <references count="2">
          <reference field="2" count="8">
            <x v="19"/>
            <x v="20"/>
            <x v="22"/>
            <x v="23"/>
            <x v="24"/>
            <x v="26"/>
            <x v="28"/>
            <x v="29"/>
          </reference>
          <reference field="4" count="1" selected="0">
            <x v="6"/>
          </reference>
        </references>
      </pivotArea>
    </format>
    <format dxfId="436">
      <pivotArea dataOnly="0" labelOnly="1" fieldPosition="0">
        <references count="2">
          <reference field="2" count="2">
            <x v="20"/>
            <x v="26"/>
          </reference>
          <reference field="4" count="1" selected="0">
            <x v="7"/>
          </reference>
        </references>
      </pivotArea>
    </format>
    <format dxfId="435">
      <pivotArea dataOnly="0" labelOnly="1" fieldPosition="0">
        <references count="2">
          <reference field="2" count="1">
            <x v="19"/>
          </reference>
          <reference field="4" count="1" selected="0">
            <x v="8"/>
          </reference>
        </references>
      </pivotArea>
    </format>
    <format dxfId="434">
      <pivotArea dataOnly="0" labelOnly="1" fieldPosition="0">
        <references count="2">
          <reference field="2" count="1">
            <x v="18"/>
          </reference>
          <reference field="4" count="1" selected="0">
            <x v="9"/>
          </reference>
        </references>
      </pivotArea>
    </format>
    <format dxfId="433">
      <pivotArea dataOnly="0" labelOnly="1" fieldPosition="0">
        <references count="2">
          <reference field="2" count="8">
            <x v="19"/>
            <x v="20"/>
            <x v="22"/>
            <x v="24"/>
            <x v="25"/>
            <x v="26"/>
            <x v="27"/>
            <x v="29"/>
          </reference>
          <reference field="4" count="1" selected="0">
            <x v="10"/>
          </reference>
        </references>
      </pivotArea>
    </format>
    <format dxfId="432">
      <pivotArea dataOnly="0" labelOnly="1" fieldPosition="0">
        <references count="2">
          <reference field="2" count="5">
            <x v="12"/>
            <x v="18"/>
            <x v="23"/>
            <x v="24"/>
            <x v="25"/>
          </reference>
          <reference field="4" count="1" selected="0">
            <x v="11"/>
          </reference>
        </references>
      </pivotArea>
    </format>
    <format dxfId="431">
      <pivotArea dataOnly="0" labelOnly="1" fieldPosition="0">
        <references count="1">
          <reference field="11" count="2">
            <x v="0"/>
            <x v="1"/>
          </reference>
        </references>
      </pivotArea>
    </format>
    <format dxfId="430">
      <pivotArea dataOnly="0" labelOnly="1" grandCol="1" outline="0" fieldPosition="0"/>
    </format>
    <format dxfId="429">
      <pivotArea type="all" dataOnly="0" outline="0" fieldPosition="0"/>
    </format>
    <format dxfId="428">
      <pivotArea outline="0" collapsedLevelsAreSubtotals="1" fieldPosition="0"/>
    </format>
    <format dxfId="427">
      <pivotArea type="origin" dataOnly="0" labelOnly="1" outline="0" fieldPosition="0"/>
    </format>
    <format dxfId="426">
      <pivotArea field="11" type="button" dataOnly="0" labelOnly="1" outline="0" axis="axisCol" fieldPosition="0"/>
    </format>
    <format dxfId="425">
      <pivotArea type="topRight" dataOnly="0" labelOnly="1" outline="0" fieldPosition="0"/>
    </format>
    <format dxfId="424">
      <pivotArea field="4" type="button" dataOnly="0" labelOnly="1" outline="0" axis="axisRow" fieldPosition="0"/>
    </format>
    <format dxfId="423">
      <pivotArea dataOnly="0" labelOnly="1" fieldPosition="0">
        <references count="1">
          <reference field="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22">
      <pivotArea dataOnly="0" labelOnly="1" grandRow="1" outline="0" fieldPosition="0"/>
    </format>
    <format dxfId="421">
      <pivotArea dataOnly="0" labelOnly="1" fieldPosition="0">
        <references count="2">
          <reference field="2" count="8">
            <x v="12"/>
            <x v="18"/>
            <x v="20"/>
            <x v="23"/>
            <x v="24"/>
            <x v="25"/>
            <x v="27"/>
            <x v="28"/>
          </reference>
          <reference field="4" count="1" selected="0">
            <x v="0"/>
          </reference>
        </references>
      </pivotArea>
    </format>
    <format dxfId="420">
      <pivotArea dataOnly="0" labelOnly="1" fieldPosition="0">
        <references count="2">
          <reference field="2" count="2">
            <x v="21"/>
            <x v="22"/>
          </reference>
          <reference field="4" count="1" selected="0">
            <x v="1"/>
          </reference>
        </references>
      </pivotArea>
    </format>
    <format dxfId="419">
      <pivotArea dataOnly="0" labelOnly="1" fieldPosition="0">
        <references count="2">
          <reference field="2" count="1">
            <x v="12"/>
          </reference>
          <reference field="4" count="1" selected="0">
            <x v="2"/>
          </reference>
        </references>
      </pivotArea>
    </format>
    <format dxfId="418">
      <pivotArea dataOnly="0" labelOnly="1" fieldPosition="0">
        <references count="2">
          <reference field="2" count="1">
            <x v="12"/>
          </reference>
          <reference field="4" count="1" selected="0">
            <x v="3"/>
          </reference>
        </references>
      </pivotArea>
    </format>
    <format dxfId="417">
      <pivotArea dataOnly="0" labelOnly="1" fieldPosition="0">
        <references count="2">
          <reference field="2" count="5">
            <x v="18"/>
            <x v="22"/>
            <x v="24"/>
            <x v="25"/>
            <x v="26"/>
          </reference>
          <reference field="4" count="1" selected="0">
            <x v="4"/>
          </reference>
        </references>
      </pivotArea>
    </format>
    <format dxfId="416">
      <pivotArea dataOnly="0" labelOnly="1" fieldPosition="0">
        <references count="2">
          <reference field="2" count="1">
            <x v="20"/>
          </reference>
          <reference field="4" count="1" selected="0">
            <x v="5"/>
          </reference>
        </references>
      </pivotArea>
    </format>
    <format dxfId="415">
      <pivotArea dataOnly="0" labelOnly="1" fieldPosition="0">
        <references count="2">
          <reference field="2" count="8">
            <x v="19"/>
            <x v="20"/>
            <x v="22"/>
            <x v="23"/>
            <x v="24"/>
            <x v="26"/>
            <x v="28"/>
            <x v="29"/>
          </reference>
          <reference field="4" count="1" selected="0">
            <x v="6"/>
          </reference>
        </references>
      </pivotArea>
    </format>
    <format dxfId="414">
      <pivotArea dataOnly="0" labelOnly="1" fieldPosition="0">
        <references count="2">
          <reference field="2" count="2">
            <x v="20"/>
            <x v="26"/>
          </reference>
          <reference field="4" count="1" selected="0">
            <x v="7"/>
          </reference>
        </references>
      </pivotArea>
    </format>
    <format dxfId="413">
      <pivotArea dataOnly="0" labelOnly="1" fieldPosition="0">
        <references count="2">
          <reference field="2" count="1">
            <x v="19"/>
          </reference>
          <reference field="4" count="1" selected="0">
            <x v="8"/>
          </reference>
        </references>
      </pivotArea>
    </format>
    <format dxfId="412">
      <pivotArea dataOnly="0" labelOnly="1" fieldPosition="0">
        <references count="2">
          <reference field="2" count="1">
            <x v="18"/>
          </reference>
          <reference field="4" count="1" selected="0">
            <x v="9"/>
          </reference>
        </references>
      </pivotArea>
    </format>
    <format dxfId="411">
      <pivotArea dataOnly="0" labelOnly="1" fieldPosition="0">
        <references count="2">
          <reference field="2" count="8">
            <x v="19"/>
            <x v="20"/>
            <x v="22"/>
            <x v="24"/>
            <x v="25"/>
            <x v="26"/>
            <x v="27"/>
            <x v="29"/>
          </reference>
          <reference field="4" count="1" selected="0">
            <x v="10"/>
          </reference>
        </references>
      </pivotArea>
    </format>
    <format dxfId="410">
      <pivotArea dataOnly="0" labelOnly="1" fieldPosition="0">
        <references count="2">
          <reference field="2" count="5">
            <x v="12"/>
            <x v="18"/>
            <x v="23"/>
            <x v="24"/>
            <x v="25"/>
          </reference>
          <reference field="4" count="1" selected="0">
            <x v="11"/>
          </reference>
        </references>
      </pivotArea>
    </format>
    <format dxfId="409">
      <pivotArea dataOnly="0" labelOnly="1" fieldPosition="0">
        <references count="1">
          <reference field="11" count="2">
            <x v="0"/>
            <x v="1"/>
          </reference>
        </references>
      </pivotArea>
    </format>
    <format dxfId="408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3" cacheId="0" applyNumberFormats="0" applyBorderFormats="0" applyFontFormats="0" applyPatternFormats="0" applyAlignmentFormats="0" applyWidthHeightFormats="1" dataCaption="Values" updatedVersion="8" minRefreshableVersion="3" createdVersion="8" indent="0" outline="1" outlineData="1" multipleFieldFilters="0" rowHeaderCaption="ชั้น" colHeaderCaption="เวลาที่ใช้">
  <location ref="Q31:S48" firstHeaderRow="1" firstDataRow="1" firstDataCol="0"/>
  <pivotFields count="19">
    <pivotField showAll="0" insertBlankRow="1"/>
    <pivotField showAll="0" insertBlankRow="1"/>
    <pivotField showAll="0" insertBlankRow="1" includeNewItemsInFilter="1">
      <items count="38">
        <item m="1" x="36"/>
        <item m="1" x="29"/>
        <item x="25"/>
        <item x="18"/>
        <item m="1" x="27"/>
        <item x="24"/>
        <item m="1" x="34"/>
        <item m="1" x="33"/>
        <item m="1" x="32"/>
        <item m="1" x="31"/>
        <item m="1" x="30"/>
        <item x="26"/>
        <item x="12"/>
        <item x="23"/>
        <item x="14"/>
        <item m="1" x="28"/>
        <item m="1" x="35"/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5"/>
        <item x="16"/>
        <item x="17"/>
        <item x="20"/>
        <item x="21"/>
        <item x="22"/>
        <item t="default"/>
      </items>
    </pivotField>
    <pivotField showAll="0" insertBlankRow="1"/>
    <pivotField showAll="0" insertBlankRow="1" includeNewItemsInFilter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 includeNewItemsInFilter="1">
      <items count="6">
        <item n="สำเร็จ" x="1"/>
        <item m="1" x="4"/>
        <item h="1" x="2"/>
        <item m="1" x="3"/>
        <item x="0"/>
        <item t="default"/>
      </items>
    </pivotField>
    <pivotField showAll="0" insertBlankRow="1"/>
    <pivotField showAll="0" insertBlankRow="1"/>
    <pivotField showAll="0" insertBlankRow="1" sumSubtotal="1">
      <items count="22">
        <item x="1"/>
        <item x="2"/>
        <item x="4"/>
        <item x="5"/>
        <item x="3"/>
        <item x="0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sum"/>
      </items>
    </pivotField>
    <pivotField showAll="0" insertBlankRow="1">
      <items count="5">
        <item x="0"/>
        <item x="1"/>
        <item x="2"/>
        <item x="3"/>
        <item t="default"/>
      </items>
    </pivotField>
    <pivotField showAll="0" insertBlankRow="1"/>
    <pivotField showAll="0" insertBlankRow="1" includeNewItemsInFilter="1">
      <items count="5">
        <item x="0"/>
        <item h="1" x="3"/>
        <item h="1" x="2"/>
        <item x="1"/>
        <item t="default"/>
      </items>
    </pivotField>
    <pivotField showAll="0" insertBlankRow="1"/>
  </pivotFields>
  <formats count="79">
    <format dxfId="609">
      <pivotArea type="origin" dataOnly="0" labelOnly="1" outline="0" fieldPosition="0"/>
    </format>
    <format dxfId="608">
      <pivotArea field="-2" type="button" dataOnly="0" labelOnly="1" outline="0"/>
    </format>
    <format dxfId="607">
      <pivotArea field="11" type="button" dataOnly="0" labelOnly="1" outline="0"/>
    </format>
    <format dxfId="606">
      <pivotArea type="topRight" dataOnly="0" labelOnly="1" outline="0" fieldPosition="0"/>
    </format>
    <format dxfId="605">
      <pivotArea field="2" type="button" dataOnly="0" labelOnly="1" outline="0"/>
    </format>
    <format dxfId="604">
      <pivotArea type="origin" dataOnly="0" labelOnly="1" outline="0" fieldPosition="0"/>
    </format>
    <format dxfId="603">
      <pivotArea field="-2" type="button" dataOnly="0" labelOnly="1" outline="0"/>
    </format>
    <format dxfId="602">
      <pivotArea field="11" type="button" dataOnly="0" labelOnly="1" outline="0"/>
    </format>
    <format dxfId="601">
      <pivotArea type="topRight" dataOnly="0" labelOnly="1" outline="0" fieldPosition="0"/>
    </format>
    <format dxfId="600">
      <pivotArea field="2" type="button" dataOnly="0" labelOnly="1" outline="0"/>
    </format>
    <format dxfId="599">
      <pivotArea outline="0" collapsedLevelsAreSubtotals="1" fieldPosition="0"/>
    </format>
    <format dxfId="598">
      <pivotArea outline="0" collapsedLevelsAreSubtotals="1" fieldPosition="0"/>
    </format>
    <format dxfId="597">
      <pivotArea field="-2" type="button" dataOnly="0" labelOnly="1" outline="0"/>
    </format>
    <format dxfId="596">
      <pivotArea field="11" type="button" dataOnly="0" labelOnly="1" outline="0"/>
    </format>
    <format dxfId="595">
      <pivotArea type="origin" dataOnly="0" labelOnly="1" outline="0" offset="A2" fieldPosition="0"/>
    </format>
    <format dxfId="594">
      <pivotArea field="-2" type="button" dataOnly="0" labelOnly="1" outline="0"/>
    </format>
    <format dxfId="593">
      <pivotArea field="11" type="button" dataOnly="0" labelOnly="1" outline="0"/>
    </format>
    <format dxfId="592">
      <pivotArea type="topRight" dataOnly="0" labelOnly="1" outline="0" fieldPosition="0"/>
    </format>
    <format dxfId="591">
      <pivotArea field="2" type="button" dataOnly="0" labelOnly="1" outline="0"/>
    </format>
    <format dxfId="590">
      <pivotArea dataOnly="0" labelOnly="1" grandRow="1" outline="0" fieldPosition="0"/>
    </format>
    <format dxfId="589">
      <pivotArea field="2" type="button" dataOnly="0" labelOnly="1" outline="0"/>
    </format>
    <format dxfId="588">
      <pivotArea field="2" type="button" dataOnly="0" labelOnly="1" outline="0"/>
    </format>
    <format dxfId="587">
      <pivotArea field="17" type="button" dataOnly="0" labelOnly="1" outline="0"/>
    </format>
    <format dxfId="586">
      <pivotArea type="origin" dataOnly="0" labelOnly="1" outline="0" fieldPosition="0"/>
    </format>
    <format dxfId="585">
      <pivotArea field="2" type="button" dataOnly="0" labelOnly="1" outline="0"/>
    </format>
    <format dxfId="584">
      <pivotArea dataOnly="0" labelOnly="1" grandRow="1" outline="0" fieldPosition="0"/>
    </format>
    <format dxfId="583">
      <pivotArea field="17" type="button" dataOnly="0" labelOnly="1" outline="0"/>
    </format>
    <format dxfId="582">
      <pivotArea type="origin" dataOnly="0" labelOnly="1" outline="0" fieldPosition="0"/>
    </format>
    <format dxfId="581">
      <pivotArea field="2" type="button" dataOnly="0" labelOnly="1" outline="0"/>
    </format>
    <format dxfId="580">
      <pivotArea dataOnly="0" labelOnly="1" grandRow="1" outline="0" fieldPosition="0"/>
    </format>
    <format dxfId="579">
      <pivotArea field="17" type="button" dataOnly="0" labelOnly="1" outline="0"/>
    </format>
    <format dxfId="578">
      <pivotArea type="origin" dataOnly="0" labelOnly="1" outline="0" fieldPosition="0"/>
    </format>
    <format dxfId="577">
      <pivotArea field="2" type="button" dataOnly="0" labelOnly="1" outline="0"/>
    </format>
    <format dxfId="576">
      <pivotArea dataOnly="0" labelOnly="1" grandRow="1" outline="0" fieldPosition="0"/>
    </format>
    <format dxfId="575">
      <pivotArea type="all" dataOnly="0" outline="0" fieldPosition="0"/>
    </format>
    <format dxfId="574">
      <pivotArea type="origin" dataOnly="0" labelOnly="1" outline="0" fieldPosition="0"/>
    </format>
    <format dxfId="573">
      <pivotArea field="-2" type="button" dataOnly="0" labelOnly="1" outline="0"/>
    </format>
    <format dxfId="572">
      <pivotArea field="11" type="button" dataOnly="0" labelOnly="1" outline="0"/>
    </format>
    <format dxfId="571">
      <pivotArea type="topRight" dataOnly="0" labelOnly="1" outline="0" fieldPosition="0"/>
    </format>
    <format dxfId="570">
      <pivotArea outline="0" collapsedLevelsAreSubtotals="1" fieldPosition="0"/>
    </format>
    <format dxfId="569">
      <pivotArea type="origin" dataOnly="0" labelOnly="1" outline="0" offset="A2" fieldPosition="0"/>
    </format>
    <format dxfId="568">
      <pivotArea field="2" type="button" dataOnly="0" labelOnly="1" outline="0"/>
    </format>
    <format dxfId="567">
      <pivotArea dataOnly="0" labelOnly="1" grandRow="1" outline="0" fieldPosition="0"/>
    </format>
    <format dxfId="566">
      <pivotArea type="origin" dataOnly="0" labelOnly="1" outline="0" offset="A2" fieldPosition="0"/>
    </format>
    <format dxfId="565">
      <pivotArea field="11" type="button" dataOnly="0" labelOnly="1" outline="0"/>
    </format>
    <format dxfId="564">
      <pivotArea type="topRight" dataOnly="0" labelOnly="1" outline="0" fieldPosition="0"/>
    </format>
    <format dxfId="563">
      <pivotArea type="origin" dataOnly="0" labelOnly="1" outline="0" offset="A1" fieldPosition="0"/>
    </format>
    <format dxfId="562">
      <pivotArea field="-2" type="button" dataOnly="0" labelOnly="1" outline="0"/>
    </format>
    <format dxfId="561">
      <pivotArea type="topRight" dataOnly="0" labelOnly="1" outline="0" offset="A1" fieldPosition="0"/>
    </format>
    <format dxfId="560">
      <pivotArea field="-2" type="button" dataOnly="0" labelOnly="1" outline="0"/>
    </format>
    <format>
      <pivotArea type="topRight" dataOnly="0" labelOnly="1" outline="0" fieldPosition="0"/>
    </format>
    <format dxfId="559">
      <pivotArea type="all" dataOnly="0" outline="0" fieldPosition="0"/>
    </format>
    <format dxfId="558">
      <pivotArea field="11" type="button" dataOnly="0" labelOnly="1" outline="0"/>
    </format>
    <format dxfId="557">
      <pivotArea type="origin" dataOnly="0" labelOnly="1" outline="0" fieldPosition="0"/>
    </format>
    <format dxfId="556">
      <pivotArea field="2" type="button" dataOnly="0" labelOnly="1" outline="0"/>
    </format>
    <format dxfId="555">
      <pivotArea type="all" dataOnly="0" outline="0" fieldPosition="0"/>
    </format>
    <format>
      <pivotArea type="all" dataOnly="0" outline="0" fieldPosition="0"/>
    </format>
    <format>
      <pivotArea outline="0" collapsedLevelsAreSubtotals="1" fieldPosition="0"/>
    </format>
    <format>
      <pivotArea type="origin" dataOnly="0" labelOnly="1" outline="0" fieldPosition="0"/>
    </format>
    <format>
      <pivotArea field="11" type="button" dataOnly="0" labelOnly="1" outline="0"/>
    </format>
    <format>
      <pivotArea field="-2" type="button" dataOnly="0" labelOnly="1" outline="0"/>
    </format>
    <format>
      <pivotArea type="topRight" dataOnly="0" labelOnly="1" outline="0" fieldPosition="0"/>
    </format>
    <format>
      <pivotArea field="2" type="button" dataOnly="0" labelOnly="1" outline="0"/>
    </format>
    <format>
      <pivotArea dataOnly="0" labelOnly="1" grandRow="1" outline="0" fieldPosition="0"/>
    </format>
    <format dxfId="554">
      <pivotArea type="origin" dataOnly="0" labelOnly="1" outline="0" fieldPosition="0"/>
    </format>
    <format dxfId="553">
      <pivotArea type="origin" dataOnly="0" labelOnly="1" outline="0" fieldPosition="0"/>
    </format>
    <format dxfId="552">
      <pivotArea type="all" dataOnly="0" outline="0" fieldPosition="0"/>
    </format>
    <format dxfId="551">
      <pivotArea field="15" type="button" dataOnly="0" labelOnly="1" outline="0"/>
    </format>
    <format dxfId="550">
      <pivotArea field="15" type="button" dataOnly="0" labelOnly="1" outline="0"/>
    </format>
    <format dxfId="549">
      <pivotArea field="14" type="button" dataOnly="0" labelOnly="1" outline="0"/>
    </format>
    <format dxfId="548">
      <pivotArea field="14" type="button" dataOnly="0" labelOnly="1" outline="0"/>
    </format>
    <format dxfId="547">
      <pivotArea grandCol="1" outline="0" collapsedLevelsAreSubtotals="1" fieldPosition="0"/>
    </format>
    <format dxfId="546">
      <pivotArea type="topRight" dataOnly="0" labelOnly="1" outline="0" fieldPosition="0"/>
    </format>
    <format dxfId="545">
      <pivotArea dataOnly="0" labelOnly="1" grandCol="1" outline="0" fieldPosition="0"/>
    </format>
    <format dxfId="544">
      <pivotArea grandCol="1" outline="0" collapsedLevelsAreSubtotals="1" fieldPosition="0"/>
    </format>
    <format dxfId="543">
      <pivotArea type="topRight" dataOnly="0" labelOnly="1" outline="0" fieldPosition="0"/>
    </format>
    <format dxfId="542">
      <pivotArea dataOnly="0" labelOnly="1" grandCol="1" outline="0" fieldPosition="0"/>
    </format>
    <format dxfId="541">
      <pivotArea type="all" dataOnly="0" outline="0" fieldPosition="0"/>
    </format>
    <format dxfId="540">
      <pivotArea type="all" dataOnly="0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90</v>
    <v>7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ตัวแบ่งส่วนข้อมูล_เดือน1" xr10:uid="{00000000-0013-0000-FFFF-FFFF01000000}" sourceName="เดือน">
  <pivotTables>
    <pivotTable tabId="22" name="PivotTable4"/>
    <pivotTable tabId="22" name="PivotTable1"/>
    <pivotTable tabId="22" name="PivotTable2"/>
    <pivotTable tabId="22" name="PivotTable3"/>
  </pivotTables>
  <data>
    <tabular pivotCacheId="1">
      <items count="4">
        <i x="0" s="1"/>
        <i x="2"/>
        <i x="1" s="1"/>
        <i x="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ตัวแบ่งส่วนข้อมูล_ชั้น" xr10:uid="{00000000-0013-0000-FFFF-FFFF02000000}" sourceName="ชั้น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ตัวแบ่งส่วนข้อมูล_เดือน" xr10:uid="{00000000-0013-0000-FFFF-FFFF03000000}" sourceName="เดือน">
  <extLst>
    <x:ext xmlns:x15="http://schemas.microsoft.com/office/spreadsheetml/2010/11/main" uri="{2F2917AC-EB37-4324-AD4E-5DD8C200BD13}">
      <x15:tableSlicerCache tableId="4" column="6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ตัวแบ่งส่วนข้อมูล_สำเร็จ" xr10:uid="{00000000-0013-0000-FFFF-FFFF04000000}" sourceName="สำเร็จ">
  <extLst>
    <x:ext xmlns:x15="http://schemas.microsoft.com/office/spreadsheetml/2010/11/main" uri="{2F2917AC-EB37-4324-AD4E-5DD8C200BD13}">
      <x15:tableSlicerCache tableId="4" column="1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ตัวแบ่งส่วนข้อมูล_ชื่ออุปกรณ์" xr10:uid="{00000000-0013-0000-FFFF-FFFF05000000}" sourceName="ชื่ออุปกรณ์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ตัวแบ่งส่วนข้อมูล_วันที่เข้าแก้ไข" xr10:uid="{00000000-0013-0000-FFFF-FFFF06000000}" sourceName="วันที่เข้าแก้ไข">
  <extLst>
    <x:ext xmlns:x15="http://schemas.microsoft.com/office/spreadsheetml/2010/11/main" uri="{2F2917AC-EB37-4324-AD4E-5DD8C200BD13}">
      <x15:tableSlicerCache tableId="4" column="9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ตัวแบ่งส่วนข้อมูล_ทีมซ่อม" xr10:uid="{00000000-0013-0000-FFFF-FFFF07000000}" sourceName="ผู้รับผิดชอบ">
  <extLst>
    <x:ext xmlns:x15="http://schemas.microsoft.com/office/spreadsheetml/2010/11/main" uri="{2F2917AC-EB37-4324-AD4E-5DD8C200BD13}">
      <x15:tableSlicerCache tableId="4" column="5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ตัวแบ่งส่วนข้อมูล_ประเภท" xr10:uid="{00000000-0013-0000-FFFF-FFFF08000000}" sourceName="ประเภท">
  <extLst>
    <x:ext xmlns:x15="http://schemas.microsoft.com/office/spreadsheetml/2010/11/main" uri="{2F2917AC-EB37-4324-AD4E-5DD8C200BD13}">
      <x15:tableSlicerCache tableId="4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ชั้น" xr10:uid="{00000000-0014-0000-FFFF-FFFF06000000}" cache="ตัวแบ่งส่วนข้อมูล_ชั้น" caption="ชั้น" rowHeight="247650"/>
  <slicer name="เดือน" xr10:uid="{00000000-0014-0000-FFFF-FFFF05000000}" cache="ตัวแบ่งส่วนข้อมูล_เดือน" caption="เดือน" rowHeight="247650"/>
  <slicer name="สำเร็จ" xr10:uid="{00000000-0014-0000-FFFF-FFFF04000000}" cache="ตัวแบ่งส่วนข้อมูล_สำเร็จ" caption="สำเร็จ" rowHeight="247650"/>
  <slicer name="วันที่เข้าแก้ไข" xr10:uid="{00000000-0014-0000-FFFF-FFFF03000000}" cache="ตัวแบ่งส่วนข้อมูล_วันที่เข้าแก้ไข" caption="วันที่เข้าแก้ไข" startItem="8" rowHeight="247650"/>
  <slicer name="ทีมซ่อม" xr10:uid="{00000000-0014-0000-FFFF-FFFF02000000}" cache="ตัวแบ่งส่วนข้อมูล_ทีมซ่อม" caption="ผู้รับผิดชอบ" rowHeight="247650"/>
  <slicer name="ประเภท" xr10:uid="{00000000-0014-0000-FFFF-FFFF01000000}" cache="ตัวแบ่งส่วนข้อมูล_ประเภท" caption="ประเภท" startItem="1" rowHeight="2476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เดือน 1" xr10:uid="{00000000-0014-0000-FFFF-FFFF07000000}" cache="ตัวแบ่งส่วนข้อมูล_เดือน1" caption="เดือน" rowHeight="2476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ชื่ออุปกรณ์" xr10:uid="{00000000-0014-0000-FFFF-FFFF08000000}" cache="ตัวแบ่งส่วนข้อมูล_ชื่ออุปกรณ์" caption="ชื่ออุปกรณ์" startItem="6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13" displayName="Table13" ref="A3:K25" totalsRowShown="0">
  <autoFilter ref="A3:K25" xr:uid="{00000000-0009-0000-0100-000002000000}"/>
  <tableColumns count="11">
    <tableColumn id="1" xr3:uid="{00000000-0010-0000-0400-000001000000}" name="ลำดับ" dataDxfId="693"/>
    <tableColumn id="2" xr3:uid="{00000000-0010-0000-0400-000002000000}" name="ชื่อผู้แจ้งซ่อม/ฝ่าย" dataDxfId="692"/>
    <tableColumn id="3" xr3:uid="{00000000-0010-0000-0400-000003000000}" name="คอลัมน์1" dataDxfId="691"/>
    <tableColumn id="4" xr3:uid="{00000000-0010-0000-0400-000004000000}" name="แจ้งผ่าน" dataDxfId="690"/>
    <tableColumn id="5" xr3:uid="{00000000-0010-0000-0400-000005000000}" name="เรื่อง" dataDxfId="689"/>
    <tableColumn id="6" xr3:uid="{00000000-0010-0000-0400-000006000000}" name="ชั้น" dataDxfId="688"/>
    <tableColumn id="7" xr3:uid="{00000000-0010-0000-0400-000007000000}" name="ประเภท" dataDxfId="687"/>
    <tableColumn id="8" xr3:uid="{00000000-0010-0000-0400-000008000000}" name="วันที่แจ้งซ่อม" dataDxfId="686"/>
    <tableColumn id="9" xr3:uid="{00000000-0010-0000-0400-000009000000}" name="ตำแหน่ง" dataDxfId="685"/>
    <tableColumn id="10" xr3:uid="{00000000-0010-0000-0400-00000A000000}" name="สถานะ" dataDxfId="684"/>
    <tableColumn id="11" xr3:uid="{00000000-0010-0000-0400-00000B000000}" name="วันที่เข้าแก้ไข" dataDxfId="6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le4" displayName="Table4" ref="A28:L78" totalsRowShown="0">
  <autoFilter ref="A28:L78" xr:uid="{00000000-0009-0000-0100-000009000000}"/>
  <tableColumns count="12">
    <tableColumn id="1" xr3:uid="{00000000-0010-0000-0500-000001000000}" name="ลำดับ" dataDxfId="682"/>
    <tableColumn id="2" xr3:uid="{00000000-0010-0000-0500-000002000000}" name="ชื่อผู้แจ้งซ่อม" dataDxfId="681"/>
    <tableColumn id="3" xr3:uid="{00000000-0010-0000-0500-000003000000}" name="ฝ่าย" dataDxfId="680"/>
    <tableColumn id="4" xr3:uid="{00000000-0010-0000-0500-000004000000}" name="แจ้งผ่าน" dataDxfId="679"/>
    <tableColumn id="5" xr3:uid="{00000000-0010-0000-0500-000005000000}" name="เรื่อง" dataDxfId="678"/>
    <tableColumn id="6" xr3:uid="{00000000-0010-0000-0500-000006000000}" name="ชั้น" dataDxfId="677"/>
    <tableColumn id="7" xr3:uid="{00000000-0010-0000-0500-000007000000}" name="ประเภท" dataDxfId="676"/>
    <tableColumn id="8" xr3:uid="{00000000-0010-0000-0500-000008000000}" name="วันที่แจ้งซ่อม" dataDxfId="675"/>
    <tableColumn id="9" xr3:uid="{00000000-0010-0000-0500-000009000000}" name="ตำแหน่ง" dataDxfId="674"/>
    <tableColumn id="10" xr3:uid="{00000000-0010-0000-0500-00000A000000}" name="สถานะ" dataDxfId="673"/>
    <tableColumn id="11" xr3:uid="{00000000-0010-0000-0500-00000B000000}" name="วันที่เข้าแก้ไข" dataDxfId="672"/>
    <tableColumn id="12" xr3:uid="{00000000-0010-0000-0500-00000C000000}" name="สัปดาห์" dataDxfId="6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le2" displayName="Table2" ref="A81:L129" totalsRowShown="0">
  <autoFilter ref="A81:L129" xr:uid="{00000000-0009-0000-0100-00000B000000}"/>
  <tableColumns count="12">
    <tableColumn id="1" xr3:uid="{00000000-0010-0000-0600-000001000000}" name="ลำดับ" dataDxfId="670"/>
    <tableColumn id="2" xr3:uid="{00000000-0010-0000-0600-000002000000}" name="ชื่อผู้แจ้งซ่อม" dataDxfId="669"/>
    <tableColumn id="3" xr3:uid="{00000000-0010-0000-0600-000003000000}" name="ฝ่าย" dataDxfId="668"/>
    <tableColumn id="4" xr3:uid="{00000000-0010-0000-0600-000004000000}" name="แจ้งผ่าน" dataDxfId="667"/>
    <tableColumn id="5" xr3:uid="{00000000-0010-0000-0600-000005000000}" name="เรื่อง" dataDxfId="666"/>
    <tableColumn id="6" xr3:uid="{00000000-0010-0000-0600-000006000000}" name="ชั้น" dataDxfId="665"/>
    <tableColumn id="7" xr3:uid="{00000000-0010-0000-0600-000007000000}" name="ประเภท" dataDxfId="664"/>
    <tableColumn id="8" xr3:uid="{00000000-0010-0000-0600-000008000000}" name="วันที่แจ้งซ่อม" dataDxfId="663"/>
    <tableColumn id="9" xr3:uid="{00000000-0010-0000-0600-000009000000}" name="ตำแหน่ง" dataDxfId="662"/>
    <tableColumn id="10" xr3:uid="{00000000-0010-0000-0600-00000A000000}" name="สถานะ" dataDxfId="661"/>
    <tableColumn id="11" xr3:uid="{00000000-0010-0000-0600-00000B000000}" name="วันที่เข้าแก้ไข" dataDxfId="660"/>
    <tableColumn id="12" xr3:uid="{00000000-0010-0000-0600-00000C000000}" name="สัปดาห์" dataDxfId="6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Table16" displayName="Table16" ref="A132:M225" totalsRowShown="0">
  <autoFilter ref="A132:M225" xr:uid="{00000000-0009-0000-0100-000010000000}"/>
  <tableColumns count="13">
    <tableColumn id="1" xr3:uid="{00000000-0010-0000-0700-000001000000}" name="ลำดับ" dataDxfId="658"/>
    <tableColumn id="2" xr3:uid="{00000000-0010-0000-0700-000002000000}" name="ชื่อผู้แจ้งซ่อม" dataDxfId="657"/>
    <tableColumn id="3" xr3:uid="{00000000-0010-0000-0700-000003000000}" name="ฝ่าย" dataDxfId="656"/>
    <tableColumn id="4" xr3:uid="{00000000-0010-0000-0700-000004000000}" name="แจ้งผ่าน" dataDxfId="655"/>
    <tableColumn id="5" xr3:uid="{00000000-0010-0000-0700-000005000000}" name="เรื่อง" dataDxfId="654"/>
    <tableColumn id="6" xr3:uid="{00000000-0010-0000-0700-000006000000}" name="ชั้น" dataDxfId="653"/>
    <tableColumn id="7" xr3:uid="{00000000-0010-0000-0700-000007000000}" name="ประเภท" dataDxfId="652"/>
    <tableColumn id="8" xr3:uid="{00000000-0010-0000-0700-000008000000}" name="วันที่แจ้งซ่อม" dataDxfId="651"/>
    <tableColumn id="9" xr3:uid="{00000000-0010-0000-0700-000009000000}" name="ตำแหน่ง" dataDxfId="650"/>
    <tableColumn id="10" xr3:uid="{00000000-0010-0000-0700-00000A000000}" name="สถานะ" dataDxfId="649"/>
    <tableColumn id="11" xr3:uid="{00000000-0010-0000-0700-00000B000000}" name="วันที่เข้าแก้ไข" dataDxfId="648"/>
    <tableColumn id="12" xr3:uid="{00000000-0010-0000-0700-00000C000000}" name="สัปดาห์" dataDxfId="647"/>
    <tableColumn id="14" xr3:uid="{00000000-0010-0000-0700-00000E000000}" name="สัปดาห์แจ้งซ่อม" dataDxfId="6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Table17" displayName="Table17" ref="A3:J156" totalsRowShown="0">
  <autoFilter ref="A3:J156" xr:uid="{00000000-0009-0000-0100-00000C000000}"/>
  <tableColumns count="10">
    <tableColumn id="1" xr3:uid="{00000000-0010-0000-0100-000001000000}" name="ลำดับ" dataDxfId="645"/>
    <tableColumn id="2" xr3:uid="{00000000-0010-0000-0100-000002000000}" name="วันที่แจ้ง" dataDxfId="644"/>
    <tableColumn id="3" xr3:uid="{00000000-0010-0000-0100-000003000000}" name="งานของเดือน" dataDxfId="643"/>
    <tableColumn id="4" xr3:uid="{00000000-0010-0000-0100-000004000000}" name="ผู้แจ้ง" dataDxfId="642"/>
    <tableColumn id="5" xr3:uid="{00000000-0010-0000-0100-000005000000}" name="ฝ่าย" dataDxfId="641"/>
    <tableColumn id="6" xr3:uid="{00000000-0010-0000-0100-000006000000}" name="ชั้น" dataDxfId="640"/>
    <tableColumn id="7" xr3:uid="{00000000-0010-0000-0100-000007000000}" name="รายละเอียด" dataDxfId="639"/>
    <tableColumn id="8" xr3:uid="{00000000-0010-0000-0100-000008000000}" name="ประเภท" dataDxfId="638"/>
    <tableColumn id="9" xr3:uid="{00000000-0010-0000-0100-000009000000}" name="โอนย้ายซ่อมในเดือน" dataDxfId="637"/>
    <tableColumn id="10" xr3:uid="{00000000-0010-0000-0100-00000A000000}" name="สถานะงาน" dataDxfId="6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2000000}" name="Table14" displayName="Table14" ref="K3:K156" totalsRowShown="0">
  <autoFilter ref="K3:K156" xr:uid="{00000000-0009-0000-0100-00000E000000}"/>
  <tableColumns count="1">
    <tableColumn id="1" xr3:uid="{00000000-0010-0000-0200-000001000000}" name="ความเร่งด่วน" dataDxfId="63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งานซ่อม" displayName="งานซ่อม" ref="A14:S190" totalsRowShown="0">
  <autoFilter ref="A14:S190" xr:uid="{00000000-0009-0000-0100-000004000000}">
    <filterColumn colId="11">
      <filters blank="1">
        <filter val="โอนย้าย"/>
        <filter val="กำลังดำเนินการ"/>
      </filters>
    </filterColumn>
  </autoFilter>
  <tableColumns count="19">
    <tableColumn id="1" xr3:uid="{00000000-0010-0000-0300-000001000000}" name="รหัสงานซ่อม" dataDxfId="634">
      <calculatedColumnFormula>"MTC-MT-2026"&amp;TEXT(ROW(A1),"0000")</calculatedColumnFormula>
    </tableColumn>
    <tableColumn id="2" xr3:uid="{00000000-0010-0000-0300-000002000000}" name="หัวข้อ" dataDxfId="633"/>
    <tableColumn id="3" xr3:uid="{00000000-0010-0000-0300-000003000000}" name="ชั้น" dataDxfId="632"/>
    <tableColumn id="14" xr3:uid="{00000000-0010-0000-0300-00000E000000}" name="งานเพิ่มเติม" dataDxfId="631"/>
    <tableColumn id="4" xr3:uid="{00000000-0010-0000-0300-000004000000}" name="ประเภท" dataDxfId="630"/>
    <tableColumn id="11" xr3:uid="{00000000-0010-0000-0300-00000B000000}" name="ตำแหน่ง" dataDxfId="629"/>
    <tableColumn id="5" xr3:uid="{00000000-0010-0000-0300-000005000000}" name="ผู้รับผิดชอบ" dataDxfId="628"/>
    <tableColumn id="7" xr3:uid="{00000000-0010-0000-0300-000007000000}" name="หมายเหตุ" dataDxfId="627"/>
    <tableColumn id="8" xr3:uid="{00000000-0010-0000-0300-000008000000}" name="ระดับ" dataDxfId="626"/>
    <tableColumn id="15" xr3:uid="{00000000-0010-0000-0300-00000F000000}" name="ความสำคัญ" dataDxfId="625"/>
    <tableColumn id="12" xr3:uid="{00000000-0010-0000-0300-00000C000000}" name="ความเร่งด่วน" dataDxfId="624"/>
    <tableColumn id="13" xr3:uid="{00000000-0010-0000-0300-00000D000000}" name="สำเร็จ" dataDxfId="623"/>
    <tableColumn id="9" xr3:uid="{00000000-0010-0000-0300-000009000000}" name="วันที่เข้าแก้ไข" dataDxfId="622"/>
    <tableColumn id="18" xr3:uid="{00000000-0010-0000-0300-000012000000}" name="จำนวนคนที่ใช้" dataDxfId="621"/>
    <tableColumn id="17" xr3:uid="{00000000-0010-0000-0300-000011000000}" name="เวลาที่ใช้ (นาที)" dataDxfId="620"/>
    <tableColumn id="16" xr3:uid="{00000000-0010-0000-0300-000010000000}" name="ค่าใช้จ่าย (บาท)" dataDxfId="619"/>
    <tableColumn id="19" xr3:uid="{00000000-0010-0000-0300-000013000000}" name="วิธีแก้ไข" dataDxfId="618"/>
    <tableColumn id="6" xr3:uid="{00000000-0010-0000-0300-000006000000}" name="เดือน" dataDxfId="617"/>
    <tableColumn id="10" xr3:uid="{00000000-0010-0000-0300-00000A000000}" name="สัปดาห์" dataDxfId="6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8" displayName="Table8" ref="K33:N66" totalsRowShown="0">
  <autoFilter ref="K33:N66" xr:uid="{00000000-0009-0000-0100-000008000000}"/>
  <tableColumns count="4">
    <tableColumn id="1" xr3:uid="{00000000-0010-0000-0800-000001000000}" name="วันที่" dataDxfId="615"/>
    <tableColumn id="2" xr3:uid="{00000000-0010-0000-0800-000002000000}" name="งานทั้งหมด" dataDxfId="614">
      <calculatedColumnFormula>SUM(M33+N33)</calculatedColumnFormula>
    </tableColumn>
    <tableColumn id="3" xr3:uid="{00000000-0010-0000-0800-000003000000}" name="งานสำเร็จ" dataDxfId="613"/>
    <tableColumn id="4" xr3:uid="{00000000-0010-0000-0800-000004000000}" name="แก้ไขงานแจ้งซ่อม" dataDxfId="6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Table3" displayName="Table3" ref="D2:D21" totalsRowShown="0">
  <autoFilter ref="D2:D21" xr:uid="{00000000-0009-0000-0100-000003000000}"/>
  <tableColumns count="1">
    <tableColumn id="1" xr3:uid="{00000000-0010-0000-0900-000001000000}" name="Comment " dataDxfId="6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Table5" displayName="Table5" ref="B2:B11" totalsRowShown="0">
  <autoFilter ref="B2:B11" xr:uid="{00000000-0009-0000-0100-000005000000}"/>
  <tableColumns count="1">
    <tableColumn id="1" xr3:uid="{00000000-0010-0000-0A00-000001000000}" name="Comment P'Fluke " dataDxfId="6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แจ้งซ่อมเพิ่มเติม" displayName="แจ้งซ่อมเพิ่มเติม" ref="A28:N49" totalsRowShown="0">
  <autoFilter ref="A28:N49" xr:uid="{00000000-0009-0000-0100-000007000000}"/>
  <tableColumns count="14">
    <tableColumn id="1" xr3:uid="{00000000-0010-0000-0B00-000001000000}" name="ลำดับ" dataDxfId="138"/>
    <tableColumn id="2" xr3:uid="{00000000-0010-0000-0B00-000002000000}" name="ชื่อผู้แจ้งซ่อม/ฝ่าย" dataDxfId="137"/>
    <tableColumn id="3" xr3:uid="{00000000-0010-0000-0B00-000003000000}" name="แจ้งผ่าน" dataDxfId="136"/>
    <tableColumn id="13" xr3:uid="{00000000-0010-0000-0B00-00000D000000}" name="ฝ่าย" dataDxfId="135"/>
    <tableColumn id="4" xr3:uid="{00000000-0010-0000-0B00-000004000000}" name="เรื่อง" dataDxfId="134"/>
    <tableColumn id="5" xr3:uid="{00000000-0010-0000-0B00-000005000000}" name="ชั้น" dataDxfId="133"/>
    <tableColumn id="6" xr3:uid="{00000000-0010-0000-0B00-000006000000}" name="วันที่แจ้งซ่อม" dataDxfId="132"/>
    <tableColumn id="7" xr3:uid="{00000000-0010-0000-0B00-000007000000}" name="ตำแหน่ง" dataDxfId="131"/>
    <tableColumn id="8" xr3:uid="{00000000-0010-0000-0B00-000008000000}" name="ความสำคัญ" dataDxfId="130"/>
    <tableColumn id="9" xr3:uid="{00000000-0010-0000-0B00-000009000000}" name="ความเร่งด่วน" dataDxfId="129"/>
    <tableColumn id="10" xr3:uid="{00000000-0010-0000-0B00-00000A000000}" name="สถานะ" dataDxfId="128"/>
    <tableColumn id="11" xr3:uid="{00000000-0010-0000-0B00-00000B000000}" name="วันที่เข้าแก้ไข" dataDxfId="127"/>
    <tableColumn id="12" xr3:uid="{00000000-0010-0000-0B00-00000C000000}" name="เดือน" dataDxfId="126"/>
    <tableColumn id="14" xr3:uid="{00000000-0010-0000-0B00-00000E000000}" name="สัปดาห์" dataDxfId="1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C000000}" name="Table10" displayName="Table10" ref="A3:N25" totalsRowShown="0">
  <autoFilter ref="A3:N25" xr:uid="{00000000-0009-0000-0100-00000A000000}"/>
  <tableColumns count="14">
    <tableColumn id="1" xr3:uid="{00000000-0010-0000-0C00-000001000000}" name="ลำดับ" dataDxfId="124"/>
    <tableColumn id="2" xr3:uid="{00000000-0010-0000-0C00-000002000000}" name="ชื่อผู้แจ้งซ่อม/ฝ่าย" dataDxfId="123"/>
    <tableColumn id="3" xr3:uid="{00000000-0010-0000-0C00-000003000000}" name="แจ้งผ่าน" dataDxfId="122"/>
    <tableColumn id="4" xr3:uid="{00000000-0010-0000-0C00-000004000000}" name="ฝ่าย" dataDxfId="121"/>
    <tableColumn id="5" xr3:uid="{00000000-0010-0000-0C00-000005000000}" name="เรื่อง" dataDxfId="120"/>
    <tableColumn id="6" xr3:uid="{00000000-0010-0000-0C00-000006000000}" name="ชั้น" dataDxfId="119"/>
    <tableColumn id="7" xr3:uid="{00000000-0010-0000-0C00-000007000000}" name="วันที่แจ้งซ่อม" dataDxfId="118"/>
    <tableColumn id="8" xr3:uid="{00000000-0010-0000-0C00-000008000000}" name="ตำแหน่ง" dataDxfId="117"/>
    <tableColumn id="9" xr3:uid="{00000000-0010-0000-0C00-000009000000}" name="ความสำคัญ" dataDxfId="116"/>
    <tableColumn id="10" xr3:uid="{00000000-0010-0000-0C00-00000A000000}" name="ความเร่งด่วน" dataDxfId="115"/>
    <tableColumn id="11" xr3:uid="{00000000-0010-0000-0C00-00000B000000}" name="สถานะ" dataDxfId="114"/>
    <tableColumn id="12" xr3:uid="{00000000-0010-0000-0C00-00000C000000}" name="วันที่เข้าแก้ไข" dataDxfId="113"/>
    <tableColumn id="13" xr3:uid="{00000000-0010-0000-0C00-00000D000000}" name="เดือน" dataDxfId="112"/>
    <tableColumn id="14" xr3:uid="{00000000-0010-0000-0C00-00000E000000}" name="สัปดาห์" dataDxfId="1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able6" displayName="Table6" ref="B4:F8">
  <autoFilter ref="B4:F8" xr:uid="{00000000-0009-0000-0100-000006000000}"/>
  <tableColumns count="5">
    <tableColumn id="1" xr3:uid="{00000000-0010-0000-0D00-000001000000}" name="ลำดับ" totalsRowLabel="ผลรวม" dataDxfId="110"/>
    <tableColumn id="2" xr3:uid="{00000000-0010-0000-0D00-000002000000}" name="ชั้น" dataDxfId="109"/>
    <tableColumn id="3" xr3:uid="{00000000-0010-0000-0D00-000003000000}" name="ตำแหน่ง" dataDxfId="108"/>
    <tableColumn id="4" xr3:uid="{00000000-0010-0000-0D00-000004000000}" name="รูปภาพ" totalsRowFunction="count" dataDxfId="107"/>
    <tableColumn id="10" xr3:uid="{00000000-0010-0000-0D00-00000A000000}" name="รายละเอียด" dataDxfId="106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able1" displayName="Table1" ref="B23:G37" totalsRowShown="0">
  <autoFilter ref="B23:G37" xr:uid="{00000000-0009-0000-0100-000001000000}"/>
  <tableColumns count="6">
    <tableColumn id="1" xr3:uid="{00000000-0010-0000-0E00-000001000000}" name="ลำดับ" dataDxfId="105"/>
    <tableColumn id="2" xr3:uid="{00000000-0010-0000-0E00-000002000000}" name="ชื่ออุปกรณ์" dataDxfId="104"/>
    <tableColumn id="3" xr3:uid="{00000000-0010-0000-0E00-000003000000}" name="รายการเบิก" dataDxfId="103"/>
    <tableColumn id="4" xr3:uid="{00000000-0010-0000-0E00-000004000000}" name="รายการรับ" dataDxfId="102"/>
    <tableColumn id="5" xr3:uid="{00000000-0010-0000-0E00-000005000000}" name="Stock" dataDxfId="101"/>
    <tableColumn id="6" xr3:uid="{00000000-0010-0000-0E00-000006000000}" name="คงเหลือ" dataDxfId="100">
      <calculatedColumnFormula>Table1[[#This Row],[รายการรับ]]+Table1[[#This Row],[Stock]]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microsoft.com/office/2007/relationships/slicer" Target="../slicers/slicer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microsoft.com/office/2007/relationships/slicer" Target="../slicers/slicer3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57D3FF"/>
  </sheetPr>
  <dimension ref="D1:R82"/>
  <sheetViews>
    <sheetView topLeftCell="A5" zoomScale="115" zoomScaleNormal="115" workbookViewId="0">
      <selection activeCell="G48" sqref="G48"/>
    </sheetView>
  </sheetViews>
  <sheetFormatPr defaultColWidth="9" defaultRowHeight="14.4"/>
  <cols>
    <col min="1" max="1" width="16.44140625" customWidth="1"/>
    <col min="2" max="2" width="12.109375" customWidth="1"/>
    <col min="4" max="4" width="15.33203125" customWidth="1"/>
    <col min="5" max="5" width="17.6640625" customWidth="1"/>
    <col min="6" max="7" width="15.6640625" customWidth="1"/>
    <col min="8" max="8" width="17.6640625" customWidth="1"/>
    <col min="9" max="10" width="15.6640625" customWidth="1"/>
    <col min="11" max="11" width="12.6640625" style="25" customWidth="1"/>
    <col min="12" max="12" width="13" customWidth="1"/>
    <col min="13" max="13" width="15.33203125" customWidth="1"/>
    <col min="14" max="14" width="26" customWidth="1"/>
    <col min="15" max="15" width="16.109375" customWidth="1"/>
    <col min="16" max="16" width="15.44140625" customWidth="1"/>
    <col min="17" max="17" width="16.5546875" customWidth="1"/>
    <col min="18" max="18" width="16.88671875" customWidth="1"/>
    <col min="21" max="21" width="12.44140625" customWidth="1"/>
  </cols>
  <sheetData>
    <row r="1" spans="4:18" s="485" customFormat="1" ht="36" customHeight="1"/>
    <row r="3" spans="4:18" ht="28.2" customHeight="1" thickBot="1"/>
    <row r="4" spans="4:18" ht="58.8" customHeight="1" thickBot="1">
      <c r="D4" s="486" t="s">
        <v>802</v>
      </c>
      <c r="E4" s="487"/>
      <c r="F4" s="487"/>
      <c r="G4" s="488"/>
      <c r="H4" s="76"/>
      <c r="I4" s="76"/>
      <c r="J4" s="76"/>
      <c r="K4" s="76"/>
    </row>
    <row r="5" spans="4:18" ht="36" customHeight="1"/>
    <row r="6" spans="4:18" s="25" customFormat="1" ht="28.8" customHeight="1">
      <c r="D6" s="489" t="s">
        <v>42</v>
      </c>
      <c r="E6" s="490" t="s">
        <v>803</v>
      </c>
      <c r="F6" s="490"/>
      <c r="G6" s="490"/>
      <c r="H6" s="76"/>
      <c r="I6" s="76"/>
      <c r="J6" s="76"/>
      <c r="K6" s="76"/>
      <c r="M6" s="480"/>
      <c r="N6" s="483"/>
      <c r="O6" s="483"/>
      <c r="P6" s="483"/>
      <c r="Q6" s="483"/>
      <c r="R6" s="483"/>
    </row>
    <row r="7" spans="4:18" s="25" customFormat="1" ht="28.8" customHeight="1">
      <c r="D7" s="489"/>
      <c r="E7" s="484" t="s">
        <v>37</v>
      </c>
      <c r="F7" s="484"/>
      <c r="G7" s="484"/>
      <c r="H7" s="270"/>
      <c r="I7" s="270"/>
      <c r="J7" s="270"/>
      <c r="K7" s="270"/>
      <c r="M7" s="480"/>
      <c r="N7" s="480"/>
      <c r="O7" s="483"/>
      <c r="P7" s="480"/>
      <c r="Q7" s="483"/>
      <c r="R7" s="483"/>
    </row>
    <row r="8" spans="4:18" s="25" customFormat="1" ht="26.4" customHeight="1">
      <c r="D8" s="489"/>
      <c r="E8" s="427" t="s">
        <v>806</v>
      </c>
      <c r="F8" s="427" t="s">
        <v>38</v>
      </c>
      <c r="G8" s="427" t="s">
        <v>39</v>
      </c>
      <c r="H8" s="107"/>
      <c r="I8" s="107" t="s">
        <v>804</v>
      </c>
      <c r="J8" s="107"/>
      <c r="M8" s="480"/>
      <c r="N8" s="480"/>
      <c r="O8" s="483"/>
      <c r="P8" s="480"/>
      <c r="Q8" s="483"/>
      <c r="R8" s="483"/>
    </row>
    <row r="9" spans="4:18" s="25" customFormat="1" ht="15" hidden="1" customHeight="1">
      <c r="D9" s="495" t="s">
        <v>805</v>
      </c>
      <c r="E9" s="496"/>
      <c r="F9" s="497"/>
      <c r="G9" s="428"/>
      <c r="H9" s="107"/>
      <c r="I9" s="107"/>
      <c r="J9" s="107"/>
      <c r="M9" s="107"/>
      <c r="N9" s="107"/>
      <c r="P9" s="107"/>
    </row>
    <row r="10" spans="4:18" s="25" customFormat="1" ht="20.399999999999999" hidden="1" customHeight="1">
      <c r="D10" s="491" t="s">
        <v>7</v>
      </c>
      <c r="E10" s="492"/>
      <c r="F10" s="492"/>
      <c r="G10" s="493"/>
      <c r="H10" s="480" t="s">
        <v>804</v>
      </c>
      <c r="I10" s="107"/>
      <c r="M10" s="107"/>
      <c r="N10" s="107"/>
      <c r="O10" s="107"/>
      <c r="P10" s="107"/>
      <c r="Q10" s="107"/>
    </row>
    <row r="11" spans="4:18" s="25" customFormat="1" ht="12" hidden="1" customHeight="1">
      <c r="D11" s="429">
        <v>1</v>
      </c>
      <c r="E11" s="430"/>
      <c r="F11" s="431"/>
      <c r="G11" s="431"/>
      <c r="H11" s="480"/>
      <c r="I11" s="107"/>
      <c r="M11" s="107"/>
      <c r="N11" s="107"/>
      <c r="O11" s="107"/>
      <c r="P11" s="107"/>
      <c r="Q11" s="107"/>
    </row>
    <row r="12" spans="4:18" s="25" customFormat="1" ht="12" hidden="1" customHeight="1">
      <c r="D12" s="429">
        <v>2</v>
      </c>
      <c r="E12" s="430"/>
      <c r="F12" s="431"/>
      <c r="G12" s="431"/>
      <c r="H12" s="480"/>
      <c r="I12" s="107"/>
      <c r="M12" s="107"/>
      <c r="N12" s="107"/>
      <c r="O12" s="107"/>
      <c r="P12" s="107"/>
      <c r="Q12" s="107"/>
    </row>
    <row r="13" spans="4:18" s="25" customFormat="1" ht="12" hidden="1" customHeight="1">
      <c r="D13" s="429">
        <v>3</v>
      </c>
      <c r="E13" s="430"/>
      <c r="F13" s="431"/>
      <c r="G13" s="431"/>
      <c r="H13" s="480"/>
      <c r="I13" s="107"/>
      <c r="M13" s="107"/>
      <c r="N13" s="107"/>
      <c r="O13" s="107"/>
      <c r="P13" s="107"/>
      <c r="Q13" s="107"/>
    </row>
    <row r="14" spans="4:18" s="25" customFormat="1" ht="12" hidden="1" customHeight="1">
      <c r="D14" s="429">
        <v>4</v>
      </c>
      <c r="E14" s="430"/>
      <c r="F14" s="431"/>
      <c r="G14" s="431"/>
      <c r="H14" s="480"/>
      <c r="I14" s="107"/>
      <c r="M14" s="107"/>
      <c r="N14" s="107"/>
      <c r="O14" s="107"/>
      <c r="P14" s="107"/>
      <c r="Q14" s="107"/>
    </row>
    <row r="15" spans="4:18" s="25" customFormat="1" ht="15" hidden="1" customHeight="1">
      <c r="D15" s="495" t="s">
        <v>805</v>
      </c>
      <c r="E15" s="496"/>
      <c r="F15" s="497"/>
      <c r="G15" s="428"/>
      <c r="H15" s="107"/>
      <c r="I15" s="107"/>
      <c r="M15" s="107"/>
      <c r="N15" s="107"/>
      <c r="O15" s="107"/>
      <c r="P15" s="107"/>
      <c r="Q15" s="107"/>
    </row>
    <row r="16" spans="4:18" s="25" customFormat="1" ht="20.399999999999999" hidden="1" customHeight="1">
      <c r="D16" s="491" t="s">
        <v>8</v>
      </c>
      <c r="E16" s="492"/>
      <c r="F16" s="492"/>
      <c r="G16" s="493"/>
      <c r="H16" s="480"/>
      <c r="I16" s="107"/>
      <c r="M16" s="107"/>
      <c r="N16" s="107"/>
      <c r="O16" s="107"/>
      <c r="P16" s="107"/>
      <c r="Q16" s="107"/>
    </row>
    <row r="17" spans="4:17" s="25" customFormat="1" ht="12" hidden="1" customHeight="1">
      <c r="D17" s="429">
        <v>1</v>
      </c>
      <c r="E17" s="431"/>
      <c r="F17" s="431"/>
      <c r="G17" s="431"/>
      <c r="H17" s="480"/>
      <c r="I17" s="107"/>
      <c r="M17" s="107"/>
      <c r="N17" s="107"/>
      <c r="O17" s="107"/>
      <c r="P17" s="107"/>
      <c r="Q17" s="107"/>
    </row>
    <row r="18" spans="4:17" s="25" customFormat="1" ht="12" hidden="1" customHeight="1">
      <c r="D18" s="429">
        <v>2</v>
      </c>
      <c r="E18" s="431"/>
      <c r="F18" s="431"/>
      <c r="G18" s="431"/>
      <c r="H18" s="480"/>
      <c r="I18" s="107"/>
      <c r="M18" s="107"/>
      <c r="N18" s="107"/>
      <c r="O18" s="107"/>
      <c r="P18" s="107"/>
      <c r="Q18" s="107"/>
    </row>
    <row r="19" spans="4:17" s="25" customFormat="1" ht="12" hidden="1" customHeight="1">
      <c r="D19" s="429">
        <v>3</v>
      </c>
      <c r="E19" s="431"/>
      <c r="F19" s="431"/>
      <c r="G19" s="431"/>
      <c r="H19" s="480"/>
      <c r="I19" s="107"/>
      <c r="M19" s="107"/>
      <c r="N19" s="107"/>
      <c r="O19" s="107"/>
      <c r="P19" s="107"/>
      <c r="Q19" s="107"/>
    </row>
    <row r="20" spans="4:17" s="25" customFormat="1" ht="12" hidden="1" customHeight="1">
      <c r="D20" s="429">
        <v>4</v>
      </c>
      <c r="E20" s="431"/>
      <c r="F20" s="431"/>
      <c r="G20" s="431"/>
      <c r="H20" s="480"/>
      <c r="I20" s="107"/>
      <c r="M20" s="107"/>
      <c r="N20" s="107"/>
      <c r="O20" s="107"/>
      <c r="P20" s="107"/>
      <c r="Q20" s="107"/>
    </row>
    <row r="21" spans="4:17" s="25" customFormat="1" ht="12" hidden="1" customHeight="1">
      <c r="D21" s="495" t="s">
        <v>805</v>
      </c>
      <c r="E21" s="496"/>
      <c r="F21" s="497"/>
      <c r="G21" s="428"/>
      <c r="H21" s="107"/>
      <c r="I21" s="107"/>
      <c r="M21" s="107"/>
      <c r="N21" s="107"/>
      <c r="O21" s="107"/>
      <c r="P21" s="107"/>
      <c r="Q21" s="107"/>
    </row>
    <row r="22" spans="4:17" s="25" customFormat="1" ht="20.399999999999999" hidden="1" customHeight="1">
      <c r="D22" s="491" t="s">
        <v>10</v>
      </c>
      <c r="E22" s="492"/>
      <c r="F22" s="492"/>
      <c r="G22" s="493"/>
      <c r="H22" s="480"/>
      <c r="I22" s="107"/>
      <c r="M22" s="107"/>
      <c r="N22" s="107"/>
      <c r="O22" s="107"/>
      <c r="P22" s="107"/>
      <c r="Q22" s="107"/>
    </row>
    <row r="23" spans="4:17" s="25" customFormat="1" ht="12" hidden="1" customHeight="1">
      <c r="D23" s="429">
        <v>1</v>
      </c>
      <c r="E23" s="430"/>
      <c r="F23" s="431"/>
      <c r="G23" s="431"/>
      <c r="H23" s="480"/>
      <c r="I23" s="107"/>
      <c r="M23" s="107"/>
      <c r="N23" s="107"/>
      <c r="O23" s="107"/>
      <c r="P23" s="107"/>
      <c r="Q23" s="107"/>
    </row>
    <row r="24" spans="4:17" s="25" customFormat="1" ht="12" hidden="1" customHeight="1">
      <c r="D24" s="429">
        <v>2</v>
      </c>
      <c r="E24" s="430"/>
      <c r="F24" s="431"/>
      <c r="G24" s="431"/>
      <c r="H24" s="480"/>
      <c r="I24" s="107"/>
      <c r="M24" s="107"/>
      <c r="N24" s="107"/>
      <c r="O24" s="107"/>
      <c r="P24" s="107"/>
      <c r="Q24" s="107"/>
    </row>
    <row r="25" spans="4:17" s="25" customFormat="1" ht="12" hidden="1" customHeight="1">
      <c r="D25" s="429">
        <v>3</v>
      </c>
      <c r="E25" s="430"/>
      <c r="F25" s="431"/>
      <c r="G25" s="431"/>
      <c r="H25" s="480"/>
      <c r="I25" s="107"/>
      <c r="M25" s="107"/>
      <c r="N25" s="107"/>
      <c r="O25" s="107"/>
      <c r="P25" s="107"/>
      <c r="Q25" s="107"/>
    </row>
    <row r="26" spans="4:17" s="25" customFormat="1" ht="12" hidden="1" customHeight="1">
      <c r="D26" s="429">
        <v>4</v>
      </c>
      <c r="E26" s="430"/>
      <c r="F26" s="431"/>
      <c r="G26" s="431"/>
      <c r="H26" s="480"/>
      <c r="I26" s="107"/>
      <c r="M26" s="107"/>
      <c r="N26" s="107"/>
      <c r="O26" s="107"/>
      <c r="P26" s="107"/>
      <c r="Q26" s="107"/>
    </row>
    <row r="27" spans="4:17" s="25" customFormat="1" ht="15" hidden="1" customHeight="1">
      <c r="D27" s="495" t="s">
        <v>805</v>
      </c>
      <c r="E27" s="496"/>
      <c r="F27" s="497"/>
      <c r="G27" s="428"/>
      <c r="H27" s="107"/>
      <c r="I27" s="107"/>
      <c r="M27" s="107"/>
      <c r="N27" s="107"/>
      <c r="O27" s="107"/>
      <c r="P27" s="107"/>
      <c r="Q27" s="107"/>
    </row>
    <row r="28" spans="4:17" s="25" customFormat="1" ht="20.399999999999999" hidden="1" customHeight="1">
      <c r="D28" s="491" t="s">
        <v>12</v>
      </c>
      <c r="E28" s="492"/>
      <c r="F28" s="492"/>
      <c r="G28" s="493"/>
      <c r="H28" s="480"/>
      <c r="I28" s="107"/>
      <c r="M28" s="107"/>
      <c r="N28" s="107"/>
      <c r="O28" s="107"/>
      <c r="P28" s="107"/>
      <c r="Q28" s="107"/>
    </row>
    <row r="29" spans="4:17" s="25" customFormat="1" ht="12" hidden="1" customHeight="1">
      <c r="D29" s="429">
        <v>1</v>
      </c>
      <c r="E29" s="430"/>
      <c r="F29" s="431"/>
      <c r="G29" s="431"/>
      <c r="H29" s="480"/>
      <c r="I29" s="107"/>
      <c r="M29" s="107"/>
      <c r="N29" s="107"/>
      <c r="O29" s="107"/>
      <c r="P29" s="107"/>
      <c r="Q29" s="107"/>
    </row>
    <row r="30" spans="4:17" s="25" customFormat="1" ht="12" hidden="1" customHeight="1">
      <c r="D30" s="429">
        <v>2</v>
      </c>
      <c r="E30" s="430"/>
      <c r="F30" s="431"/>
      <c r="G30" s="431"/>
      <c r="H30" s="480"/>
      <c r="I30" s="107"/>
      <c r="M30" s="107"/>
      <c r="N30" s="107"/>
      <c r="O30" s="107"/>
      <c r="P30" s="107"/>
      <c r="Q30" s="107"/>
    </row>
    <row r="31" spans="4:17" s="25" customFormat="1" ht="12" hidden="1" customHeight="1">
      <c r="D31" s="429">
        <v>3</v>
      </c>
      <c r="E31" s="430"/>
      <c r="F31" s="431"/>
      <c r="G31" s="431"/>
      <c r="H31" s="480"/>
      <c r="I31" s="107"/>
      <c r="M31" s="107"/>
      <c r="N31" s="107"/>
      <c r="O31" s="107"/>
      <c r="P31" s="107"/>
      <c r="Q31" s="107"/>
    </row>
    <row r="32" spans="4:17" s="25" customFormat="1" ht="12" hidden="1" customHeight="1">
      <c r="D32" s="429">
        <v>4</v>
      </c>
      <c r="E32" s="430"/>
      <c r="F32" s="431"/>
      <c r="G32" s="431"/>
      <c r="H32" s="480"/>
      <c r="I32" s="107"/>
      <c r="M32" s="107"/>
      <c r="N32" s="107"/>
      <c r="O32" s="107"/>
      <c r="P32" s="107"/>
      <c r="Q32" s="107"/>
    </row>
    <row r="33" spans="4:17" s="25" customFormat="1" ht="15" hidden="1" customHeight="1">
      <c r="D33" s="495" t="s">
        <v>805</v>
      </c>
      <c r="E33" s="496"/>
      <c r="F33" s="497"/>
      <c r="G33" s="428"/>
      <c r="H33" s="107"/>
      <c r="I33" s="107"/>
      <c r="M33" s="107"/>
      <c r="N33" s="107"/>
      <c r="O33" s="107"/>
      <c r="P33" s="107"/>
      <c r="Q33" s="107"/>
    </row>
    <row r="34" spans="4:17" s="409" customFormat="1" ht="20.399999999999999" hidden="1" customHeight="1">
      <c r="D34" s="491" t="s">
        <v>13</v>
      </c>
      <c r="E34" s="492"/>
      <c r="F34" s="492"/>
      <c r="G34" s="493"/>
      <c r="H34" s="494"/>
      <c r="I34" s="424"/>
      <c r="J34" s="426"/>
      <c r="M34" s="424"/>
      <c r="N34" s="424"/>
      <c r="O34" s="424"/>
      <c r="P34" s="424"/>
      <c r="Q34" s="424"/>
    </row>
    <row r="35" spans="4:17" s="25" customFormat="1" ht="12" hidden="1" customHeight="1">
      <c r="D35" s="429">
        <v>1</v>
      </c>
      <c r="E35" s="431"/>
      <c r="F35" s="431"/>
      <c r="G35" s="431"/>
      <c r="H35" s="494"/>
      <c r="I35" s="107"/>
      <c r="M35" s="107"/>
      <c r="N35" s="107"/>
      <c r="O35" s="107"/>
      <c r="P35" s="107"/>
      <c r="Q35" s="107"/>
    </row>
    <row r="36" spans="4:17" s="25" customFormat="1" ht="12" hidden="1" customHeight="1">
      <c r="D36" s="429">
        <v>2</v>
      </c>
      <c r="E36" s="431"/>
      <c r="F36" s="431"/>
      <c r="G36" s="431"/>
      <c r="H36" s="494"/>
      <c r="I36" s="107"/>
      <c r="M36" s="107"/>
      <c r="N36" s="107"/>
      <c r="O36" s="107"/>
      <c r="P36" s="107"/>
      <c r="Q36" s="107"/>
    </row>
    <row r="37" spans="4:17" s="25" customFormat="1" ht="12" hidden="1" customHeight="1">
      <c r="D37" s="429">
        <v>3</v>
      </c>
      <c r="E37" s="431"/>
      <c r="F37" s="431"/>
      <c r="G37" s="431"/>
      <c r="H37" s="494"/>
      <c r="I37" s="107"/>
      <c r="M37" s="107"/>
      <c r="N37" s="107"/>
      <c r="O37" s="107"/>
      <c r="P37" s="107"/>
      <c r="Q37" s="107"/>
    </row>
    <row r="38" spans="4:17" s="25" customFormat="1" ht="12" hidden="1" customHeight="1">
      <c r="D38" s="429">
        <v>4</v>
      </c>
      <c r="E38" s="431"/>
      <c r="F38" s="431"/>
      <c r="G38" s="431"/>
      <c r="H38" s="494"/>
      <c r="I38" s="107"/>
      <c r="M38" s="107"/>
      <c r="N38" s="107"/>
      <c r="O38" s="107"/>
      <c r="P38" s="107"/>
      <c r="Q38" s="107"/>
    </row>
    <row r="39" spans="4:17" s="25" customFormat="1" ht="15" customHeight="1">
      <c r="D39" s="495" t="s">
        <v>805</v>
      </c>
      <c r="E39" s="496"/>
      <c r="F39" s="497"/>
      <c r="G39" s="428">
        <f>80+50-'💻Update งานซ่อม (ทดลอง)'!B11-'💻Update งานซ่อม (ทดลอง)'!C11</f>
        <v>51</v>
      </c>
      <c r="H39" s="424"/>
      <c r="I39" s="107"/>
      <c r="M39" s="107"/>
      <c r="N39" s="107"/>
      <c r="O39" s="107"/>
      <c r="P39" s="107"/>
      <c r="Q39" s="107"/>
    </row>
    <row r="40" spans="4:17" s="25" customFormat="1" ht="20.399999999999999" customHeight="1">
      <c r="D40" s="491" t="s">
        <v>14</v>
      </c>
      <c r="E40" s="492"/>
      <c r="F40" s="492"/>
      <c r="G40" s="493"/>
      <c r="H40" s="480"/>
      <c r="I40" s="426"/>
      <c r="M40" s="107"/>
      <c r="N40" s="107"/>
      <c r="O40" s="107"/>
      <c r="P40" s="107"/>
      <c r="Q40" s="107"/>
    </row>
    <row r="41" spans="4:17" s="25" customFormat="1" ht="12" customHeight="1">
      <c r="D41" s="429">
        <v>1</v>
      </c>
      <c r="E41" s="432">
        <v>7</v>
      </c>
      <c r="F41" s="431">
        <v>18</v>
      </c>
      <c r="G41" s="431">
        <f>G39-F41+E41</f>
        <v>40</v>
      </c>
      <c r="H41" s="480"/>
      <c r="I41" s="107"/>
      <c r="M41" s="107"/>
      <c r="N41" s="107"/>
      <c r="O41" s="107"/>
      <c r="P41" s="107"/>
      <c r="Q41" s="107"/>
    </row>
    <row r="42" spans="4:17" s="25" customFormat="1" ht="12" customHeight="1">
      <c r="D42" s="429">
        <v>2</v>
      </c>
      <c r="E42" s="432">
        <v>14</v>
      </c>
      <c r="F42" s="431">
        <v>9</v>
      </c>
      <c r="G42" s="431">
        <f>G41-F42+E42</f>
        <v>45</v>
      </c>
      <c r="H42" s="480"/>
      <c r="I42" s="107"/>
      <c r="M42" s="107"/>
      <c r="N42" s="107"/>
      <c r="O42" s="107"/>
      <c r="P42" s="107"/>
      <c r="Q42" s="107"/>
    </row>
    <row r="43" spans="4:17" s="25" customFormat="1" ht="12" customHeight="1">
      <c r="D43" s="429">
        <v>3</v>
      </c>
      <c r="E43" s="432">
        <v>6</v>
      </c>
      <c r="F43" s="431">
        <v>13</v>
      </c>
      <c r="G43" s="431">
        <f t="shared" ref="G43:G44" si="0">G42-F43+E43</f>
        <v>38</v>
      </c>
      <c r="H43" s="480"/>
      <c r="I43" s="107"/>
      <c r="M43" s="107"/>
      <c r="N43" s="107"/>
      <c r="O43" s="107"/>
      <c r="P43" s="107"/>
      <c r="Q43" s="107"/>
    </row>
    <row r="44" spans="4:17" s="25" customFormat="1" ht="12" customHeight="1">
      <c r="D44" s="429">
        <v>4</v>
      </c>
      <c r="E44" s="432">
        <v>21</v>
      </c>
      <c r="F44" s="431">
        <v>30</v>
      </c>
      <c r="G44" s="431">
        <f t="shared" si="0"/>
        <v>29</v>
      </c>
      <c r="H44" s="480"/>
      <c r="I44" s="107"/>
      <c r="M44" s="107"/>
      <c r="N44" s="107"/>
      <c r="O44" s="107"/>
      <c r="P44" s="107"/>
      <c r="Q44" s="107"/>
    </row>
    <row r="45" spans="4:17" s="25" customFormat="1" ht="15" customHeight="1">
      <c r="D45" s="435" t="s">
        <v>805</v>
      </c>
      <c r="E45" s="436">
        <f>SUM(E41:E44)</f>
        <v>48</v>
      </c>
      <c r="F45" s="437">
        <f>SUM(F41:F44)</f>
        <v>70</v>
      </c>
      <c r="G45" s="428">
        <f>G44</f>
        <v>29</v>
      </c>
      <c r="H45" s="107"/>
      <c r="I45" s="107"/>
      <c r="M45" s="107"/>
      <c r="N45" s="107"/>
      <c r="O45" s="107"/>
      <c r="P45" s="107"/>
      <c r="Q45" s="107"/>
    </row>
    <row r="46" spans="4:17" s="25" customFormat="1" ht="20.399999999999999" customHeight="1">
      <c r="D46" s="491" t="s">
        <v>15</v>
      </c>
      <c r="E46" s="492"/>
      <c r="F46" s="492"/>
      <c r="G46" s="493"/>
      <c r="H46" s="107"/>
      <c r="I46" s="107"/>
      <c r="M46" s="107"/>
      <c r="N46" s="107"/>
      <c r="O46" s="107"/>
      <c r="P46" s="107"/>
      <c r="Q46" s="107"/>
    </row>
    <row r="47" spans="4:17" s="25" customFormat="1" ht="12" customHeight="1">
      <c r="D47" s="429">
        <v>1</v>
      </c>
      <c r="E47" s="432">
        <v>25</v>
      </c>
      <c r="F47" s="431">
        <v>8</v>
      </c>
      <c r="G47" s="431">
        <f>G45-F47+E47</f>
        <v>46</v>
      </c>
      <c r="H47" s="107"/>
      <c r="I47" s="107"/>
      <c r="M47" s="107"/>
      <c r="N47" s="107"/>
      <c r="O47" s="107"/>
      <c r="P47" s="107"/>
      <c r="Q47" s="107"/>
    </row>
    <row r="48" spans="4:17" s="25" customFormat="1" ht="12" customHeight="1">
      <c r="D48" s="429">
        <v>2</v>
      </c>
      <c r="E48" s="432">
        <v>12</v>
      </c>
      <c r="F48" s="431">
        <v>2</v>
      </c>
      <c r="G48" s="431">
        <f>G47-F48+E48</f>
        <v>56</v>
      </c>
      <c r="H48" s="107"/>
      <c r="I48" s="107"/>
      <c r="M48" s="107"/>
      <c r="N48" s="107"/>
      <c r="O48" s="107"/>
      <c r="P48" s="107"/>
      <c r="Q48" s="107"/>
    </row>
    <row r="49" spans="4:17" s="25" customFormat="1" ht="12" customHeight="1">
      <c r="D49" s="429">
        <v>3</v>
      </c>
      <c r="E49" s="431"/>
      <c r="F49" s="431"/>
      <c r="G49" s="431"/>
      <c r="H49" s="107"/>
      <c r="I49" s="107"/>
      <c r="M49" s="107"/>
      <c r="N49" s="107"/>
      <c r="O49" s="107"/>
      <c r="P49" s="107"/>
      <c r="Q49" s="107"/>
    </row>
    <row r="50" spans="4:17" s="25" customFormat="1" ht="12" customHeight="1">
      <c r="D50" s="429">
        <v>4</v>
      </c>
      <c r="E50" s="431"/>
      <c r="F50" s="431"/>
      <c r="G50" s="431"/>
      <c r="H50" s="107"/>
      <c r="I50" s="107"/>
      <c r="M50" s="107"/>
      <c r="N50" s="107"/>
      <c r="O50" s="107"/>
      <c r="P50" s="107"/>
      <c r="Q50" s="107"/>
    </row>
    <row r="51" spans="4:17" s="25" customFormat="1" ht="15" customHeight="1">
      <c r="D51" s="435" t="s">
        <v>805</v>
      </c>
      <c r="E51" s="436">
        <f>SUM(E47:E50)</f>
        <v>37</v>
      </c>
      <c r="F51" s="437">
        <f>SUM(F47:F50)</f>
        <v>10</v>
      </c>
      <c r="G51" s="428">
        <v>56</v>
      </c>
      <c r="H51" s="107"/>
      <c r="I51" s="107"/>
      <c r="M51" s="107"/>
      <c r="N51" s="107"/>
      <c r="O51" s="107"/>
      <c r="P51" s="107"/>
      <c r="Q51" s="107"/>
    </row>
    <row r="52" spans="4:17" s="25" customFormat="1" ht="20.399999999999999" customHeight="1">
      <c r="D52" s="491" t="s">
        <v>16</v>
      </c>
      <c r="E52" s="492"/>
      <c r="F52" s="492"/>
      <c r="G52" s="493"/>
      <c r="H52" s="425"/>
      <c r="I52" s="107"/>
      <c r="M52" s="107"/>
      <c r="N52" s="107"/>
      <c r="O52" s="107"/>
      <c r="P52" s="425"/>
      <c r="Q52" s="107"/>
    </row>
    <row r="53" spans="4:17" s="25" customFormat="1" ht="12" customHeight="1">
      <c r="D53" s="429">
        <v>1</v>
      </c>
      <c r="E53" s="431"/>
      <c r="F53" s="431"/>
      <c r="G53" s="432"/>
      <c r="H53" s="425"/>
      <c r="I53" s="107"/>
      <c r="M53" s="107"/>
      <c r="N53" s="107"/>
      <c r="O53" s="107"/>
      <c r="P53" s="425"/>
      <c r="Q53" s="107"/>
    </row>
    <row r="54" spans="4:17" s="25" customFormat="1" ht="12" customHeight="1">
      <c r="D54" s="429">
        <v>2</v>
      </c>
      <c r="E54" s="431"/>
      <c r="F54" s="431"/>
      <c r="G54" s="432"/>
      <c r="H54" s="425"/>
      <c r="I54" s="107"/>
      <c r="M54" s="107"/>
      <c r="N54" s="107"/>
      <c r="O54" s="107"/>
      <c r="P54" s="425"/>
      <c r="Q54" s="107"/>
    </row>
    <row r="55" spans="4:17" s="25" customFormat="1" ht="12" customHeight="1">
      <c r="D55" s="429">
        <v>3</v>
      </c>
      <c r="E55" s="431"/>
      <c r="F55" s="431"/>
      <c r="G55" s="432"/>
      <c r="H55" s="425"/>
      <c r="I55" s="107"/>
      <c r="M55" s="107"/>
      <c r="N55" s="107"/>
      <c r="O55" s="107"/>
      <c r="P55" s="425"/>
      <c r="Q55" s="107"/>
    </row>
    <row r="56" spans="4:17" s="25" customFormat="1" ht="12" customHeight="1">
      <c r="D56" s="429">
        <v>4</v>
      </c>
      <c r="E56" s="431"/>
      <c r="F56" s="431"/>
      <c r="G56" s="432"/>
      <c r="H56" s="425"/>
      <c r="I56" s="107"/>
      <c r="M56" s="107"/>
      <c r="N56" s="107"/>
      <c r="O56" s="107"/>
      <c r="P56" s="425"/>
      <c r="Q56" s="107"/>
    </row>
    <row r="57" spans="4:17" s="25" customFormat="1" ht="15" customHeight="1">
      <c r="D57" s="435" t="s">
        <v>805</v>
      </c>
      <c r="E57" s="436">
        <f>SUM(E53:E56)</f>
        <v>0</v>
      </c>
      <c r="F57" s="437">
        <f>SUM(F53:F56)</f>
        <v>0</v>
      </c>
      <c r="G57" s="433"/>
      <c r="H57" s="425"/>
      <c r="I57" s="107"/>
      <c r="M57" s="107"/>
      <c r="N57" s="107"/>
      <c r="O57" s="107"/>
      <c r="P57" s="425"/>
      <c r="Q57" s="107"/>
    </row>
    <row r="58" spans="4:17" s="25" customFormat="1" ht="20.399999999999999" customHeight="1">
      <c r="D58" s="491" t="s">
        <v>17</v>
      </c>
      <c r="E58" s="492"/>
      <c r="F58" s="492"/>
      <c r="G58" s="493"/>
      <c r="H58" s="107"/>
      <c r="I58" s="107"/>
      <c r="M58" s="107"/>
      <c r="N58" s="107"/>
      <c r="O58" s="107"/>
      <c r="P58" s="107"/>
      <c r="Q58" s="107"/>
    </row>
    <row r="59" spans="4:17" s="25" customFormat="1" ht="12" customHeight="1">
      <c r="D59" s="429">
        <v>1</v>
      </c>
      <c r="E59" s="431"/>
      <c r="F59" s="431"/>
      <c r="G59" s="431"/>
      <c r="H59" s="107"/>
      <c r="I59" s="107"/>
      <c r="M59" s="107"/>
      <c r="N59" s="107"/>
      <c r="O59" s="107"/>
      <c r="P59" s="107"/>
      <c r="Q59" s="107"/>
    </row>
    <row r="60" spans="4:17" s="25" customFormat="1" ht="12" customHeight="1">
      <c r="D60" s="429">
        <v>2</v>
      </c>
      <c r="E60" s="431"/>
      <c r="F60" s="431"/>
      <c r="G60" s="431"/>
      <c r="H60" s="107"/>
      <c r="I60" s="107"/>
      <c r="M60" s="107"/>
      <c r="N60" s="107"/>
      <c r="O60" s="107"/>
      <c r="P60" s="107"/>
      <c r="Q60" s="107"/>
    </row>
    <row r="61" spans="4:17" s="25" customFormat="1" ht="12" customHeight="1">
      <c r="D61" s="429">
        <v>3</v>
      </c>
      <c r="E61" s="431"/>
      <c r="F61" s="431"/>
      <c r="G61" s="431"/>
      <c r="H61" s="107"/>
      <c r="I61" s="107"/>
      <c r="M61" s="107"/>
      <c r="N61" s="107"/>
      <c r="O61" s="107"/>
      <c r="P61" s="107"/>
      <c r="Q61" s="107"/>
    </row>
    <row r="62" spans="4:17" s="25" customFormat="1" ht="15" customHeight="1">
      <c r="D62" s="429">
        <v>4</v>
      </c>
      <c r="E62" s="431"/>
      <c r="F62" s="431"/>
      <c r="G62" s="431"/>
      <c r="H62" s="107"/>
      <c r="I62" s="107"/>
      <c r="M62" s="107"/>
      <c r="N62" s="107"/>
      <c r="O62" s="107"/>
      <c r="P62" s="107"/>
      <c r="Q62" s="107"/>
    </row>
    <row r="63" spans="4:17" s="25" customFormat="1" ht="15" customHeight="1">
      <c r="D63" s="435" t="s">
        <v>805</v>
      </c>
      <c r="E63" s="436">
        <f>SUM(E59:E62)</f>
        <v>0</v>
      </c>
      <c r="F63" s="437">
        <f>SUM(F59:F62)</f>
        <v>0</v>
      </c>
      <c r="G63" s="428"/>
      <c r="H63" s="107"/>
      <c r="I63" s="107"/>
      <c r="M63" s="107"/>
      <c r="N63" s="107"/>
      <c r="O63" s="107"/>
      <c r="P63" s="107"/>
      <c r="Q63" s="107"/>
    </row>
    <row r="64" spans="4:17" s="25" customFormat="1" ht="20.399999999999999" customHeight="1">
      <c r="D64" s="491" t="s">
        <v>18</v>
      </c>
      <c r="E64" s="492"/>
      <c r="F64" s="492"/>
      <c r="G64" s="493"/>
      <c r="H64" s="107"/>
      <c r="I64" s="107"/>
      <c r="M64" s="107"/>
      <c r="N64" s="107"/>
      <c r="O64" s="107"/>
      <c r="P64" s="107"/>
      <c r="Q64" s="107"/>
    </row>
    <row r="65" spans="4:17" s="25" customFormat="1" ht="12" customHeight="1">
      <c r="D65" s="429">
        <v>1</v>
      </c>
      <c r="E65" s="431"/>
      <c r="F65" s="431"/>
      <c r="G65" s="431"/>
      <c r="H65" s="107"/>
      <c r="I65" s="107"/>
      <c r="M65" s="107"/>
      <c r="N65" s="107"/>
      <c r="O65" s="107"/>
      <c r="P65" s="107"/>
      <c r="Q65" s="107"/>
    </row>
    <row r="66" spans="4:17" s="25" customFormat="1" ht="12" customHeight="1">
      <c r="D66" s="429">
        <v>2</v>
      </c>
      <c r="E66" s="431"/>
      <c r="F66" s="431"/>
      <c r="G66" s="431"/>
      <c r="H66" s="107"/>
      <c r="I66" s="107"/>
      <c r="M66" s="107"/>
      <c r="N66" s="107"/>
      <c r="O66" s="107"/>
      <c r="P66" s="107"/>
      <c r="Q66" s="107"/>
    </row>
    <row r="67" spans="4:17" s="25" customFormat="1" ht="12" customHeight="1">
      <c r="D67" s="429">
        <v>3</v>
      </c>
      <c r="E67" s="431"/>
      <c r="F67" s="431"/>
      <c r="G67" s="431"/>
      <c r="H67" s="107"/>
      <c r="I67" s="107"/>
      <c r="M67" s="107"/>
      <c r="N67" s="107"/>
      <c r="O67" s="107"/>
      <c r="P67" s="107"/>
      <c r="Q67" s="107"/>
    </row>
    <row r="68" spans="4:17" s="25" customFormat="1" ht="12" customHeight="1">
      <c r="D68" s="429">
        <v>4</v>
      </c>
      <c r="E68" s="431"/>
      <c r="F68" s="431"/>
      <c r="G68" s="431"/>
      <c r="H68" s="107"/>
      <c r="I68" s="107"/>
      <c r="M68" s="107"/>
      <c r="N68" s="107"/>
      <c r="O68" s="107"/>
      <c r="P68" s="107"/>
      <c r="Q68" s="107"/>
    </row>
    <row r="69" spans="4:17" s="25" customFormat="1" ht="15" customHeight="1">
      <c r="D69" s="435" t="s">
        <v>805</v>
      </c>
      <c r="E69" s="436">
        <f>SUM(E65:E68)</f>
        <v>0</v>
      </c>
      <c r="F69" s="437">
        <f>SUM(F65:F68)</f>
        <v>0</v>
      </c>
      <c r="G69" s="428"/>
      <c r="H69" s="107"/>
      <c r="I69" s="107"/>
      <c r="M69" s="107"/>
      <c r="N69" s="107"/>
      <c r="O69" s="107"/>
      <c r="P69" s="107"/>
      <c r="Q69" s="107"/>
    </row>
    <row r="70" spans="4:17" s="25" customFormat="1" ht="20.399999999999999" customHeight="1">
      <c r="D70" s="491" t="s">
        <v>19</v>
      </c>
      <c r="E70" s="492"/>
      <c r="F70" s="492"/>
      <c r="G70" s="493"/>
      <c r="H70" s="107"/>
      <c r="I70" s="107"/>
      <c r="M70" s="107"/>
      <c r="N70" s="107"/>
      <c r="O70" s="107"/>
      <c r="P70" s="107"/>
      <c r="Q70" s="107"/>
    </row>
    <row r="71" spans="4:17" s="25" customFormat="1" ht="12" customHeight="1">
      <c r="D71" s="429">
        <v>1</v>
      </c>
      <c r="E71" s="431"/>
      <c r="F71" s="431"/>
      <c r="G71" s="431"/>
      <c r="H71" s="107"/>
      <c r="I71" s="107"/>
      <c r="M71" s="107"/>
      <c r="N71" s="107"/>
      <c r="O71" s="107"/>
      <c r="P71" s="107"/>
      <c r="Q71" s="107"/>
    </row>
    <row r="72" spans="4:17" s="25" customFormat="1" ht="12" customHeight="1">
      <c r="D72" s="429">
        <v>2</v>
      </c>
      <c r="E72" s="431"/>
      <c r="F72" s="431"/>
      <c r="G72" s="431"/>
      <c r="H72" s="107"/>
      <c r="I72" s="107"/>
      <c r="M72" s="107"/>
      <c r="N72" s="107"/>
      <c r="O72" s="107"/>
      <c r="P72" s="107"/>
      <c r="Q72" s="107"/>
    </row>
    <row r="73" spans="4:17" s="25" customFormat="1" ht="12" customHeight="1">
      <c r="D73" s="429">
        <v>3</v>
      </c>
      <c r="E73" s="431"/>
      <c r="F73" s="431"/>
      <c r="G73" s="431"/>
      <c r="H73" s="107"/>
      <c r="I73" s="107"/>
      <c r="M73" s="107"/>
      <c r="N73" s="107"/>
      <c r="O73" s="107"/>
      <c r="P73" s="107"/>
      <c r="Q73" s="107"/>
    </row>
    <row r="74" spans="4:17" s="25" customFormat="1" ht="12" customHeight="1">
      <c r="D74" s="429">
        <v>4</v>
      </c>
      <c r="E74" s="431"/>
      <c r="F74" s="431"/>
      <c r="G74" s="431"/>
      <c r="H74" s="107"/>
      <c r="I74" s="107"/>
      <c r="M74" s="107"/>
      <c r="N74" s="107"/>
      <c r="O74" s="107"/>
      <c r="P74" s="107"/>
      <c r="Q74" s="107"/>
    </row>
    <row r="75" spans="4:17" s="25" customFormat="1" ht="15" customHeight="1">
      <c r="D75" s="435" t="s">
        <v>805</v>
      </c>
      <c r="E75" s="436">
        <f>SUM(E71:E74)</f>
        <v>0</v>
      </c>
      <c r="F75" s="437">
        <f>SUM(F71:F74)</f>
        <v>0</v>
      </c>
      <c r="G75" s="428"/>
      <c r="H75" s="107"/>
      <c r="I75" s="107"/>
      <c r="M75" s="107"/>
      <c r="N75" s="107"/>
      <c r="O75" s="107"/>
      <c r="P75" s="107"/>
      <c r="Q75" s="107"/>
    </row>
    <row r="76" spans="4:17" s="25" customFormat="1" ht="20.399999999999999" customHeight="1">
      <c r="D76" s="491" t="s">
        <v>20</v>
      </c>
      <c r="E76" s="492"/>
      <c r="F76" s="492"/>
      <c r="G76" s="493"/>
      <c r="H76" s="107"/>
      <c r="I76" s="107"/>
      <c r="M76" s="107"/>
      <c r="N76" s="107"/>
      <c r="O76" s="107"/>
      <c r="P76" s="107"/>
      <c r="Q76" s="107"/>
    </row>
    <row r="77" spans="4:17" s="25" customFormat="1" ht="12" customHeight="1">
      <c r="D77" s="429">
        <v>1</v>
      </c>
      <c r="E77" s="431"/>
      <c r="F77" s="431"/>
      <c r="G77" s="431"/>
      <c r="H77" s="107"/>
      <c r="I77" s="107"/>
      <c r="M77" s="107"/>
      <c r="N77" s="107"/>
      <c r="O77" s="107"/>
      <c r="P77" s="107"/>
      <c r="Q77" s="107"/>
    </row>
    <row r="78" spans="4:17" s="25" customFormat="1" ht="12" customHeight="1">
      <c r="D78" s="429">
        <v>2</v>
      </c>
      <c r="E78" s="431"/>
      <c r="F78" s="431"/>
      <c r="G78" s="431"/>
      <c r="H78" s="107"/>
      <c r="I78" s="107"/>
      <c r="M78" s="107"/>
      <c r="N78" s="107"/>
      <c r="O78" s="107"/>
      <c r="P78" s="107"/>
      <c r="Q78" s="107"/>
    </row>
    <row r="79" spans="4:17" s="25" customFormat="1" ht="12" customHeight="1">
      <c r="D79" s="429">
        <v>3</v>
      </c>
      <c r="E79" s="431"/>
      <c r="F79" s="431"/>
      <c r="G79" s="431"/>
      <c r="H79" s="107"/>
      <c r="I79" s="107"/>
      <c r="M79" s="107"/>
      <c r="N79" s="107"/>
      <c r="O79" s="107"/>
      <c r="P79" s="107"/>
      <c r="Q79" s="107"/>
    </row>
    <row r="80" spans="4:17" s="25" customFormat="1" ht="12" customHeight="1">
      <c r="D80" s="429">
        <v>4</v>
      </c>
      <c r="E80" s="431"/>
      <c r="F80" s="431"/>
      <c r="G80" s="431"/>
      <c r="H80" s="107"/>
      <c r="I80" s="107"/>
      <c r="M80" s="107"/>
      <c r="N80" s="107"/>
      <c r="O80" s="107"/>
      <c r="P80" s="107"/>
      <c r="Q80" s="107"/>
    </row>
    <row r="81" spans="4:17" s="25" customFormat="1" ht="15" customHeight="1">
      <c r="D81" s="435" t="s">
        <v>805</v>
      </c>
      <c r="E81" s="436">
        <f>SUM(E77:E80)</f>
        <v>0</v>
      </c>
      <c r="F81" s="437">
        <f>SUM(F77:F80)</f>
        <v>0</v>
      </c>
      <c r="G81" s="428"/>
      <c r="H81" s="107"/>
      <c r="I81" s="107"/>
      <c r="M81" s="107"/>
      <c r="N81" s="107"/>
      <c r="O81" s="107"/>
      <c r="P81" s="107"/>
      <c r="Q81" s="107"/>
    </row>
    <row r="82" spans="4:17">
      <c r="D82" s="410"/>
    </row>
  </sheetData>
  <mergeCells count="36">
    <mergeCell ref="D76:G76"/>
    <mergeCell ref="D21:F21"/>
    <mergeCell ref="D46:G46"/>
    <mergeCell ref="D52:G52"/>
    <mergeCell ref="D58:G58"/>
    <mergeCell ref="D64:G64"/>
    <mergeCell ref="D70:G70"/>
    <mergeCell ref="H40:H44"/>
    <mergeCell ref="E6:G6"/>
    <mergeCell ref="D10:G10"/>
    <mergeCell ref="D16:G16"/>
    <mergeCell ref="D22:G22"/>
    <mergeCell ref="D28:G28"/>
    <mergeCell ref="D34:G34"/>
    <mergeCell ref="D40:G40"/>
    <mergeCell ref="H28:H32"/>
    <mergeCell ref="H34:H38"/>
    <mergeCell ref="D33:F33"/>
    <mergeCell ref="D39:F39"/>
    <mergeCell ref="D9:F9"/>
    <mergeCell ref="D15:F15"/>
    <mergeCell ref="D27:F27"/>
    <mergeCell ref="H10:H14"/>
    <mergeCell ref="H16:H20"/>
    <mergeCell ref="H22:H26"/>
    <mergeCell ref="N6:R6"/>
    <mergeCell ref="E7:G7"/>
    <mergeCell ref="M6:M8"/>
    <mergeCell ref="N7:N8"/>
    <mergeCell ref="O7:O8"/>
    <mergeCell ref="P7:P8"/>
    <mergeCell ref="Q7:Q8"/>
    <mergeCell ref="R7:R8"/>
    <mergeCell ref="A1:XFD1"/>
    <mergeCell ref="D4:G4"/>
    <mergeCell ref="D6:D8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8BE1FF"/>
    <pageSetUpPr fitToPage="1"/>
  </sheetPr>
  <dimension ref="A1:BD242"/>
  <sheetViews>
    <sheetView view="pageBreakPreview" zoomScale="91" zoomScaleNormal="100" workbookViewId="0">
      <selection activeCell="G14" sqref="G14:H15"/>
    </sheetView>
  </sheetViews>
  <sheetFormatPr defaultColWidth="8.88671875" defaultRowHeight="14.4"/>
  <cols>
    <col min="1" max="1" width="10.44140625" style="28" customWidth="1"/>
    <col min="2" max="2" width="17.5546875" style="28" customWidth="1"/>
    <col min="3" max="3" width="17.5546875" style="29" customWidth="1"/>
    <col min="4" max="4" width="21.77734375" customWidth="1"/>
    <col min="5" max="5" width="30.77734375" style="29" customWidth="1"/>
    <col min="6" max="6" width="9.44140625" style="29" customWidth="1"/>
    <col min="7" max="7" width="9" style="29" customWidth="1"/>
    <col min="8" max="8" width="14.77734375" style="29" customWidth="1"/>
    <col min="9" max="9" width="20.5546875" style="29" customWidth="1"/>
    <col min="10" max="10" width="26.44140625" style="29" customWidth="1"/>
    <col min="11" max="12" width="14.77734375" style="29" customWidth="1"/>
    <col min="13" max="13" width="19.6640625" style="29" customWidth="1"/>
    <col min="14" max="14" width="25.5546875" customWidth="1"/>
    <col min="15" max="15" width="26" style="25" customWidth="1"/>
    <col min="16" max="16" width="32.88671875" style="25" customWidth="1"/>
    <col min="17" max="17" width="10.88671875" customWidth="1"/>
    <col min="18" max="18" width="18.44140625" customWidth="1"/>
    <col min="19" max="19" width="12.77734375" style="25" customWidth="1"/>
    <col min="20" max="20" width="28.21875" style="25" customWidth="1"/>
    <col min="21" max="21" width="24.44140625" style="25" customWidth="1"/>
    <col min="22" max="22" width="33.77734375" style="25" customWidth="1"/>
    <col min="23" max="23" width="19" style="25" customWidth="1"/>
    <col min="24" max="24" width="28.21875" style="25" customWidth="1"/>
    <col min="25" max="25" width="24.44140625" style="25" customWidth="1"/>
    <col min="26" max="26" width="33.77734375" customWidth="1"/>
    <col min="27" max="27" width="24.44140625" customWidth="1"/>
    <col min="28" max="28" width="34" customWidth="1"/>
    <col min="29" max="29" width="19" customWidth="1"/>
    <col min="30" max="30" width="28.21875" customWidth="1"/>
    <col min="31" max="31" width="24.44140625" customWidth="1"/>
    <col min="32" max="32" width="33.77734375" customWidth="1"/>
    <col min="33" max="33" width="30.77734375" customWidth="1"/>
    <col min="34" max="34" width="40.109375" customWidth="1"/>
    <col min="35" max="35" width="25.44140625" customWidth="1"/>
    <col min="36" max="36" width="34.77734375" customWidth="1"/>
    <col min="37" max="37" width="33.77734375" customWidth="1"/>
    <col min="38" max="38" width="33" customWidth="1"/>
    <col min="39" max="39" width="24.44140625" customWidth="1"/>
    <col min="40" max="40" width="34" customWidth="1"/>
    <col min="41" max="41" width="33.109375" customWidth="1"/>
    <col min="42" max="42" width="19" customWidth="1"/>
    <col min="43" max="43" width="28.21875" customWidth="1"/>
    <col min="44" max="44" width="27.44140625" customWidth="1"/>
    <col min="45" max="45" width="24.44140625" customWidth="1"/>
    <col min="46" max="46" width="33.77734375" customWidth="1"/>
    <col min="47" max="47" width="33" customWidth="1"/>
    <col min="48" max="48" width="30.77734375" customWidth="1"/>
    <col min="49" max="49" width="40.109375" customWidth="1"/>
    <col min="50" max="50" width="39.44140625" customWidth="1"/>
    <col min="51" max="51" width="25.44140625" customWidth="1"/>
    <col min="52" max="52" width="34.77734375" customWidth="1"/>
    <col min="53" max="53" width="34.109375" customWidth="1"/>
  </cols>
  <sheetData>
    <row r="1" spans="1:56" ht="1.2" customHeight="1"/>
    <row r="2" spans="1:56" ht="18.600000000000001" customHeight="1">
      <c r="A2" s="100"/>
      <c r="B2" s="100"/>
      <c r="C2" s="100"/>
      <c r="D2" s="100"/>
      <c r="E2" s="100"/>
      <c r="F2" s="100"/>
      <c r="G2" s="100"/>
      <c r="H2" s="100"/>
      <c r="I2" s="101"/>
      <c r="J2" s="101"/>
      <c r="K2" s="102"/>
    </row>
    <row r="3" spans="1:56" ht="60" customHeight="1">
      <c r="A3" s="505" t="s">
        <v>41</v>
      </c>
      <c r="B3" s="505"/>
      <c r="C3" s="505"/>
      <c r="D3" s="505"/>
      <c r="E3" s="505"/>
      <c r="F3" s="392"/>
      <c r="G3" s="392"/>
      <c r="H3" s="392"/>
      <c r="I3" s="392"/>
      <c r="J3" s="392"/>
      <c r="K3" s="392"/>
      <c r="L3" s="392"/>
      <c r="M3" s="392"/>
    </row>
    <row r="4" spans="1:56" ht="35.4" customHeight="1">
      <c r="A4" s="499" t="s">
        <v>42</v>
      </c>
      <c r="B4" s="393" t="s">
        <v>43</v>
      </c>
      <c r="C4" s="394" t="s">
        <v>44</v>
      </c>
      <c r="D4" s="500" t="s">
        <v>45</v>
      </c>
      <c r="E4" s="501" t="s">
        <v>46</v>
      </c>
      <c r="F4" s="395"/>
      <c r="G4" s="395"/>
      <c r="H4" s="395"/>
      <c r="I4" s="507"/>
      <c r="J4" s="507"/>
    </row>
    <row r="5" spans="1:56" ht="19.8" customHeight="1">
      <c r="A5" s="499"/>
      <c r="B5" s="396" t="s">
        <v>38</v>
      </c>
      <c r="C5" s="397" t="s">
        <v>38</v>
      </c>
      <c r="D5" s="500"/>
      <c r="E5" s="501"/>
      <c r="G5" s="398"/>
      <c r="H5" s="398"/>
      <c r="I5" s="507"/>
      <c r="J5" s="507"/>
    </row>
    <row r="6" spans="1:56" ht="19.2" customHeight="1">
      <c r="A6" s="399">
        <v>1</v>
      </c>
      <c r="B6" s="400">
        <f>COUNTIFS(งานซ่อม[เดือน],"พฤษภาคม",งานซ่อม[สัปดาห์],1,งานซ่อม[สำเร็จ],"เสร็จสิ้น")</f>
        <v>4</v>
      </c>
      <c r="C6" s="401">
        <f>COUNTIFS(Table4[สัปดาห์],1,Table4[สถานะ],"เรียบร้อย")</f>
        <v>3</v>
      </c>
      <c r="D6" s="402">
        <f>B6+C6</f>
        <v>7</v>
      </c>
      <c r="E6" s="403">
        <v>14</v>
      </c>
      <c r="G6" s="100"/>
      <c r="H6" s="100"/>
      <c r="I6" s="504"/>
      <c r="J6" s="504"/>
    </row>
    <row r="7" spans="1:56" ht="19.2" customHeight="1">
      <c r="A7" s="399">
        <v>2</v>
      </c>
      <c r="B7" s="400">
        <f>COUNTIFS(งานซ่อม[เดือน],"พฤษภาคม",งานซ่อม[สัปดาห์],2,งานซ่อม[สำเร็จ],"เสร็จสิ้น")</f>
        <v>10</v>
      </c>
      <c r="C7" s="401">
        <f>COUNTIFS(Table4[สัปดาห์],2,Table4[สถานะ],"เรียบร้อย")</f>
        <v>15</v>
      </c>
      <c r="D7" s="402">
        <f t="shared" ref="D7:D11" si="0">B7+C7</f>
        <v>25</v>
      </c>
      <c r="E7" s="403">
        <v>14</v>
      </c>
      <c r="G7" s="100"/>
      <c r="H7" s="100"/>
      <c r="I7" s="504"/>
      <c r="J7" s="504"/>
    </row>
    <row r="8" spans="1:56" ht="19.2" customHeight="1">
      <c r="A8" s="399">
        <v>3</v>
      </c>
      <c r="B8" s="400">
        <f>COUNTIFS(งานซ่อม[เดือน],"พฤษภาคม",งานซ่อม[สัปดาห์],3,งานซ่อม[สำเร็จ],"เสร็จสิ้น")</f>
        <v>10</v>
      </c>
      <c r="C8" s="401">
        <f>COUNTIFS(Table4[สัปดาห์],3,Table4[สถานะ],"เรียบร้อย")</f>
        <v>6</v>
      </c>
      <c r="D8" s="402">
        <f t="shared" si="0"/>
        <v>16</v>
      </c>
      <c r="E8" s="403">
        <v>14</v>
      </c>
      <c r="G8" s="100"/>
      <c r="H8" s="100"/>
      <c r="I8" s="504"/>
      <c r="J8" s="504"/>
    </row>
    <row r="9" spans="1:56" ht="19.2" customHeight="1">
      <c r="A9" s="399">
        <v>4</v>
      </c>
      <c r="B9" s="400">
        <f>COUNTIFS(งานซ่อม[เดือน],"พฤษภาคม",งานซ่อม[สัปดาห์],4,งานซ่อม[สำเร็จ],"เสร็จสิ้น")</f>
        <v>10</v>
      </c>
      <c r="C9" s="401">
        <f>COUNTIFS(Table4[สัปดาห์],4,Table4[สถานะ],"เรียบร้อย")</f>
        <v>13</v>
      </c>
      <c r="D9" s="402">
        <f t="shared" si="0"/>
        <v>23</v>
      </c>
      <c r="E9" s="403">
        <v>14</v>
      </c>
      <c r="G9" s="100"/>
      <c r="H9" s="100"/>
      <c r="I9" s="504"/>
      <c r="J9" s="504"/>
    </row>
    <row r="10" spans="1:56" ht="19.2" customHeight="1">
      <c r="A10" s="399">
        <v>5</v>
      </c>
      <c r="B10" s="400">
        <f>COUNTIFS(งานซ่อม[เดือน],"พฤษภาคม",งานซ่อม[สัปดาห์],5,งานซ่อม[สำเร็จ],"เสร็จสิ้น")</f>
        <v>3</v>
      </c>
      <c r="C10" s="401">
        <f>COUNTIFS(Table4[สัปดาห์],5,Table4[สถานะ],"เรียบร้อย")</f>
        <v>5</v>
      </c>
      <c r="D10" s="402">
        <f t="shared" si="0"/>
        <v>8</v>
      </c>
      <c r="E10" s="403">
        <v>4</v>
      </c>
      <c r="G10" s="100"/>
      <c r="H10" s="100"/>
      <c r="I10" s="504"/>
      <c r="J10" s="504"/>
    </row>
    <row r="11" spans="1:56" s="25" customFormat="1" ht="19.2" customHeight="1">
      <c r="A11" s="404" t="s">
        <v>34</v>
      </c>
      <c r="B11" s="405">
        <f t="shared" ref="B11:E11" si="1">SUM(B6:B10)</f>
        <v>37</v>
      </c>
      <c r="C11" s="405">
        <f t="shared" si="1"/>
        <v>42</v>
      </c>
      <c r="D11" s="406">
        <f t="shared" si="0"/>
        <v>79</v>
      </c>
      <c r="E11" s="405">
        <f t="shared" si="1"/>
        <v>60</v>
      </c>
      <c r="G11" s="100"/>
      <c r="H11" s="100"/>
      <c r="I11" s="504"/>
      <c r="J11" s="504"/>
    </row>
    <row r="12" spans="1:56" ht="17.399999999999999" customHeight="1">
      <c r="A12" s="100"/>
      <c r="B12" s="100"/>
      <c r="C12" s="100"/>
      <c r="D12" s="100"/>
      <c r="E12" s="100"/>
      <c r="F12" s="100"/>
      <c r="G12" s="100"/>
      <c r="H12" s="100"/>
      <c r="I12" s="101"/>
      <c r="J12" s="101"/>
      <c r="K12" s="102"/>
    </row>
    <row r="13" spans="1:56" ht="45" customHeight="1">
      <c r="A13" s="505" t="s">
        <v>47</v>
      </c>
      <c r="B13" s="505"/>
      <c r="C13" s="505"/>
      <c r="D13" s="505"/>
      <c r="E13" s="505"/>
      <c r="F13" s="104"/>
      <c r="G13" s="506"/>
      <c r="H13" s="506"/>
      <c r="I13" s="506"/>
      <c r="J13" s="506"/>
      <c r="K13" s="104"/>
      <c r="L13" s="104"/>
      <c r="M13" s="104"/>
      <c r="N13" s="407"/>
      <c r="O13" s="107"/>
      <c r="P13" s="107"/>
      <c r="Q13" s="105"/>
    </row>
    <row r="14" spans="1:56" s="75" customFormat="1" ht="24.6" customHeight="1">
      <c r="A14" s="499" t="s">
        <v>42</v>
      </c>
      <c r="B14" s="393" t="s">
        <v>43</v>
      </c>
      <c r="C14" s="394" t="s">
        <v>44</v>
      </c>
      <c r="D14" s="500" t="s">
        <v>45</v>
      </c>
      <c r="E14" s="502" t="s">
        <v>48</v>
      </c>
      <c r="F14" s="105"/>
      <c r="G14" s="498"/>
      <c r="H14" s="498"/>
      <c r="I14" s="408"/>
      <c r="J14" s="498"/>
      <c r="K14"/>
      <c r="L14"/>
      <c r="M14" s="108"/>
      <c r="N14"/>
      <c r="O14"/>
      <c r="P14"/>
      <c r="Q14" s="105"/>
      <c r="R14" s="460"/>
      <c r="S14" s="461"/>
      <c r="T14" s="461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</row>
    <row r="15" spans="1:56" ht="19.2">
      <c r="A15" s="499"/>
      <c r="B15" s="396" t="s">
        <v>38</v>
      </c>
      <c r="C15" s="397" t="s">
        <v>38</v>
      </c>
      <c r="D15" s="500"/>
      <c r="E15" s="503"/>
      <c r="F15" s="109"/>
      <c r="G15" s="498"/>
      <c r="H15" s="498"/>
      <c r="I15" s="408"/>
      <c r="J15" s="498"/>
      <c r="K15"/>
      <c r="L15"/>
      <c r="M15" s="110"/>
      <c r="O15"/>
      <c r="P15"/>
      <c r="Q15" s="109"/>
      <c r="R15" s="460"/>
      <c r="S15" s="461"/>
      <c r="T15" s="461"/>
      <c r="U15"/>
      <c r="V15"/>
      <c r="W15"/>
      <c r="X15"/>
      <c r="Y15"/>
    </row>
    <row r="16" spans="1:56" ht="19.2">
      <c r="A16" s="399">
        <v>1</v>
      </c>
      <c r="B16" s="400">
        <f>COUNTIFS(งานซ่อม[เดือน],"มิถุนายน",งานซ่อม[สัปดาห์],1,งานซ่อม[สำเร็จ],"เสร็จสิ้น")</f>
        <v>12</v>
      </c>
      <c r="C16" s="401">
        <f>COUNTIFS(Table2[สัปดาห์],1,Table2[สถานะ],"เรียบร้อย")</f>
        <v>6</v>
      </c>
      <c r="D16" s="402">
        <f>B16+C16</f>
        <v>18</v>
      </c>
      <c r="E16" s="411" t="s">
        <v>49</v>
      </c>
      <c r="F16" s="109"/>
      <c r="G16" s="498"/>
      <c r="H16" s="408"/>
      <c r="I16" s="408"/>
      <c r="J16" s="498"/>
      <c r="K16"/>
      <c r="L16"/>
      <c r="M16" s="110"/>
      <c r="O16"/>
      <c r="P16"/>
      <c r="Q16" s="109"/>
      <c r="R16" s="462"/>
      <c r="S16" s="463"/>
      <c r="T16" s="463"/>
      <c r="U16"/>
      <c r="V16"/>
      <c r="W16"/>
      <c r="X16"/>
      <c r="Y16"/>
    </row>
    <row r="17" spans="1:56" ht="19.2">
      <c r="A17" s="399">
        <v>2</v>
      </c>
      <c r="B17" s="400">
        <f>COUNTIFS(งานซ่อม[เดือน],"มิถุนายน",งานซ่อม[สัปดาห์],2,งานซ่อม[สำเร็จ],"เสร็จสิ้น")</f>
        <v>3</v>
      </c>
      <c r="C17" s="401">
        <f>COUNTIFS(Table2[สัปดาห์],2,Table2[สถานะ],"เรียบร้อย")</f>
        <v>6</v>
      </c>
      <c r="D17" s="402">
        <f t="shared" ref="D17:D21" si="2">B17+C17</f>
        <v>9</v>
      </c>
      <c r="E17" s="411" t="s">
        <v>50</v>
      </c>
      <c r="F17" s="109"/>
      <c r="G17" s="498"/>
      <c r="H17" s="408"/>
      <c r="I17" s="408"/>
      <c r="J17" s="498"/>
      <c r="K17"/>
      <c r="L17"/>
      <c r="M17" s="110"/>
      <c r="O17"/>
      <c r="P17"/>
      <c r="Q17" s="109"/>
      <c r="R17" s="462"/>
      <c r="S17" s="463"/>
      <c r="T17" s="463"/>
      <c r="U17"/>
      <c r="V17"/>
      <c r="W17"/>
      <c r="X17"/>
      <c r="Y17"/>
    </row>
    <row r="18" spans="1:56" ht="19.2">
      <c r="A18" s="399">
        <v>3</v>
      </c>
      <c r="B18" s="400">
        <f>COUNTIFS(งานซ่อม[เดือน],"มิถุนายน",งานซ่อม[สัปดาห์],3,งานซ่อม[สำเร็จ],"เสร็จสิ้น")</f>
        <v>9</v>
      </c>
      <c r="C18" s="401">
        <f>COUNTIFS(Table2[สัปดาห์],3,Table2[สถานะ],"เรียบร้อย")</f>
        <v>4</v>
      </c>
      <c r="D18" s="402">
        <f t="shared" si="2"/>
        <v>13</v>
      </c>
      <c r="E18" s="411" t="s">
        <v>51</v>
      </c>
      <c r="F18" s="109"/>
      <c r="G18" s="498"/>
      <c r="H18" s="408"/>
      <c r="I18" s="408"/>
      <c r="J18" s="498"/>
      <c r="K18"/>
      <c r="L18"/>
      <c r="M18" s="110"/>
      <c r="O18"/>
      <c r="P18"/>
      <c r="Q18" s="109"/>
      <c r="R18" s="462"/>
      <c r="S18" s="463"/>
      <c r="T18" s="463"/>
      <c r="U18"/>
      <c r="V18"/>
      <c r="W18"/>
      <c r="X18"/>
      <c r="Y18"/>
    </row>
    <row r="19" spans="1:56" ht="19.2">
      <c r="A19" s="399">
        <v>4</v>
      </c>
      <c r="B19" s="400">
        <f>COUNTIFS(งานซ่อม[เดือน],"มิถุนายน",งานซ่อม[สัปดาห์],4,งานซ่อม[สำเร็จ],"เสร็จสิ้น")</f>
        <v>8</v>
      </c>
      <c r="C19" s="401">
        <f>COUNTIFS(Table2[สัปดาห์],4,Table2[สถานะ],"เรียบร้อย")</f>
        <v>22</v>
      </c>
      <c r="D19" s="402">
        <f t="shared" si="2"/>
        <v>30</v>
      </c>
      <c r="E19" s="411" t="s">
        <v>52</v>
      </c>
      <c r="F19" s="109"/>
      <c r="G19" s="498"/>
      <c r="H19" s="408"/>
      <c r="I19" s="408"/>
      <c r="J19" s="498"/>
      <c r="K19"/>
      <c r="L19"/>
      <c r="M19" s="110"/>
      <c r="O19"/>
      <c r="P19"/>
      <c r="Q19" s="109"/>
      <c r="R19" s="462"/>
      <c r="S19" s="463"/>
      <c r="T19" s="463"/>
      <c r="U19"/>
      <c r="V19"/>
      <c r="W19"/>
      <c r="X19"/>
      <c r="Y19"/>
    </row>
    <row r="20" spans="1:56" s="76" customFormat="1" ht="19.2">
      <c r="A20" s="399">
        <v>5</v>
      </c>
      <c r="B20" s="400">
        <f>COUNTIFS(งานซ่อม[เดือน],"มิถุนายน",งานซ่อม[สัปดาห์],5,งานซ่อม[สำเร็จ],"เสร็จสิ้น")</f>
        <v>0</v>
      </c>
      <c r="C20" s="401">
        <f>COUNTIFS(Table2[สัปดาห์],5,Table2[สถานะ],"เรียบร้อย")</f>
        <v>0</v>
      </c>
      <c r="D20" s="402">
        <f t="shared" si="2"/>
        <v>0</v>
      </c>
      <c r="E20" s="411" t="s">
        <v>53</v>
      </c>
      <c r="F20" s="109"/>
      <c r="G20" s="498"/>
      <c r="H20" s="408"/>
      <c r="I20" s="408"/>
      <c r="J20" s="498"/>
      <c r="K20"/>
      <c r="L20"/>
      <c r="M20" s="111"/>
      <c r="N20"/>
      <c r="O20"/>
      <c r="P20"/>
      <c r="Q20" s="109"/>
      <c r="R20" s="462"/>
      <c r="S20" s="463"/>
      <c r="T20" s="463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</row>
    <row r="21" spans="1:56" ht="19.2">
      <c r="A21" s="404" t="s">
        <v>34</v>
      </c>
      <c r="B21" s="405">
        <f t="shared" ref="B21:C21" si="3">SUM(B16:B20)</f>
        <v>32</v>
      </c>
      <c r="C21" s="405">
        <f t="shared" si="3"/>
        <v>38</v>
      </c>
      <c r="D21" s="406">
        <f t="shared" si="2"/>
        <v>70</v>
      </c>
      <c r="E21" s="412" t="s">
        <v>54</v>
      </c>
      <c r="F21" s="109"/>
      <c r="G21" s="498"/>
      <c r="H21" s="408"/>
      <c r="I21" s="408"/>
      <c r="J21" s="498"/>
      <c r="K21"/>
      <c r="L21"/>
      <c r="M21" s="110"/>
      <c r="O21"/>
      <c r="P21"/>
      <c r="Q21" s="109"/>
      <c r="R21" s="462"/>
      <c r="S21" s="463"/>
      <c r="T21" s="463"/>
      <c r="U21"/>
      <c r="V21"/>
      <c r="W21"/>
      <c r="X21"/>
      <c r="Y21"/>
    </row>
    <row r="22" spans="1:56" s="25" customFormat="1" ht="19.2">
      <c r="A22"/>
      <c r="B22"/>
      <c r="C22"/>
      <c r="D22"/>
      <c r="E22"/>
      <c r="F22" s="109"/>
      <c r="G22" s="498"/>
      <c r="H22" s="408"/>
      <c r="I22" s="408"/>
      <c r="J22" s="498"/>
      <c r="K22"/>
      <c r="L22"/>
      <c r="M22" s="106"/>
      <c r="N22"/>
      <c r="O22"/>
      <c r="P22"/>
      <c r="Q22" s="109"/>
      <c r="R22" s="462"/>
      <c r="S22" s="463"/>
      <c r="T22" s="463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</row>
    <row r="23" spans="1:56" s="76" customFormat="1" ht="19.2">
      <c r="A23"/>
      <c r="B23"/>
      <c r="C23"/>
      <c r="D23"/>
      <c r="E23"/>
      <c r="F23" s="109"/>
      <c r="G23" s="498"/>
      <c r="H23" s="408"/>
      <c r="I23" s="408"/>
      <c r="J23" s="498"/>
      <c r="K23" s="29"/>
      <c r="L23"/>
      <c r="M23" s="111"/>
      <c r="N23"/>
      <c r="O23"/>
      <c r="P23"/>
      <c r="Q23" s="109"/>
      <c r="R23" s="462"/>
      <c r="S23" s="463"/>
      <c r="T23" s="46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76" customFormat="1" ht="19.2">
      <c r="A24"/>
      <c r="B24"/>
      <c r="C24"/>
      <c r="D24"/>
      <c r="E24"/>
      <c r="F24" s="109"/>
      <c r="G24" s="498"/>
      <c r="H24" s="408"/>
      <c r="I24" s="408"/>
      <c r="J24" s="498"/>
      <c r="K24"/>
      <c r="L24"/>
      <c r="M24" s="111"/>
      <c r="N24"/>
      <c r="O24"/>
      <c r="P24"/>
      <c r="Q24" s="109"/>
      <c r="R24" s="462"/>
      <c r="S24" s="463"/>
      <c r="T24" s="463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76" customFormat="1" ht="19.2">
      <c r="A25"/>
      <c r="B25"/>
      <c r="C25"/>
      <c r="D25"/>
      <c r="E25"/>
      <c r="F25" s="109"/>
      <c r="G25" s="498"/>
      <c r="H25" s="408"/>
      <c r="I25" s="408"/>
      <c r="J25" s="498"/>
      <c r="K25"/>
      <c r="L25"/>
      <c r="M25" s="111"/>
      <c r="N25"/>
      <c r="O25"/>
      <c r="P25"/>
      <c r="Q25" s="109"/>
      <c r="R25" s="462"/>
      <c r="S25" s="463"/>
      <c r="T25" s="463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76" customFormat="1" ht="19.2">
      <c r="A26"/>
      <c r="B26"/>
      <c r="C26"/>
      <c r="D26"/>
      <c r="E26"/>
      <c r="F26" s="109"/>
      <c r="G26" s="498"/>
      <c r="H26" s="408"/>
      <c r="I26" s="408"/>
      <c r="J26" s="498"/>
      <c r="K26"/>
      <c r="L26"/>
      <c r="M26" s="111"/>
      <c r="N26"/>
      <c r="O26"/>
      <c r="P26"/>
      <c r="Q26" s="109"/>
      <c r="R26" s="462"/>
      <c r="S26" s="463"/>
      <c r="T26" s="463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76" customFormat="1" ht="19.2">
      <c r="A27"/>
      <c r="B27"/>
      <c r="C27"/>
      <c r="D27"/>
      <c r="E27"/>
      <c r="F27" s="109"/>
      <c r="G27" s="408"/>
      <c r="H27" s="408"/>
      <c r="I27" s="408"/>
      <c r="J27" s="408"/>
      <c r="K27"/>
      <c r="L27"/>
      <c r="M27" s="111"/>
      <c r="N27"/>
      <c r="O27"/>
      <c r="P27"/>
      <c r="Q27" s="109"/>
      <c r="R27" s="462"/>
      <c r="S27" s="463"/>
      <c r="T27" s="463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76" customFormat="1" ht="16.2">
      <c r="A28"/>
      <c r="B28"/>
      <c r="C28"/>
      <c r="D28"/>
      <c r="E28"/>
      <c r="F28" s="109"/>
      <c r="G28"/>
      <c r="H28"/>
      <c r="I28"/>
      <c r="J28"/>
      <c r="K28"/>
      <c r="L28"/>
      <c r="M28" s="111"/>
      <c r="N28"/>
      <c r="O28"/>
      <c r="P28"/>
      <c r="Q28" s="109"/>
      <c r="R28" s="462"/>
      <c r="S28" s="463"/>
      <c r="T28" s="463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76" customFormat="1" ht="16.2">
      <c r="A29"/>
      <c r="B29"/>
      <c r="C29"/>
      <c r="D29"/>
      <c r="E29"/>
      <c r="F29" s="109"/>
      <c r="G29"/>
      <c r="H29"/>
      <c r="I29"/>
      <c r="J29"/>
      <c r="K29"/>
      <c r="L29"/>
      <c r="M29" s="111"/>
      <c r="N29"/>
      <c r="O29"/>
      <c r="P29"/>
      <c r="Q29" s="109"/>
      <c r="R29" s="462"/>
      <c r="S29" s="463"/>
      <c r="T29" s="463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76" customFormat="1" ht="16.2">
      <c r="A30"/>
      <c r="B30"/>
      <c r="C30"/>
      <c r="D30"/>
      <c r="E30"/>
      <c r="F30" s="109"/>
      <c r="G30"/>
      <c r="H30"/>
      <c r="I30"/>
      <c r="J30"/>
      <c r="K30"/>
      <c r="L30"/>
      <c r="M30" s="111"/>
      <c r="N30"/>
      <c r="O30"/>
      <c r="P30"/>
      <c r="Q30" s="109"/>
      <c r="R30" s="462"/>
      <c r="S30" s="463"/>
      <c r="T30" s="463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76" customFormat="1" ht="16.2">
      <c r="A31"/>
      <c r="B31"/>
      <c r="C31"/>
      <c r="D31"/>
      <c r="E31"/>
      <c r="F31" s="109"/>
      <c r="G31"/>
      <c r="H31"/>
      <c r="I31"/>
      <c r="J31"/>
      <c r="K31"/>
      <c r="L31"/>
      <c r="M31" s="111"/>
      <c r="N31"/>
      <c r="O31"/>
      <c r="P31"/>
      <c r="Q31" s="109"/>
      <c r="R31" s="462"/>
      <c r="S31" s="463"/>
      <c r="T31" s="463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6" s="76" customFormat="1" ht="16.2">
      <c r="A32"/>
      <c r="B32"/>
      <c r="C32"/>
      <c r="D32"/>
      <c r="E32"/>
      <c r="F32" s="109"/>
      <c r="G32"/>
      <c r="H32"/>
      <c r="I32"/>
      <c r="J32"/>
      <c r="K32"/>
      <c r="L32"/>
      <c r="M32" s="111"/>
      <c r="N32"/>
      <c r="O32"/>
      <c r="P32"/>
      <c r="Q32" s="109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s="76" customFormat="1" ht="16.2">
      <c r="A33"/>
      <c r="B33"/>
      <c r="C33"/>
      <c r="D33"/>
      <c r="E33"/>
      <c r="F33" s="109"/>
      <c r="G33"/>
      <c r="H33"/>
      <c r="I33"/>
      <c r="J33"/>
      <c r="K33"/>
      <c r="L33"/>
      <c r="M33" s="111"/>
      <c r="N33"/>
      <c r="O33"/>
      <c r="P33"/>
      <c r="Q33" s="109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s="76" customFormat="1" ht="16.2">
      <c r="A34"/>
      <c r="B34"/>
      <c r="C34"/>
      <c r="D34"/>
      <c r="E34"/>
      <c r="F34" s="109"/>
      <c r="G34"/>
      <c r="H34"/>
      <c r="I34"/>
      <c r="J34"/>
      <c r="K34"/>
      <c r="L34"/>
      <c r="M34" s="111"/>
      <c r="N34"/>
      <c r="O34"/>
      <c r="P34"/>
      <c r="Q34" s="109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s="76" customFormat="1" ht="16.2">
      <c r="A35"/>
      <c r="B35"/>
      <c r="C35"/>
      <c r="D35"/>
      <c r="E35"/>
      <c r="F35" s="109"/>
      <c r="G35"/>
      <c r="H35"/>
      <c r="I35"/>
      <c r="J35"/>
      <c r="K35"/>
      <c r="L35"/>
      <c r="M35" s="111"/>
      <c r="N35"/>
      <c r="O35"/>
      <c r="P35"/>
      <c r="Q35" s="109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s="76" customFormat="1" ht="16.2">
      <c r="A36"/>
      <c r="B36"/>
      <c r="C36"/>
      <c r="D36"/>
      <c r="E36"/>
      <c r="F36" s="109"/>
      <c r="G36"/>
      <c r="H36"/>
      <c r="I36"/>
      <c r="J36"/>
      <c r="K36"/>
      <c r="L36"/>
      <c r="M36" s="111"/>
      <c r="N36"/>
      <c r="O36"/>
      <c r="P36"/>
      <c r="Q36" s="109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ht="16.2">
      <c r="A37"/>
      <c r="B37"/>
      <c r="C37"/>
      <c r="E37"/>
      <c r="F37" s="109"/>
      <c r="G37"/>
      <c r="H37"/>
      <c r="I37"/>
      <c r="J37"/>
      <c r="K37"/>
      <c r="L37"/>
      <c r="M37" s="110"/>
      <c r="O37"/>
      <c r="P37"/>
      <c r="Q37" s="109"/>
      <c r="S37"/>
      <c r="T37"/>
      <c r="U37"/>
      <c r="V37"/>
      <c r="W37"/>
      <c r="X37"/>
      <c r="Y37"/>
    </row>
    <row r="38" spans="1:53" ht="16.2">
      <c r="A38"/>
      <c r="B38"/>
      <c r="C38"/>
      <c r="E38"/>
      <c r="F38" s="109"/>
      <c r="G38"/>
      <c r="H38"/>
      <c r="I38"/>
      <c r="J38"/>
      <c r="K38"/>
      <c r="L38"/>
      <c r="M38" s="110"/>
      <c r="O38"/>
      <c r="P38"/>
      <c r="Q38" s="109"/>
      <c r="S38"/>
      <c r="T38"/>
      <c r="U38"/>
      <c r="V38"/>
      <c r="W38"/>
      <c r="X38"/>
      <c r="Y38"/>
    </row>
    <row r="39" spans="1:53" ht="16.2">
      <c r="A39"/>
      <c r="B39"/>
      <c r="C39"/>
      <c r="E39"/>
      <c r="F39" s="109"/>
      <c r="G39"/>
      <c r="H39"/>
      <c r="I39"/>
      <c r="J39"/>
      <c r="K39"/>
      <c r="L39"/>
      <c r="M39" s="110"/>
      <c r="O39"/>
      <c r="P39"/>
      <c r="Q39" s="109"/>
      <c r="S39"/>
      <c r="T39"/>
      <c r="U39"/>
      <c r="V39"/>
      <c r="W39"/>
      <c r="X39"/>
      <c r="Y39"/>
    </row>
    <row r="40" spans="1:53" ht="16.2">
      <c r="A40"/>
      <c r="B40"/>
      <c r="C40"/>
      <c r="E40" s="109"/>
      <c r="F40" s="109"/>
      <c r="G40"/>
      <c r="H40"/>
      <c r="I40"/>
      <c r="J40"/>
      <c r="K40"/>
      <c r="L40"/>
      <c r="M40" s="110"/>
      <c r="O40"/>
      <c r="P40"/>
      <c r="Q40" s="109"/>
      <c r="S40"/>
      <c r="T40"/>
      <c r="U40"/>
      <c r="V40"/>
      <c r="W40"/>
      <c r="X40"/>
      <c r="Y40"/>
    </row>
    <row r="41" spans="1:53" ht="16.2">
      <c r="A41"/>
      <c r="B41"/>
      <c r="C41"/>
      <c r="E41" s="109"/>
      <c r="F41" s="109"/>
      <c r="G41"/>
      <c r="H41"/>
      <c r="I41"/>
      <c r="J41"/>
      <c r="K41"/>
      <c r="L41"/>
      <c r="M41" s="109"/>
      <c r="O41"/>
      <c r="P41"/>
      <c r="Q41" s="109"/>
      <c r="S41"/>
      <c r="T41"/>
      <c r="U41"/>
      <c r="V41"/>
      <c r="W41"/>
      <c r="X41"/>
      <c r="Y41"/>
    </row>
    <row r="42" spans="1:53" ht="16.2">
      <c r="A42"/>
      <c r="B42"/>
      <c r="C42"/>
      <c r="E42" s="109"/>
      <c r="F42" s="109"/>
      <c r="G42"/>
      <c r="H42"/>
      <c r="I42"/>
      <c r="J42"/>
      <c r="K42"/>
      <c r="L42"/>
      <c r="M42" s="109"/>
      <c r="O42"/>
      <c r="P42"/>
      <c r="Q42" s="109"/>
      <c r="S42"/>
      <c r="T42"/>
      <c r="U42"/>
      <c r="V42"/>
      <c r="W42"/>
      <c r="X42"/>
      <c r="Y42"/>
    </row>
    <row r="43" spans="1:53" ht="16.2">
      <c r="A43"/>
      <c r="B43"/>
      <c r="C43"/>
      <c r="E43" s="109"/>
      <c r="F43" s="109"/>
      <c r="G43"/>
      <c r="H43"/>
      <c r="I43"/>
      <c r="J43"/>
      <c r="K43"/>
      <c r="L43"/>
      <c r="M43" s="109"/>
      <c r="O43"/>
      <c r="P43"/>
      <c r="Q43" s="109"/>
      <c r="S43"/>
      <c r="T43"/>
      <c r="U43"/>
      <c r="V43"/>
      <c r="W43"/>
      <c r="X43"/>
      <c r="Y43"/>
    </row>
    <row r="44" spans="1:53" ht="16.2">
      <c r="A44"/>
      <c r="B44"/>
      <c r="C44"/>
      <c r="E44" s="109"/>
      <c r="F44" s="109"/>
      <c r="G44"/>
      <c r="H44"/>
      <c r="I44"/>
      <c r="J44"/>
      <c r="K44"/>
      <c r="L44" s="109"/>
      <c r="M44" s="109"/>
      <c r="O44"/>
      <c r="P44"/>
      <c r="Q44" s="109"/>
      <c r="S44"/>
      <c r="T44"/>
      <c r="U44"/>
      <c r="V44"/>
      <c r="W44"/>
      <c r="X44"/>
      <c r="Y44"/>
    </row>
    <row r="45" spans="1:53" ht="16.2">
      <c r="A45"/>
      <c r="B45"/>
      <c r="C45"/>
      <c r="E45" s="109"/>
      <c r="F45" s="109"/>
      <c r="G45"/>
      <c r="H45"/>
      <c r="I45"/>
      <c r="J45"/>
      <c r="K45"/>
      <c r="L45" s="109"/>
      <c r="M45" s="109"/>
      <c r="O45"/>
      <c r="P45"/>
      <c r="Q45" s="109"/>
      <c r="S45"/>
      <c r="T45"/>
      <c r="U45"/>
      <c r="V45"/>
      <c r="W45"/>
      <c r="X45"/>
      <c r="Y45"/>
    </row>
    <row r="46" spans="1:53" ht="16.2">
      <c r="A46"/>
      <c r="B46"/>
      <c r="C46"/>
      <c r="E46" s="109"/>
      <c r="F46" s="109"/>
      <c r="G46"/>
      <c r="H46"/>
      <c r="I46"/>
      <c r="J46"/>
      <c r="K46"/>
      <c r="L46" s="109"/>
      <c r="M46" s="109"/>
      <c r="O46"/>
      <c r="P46"/>
      <c r="Q46" s="109"/>
      <c r="S46"/>
      <c r="T46"/>
      <c r="U46"/>
      <c r="V46"/>
      <c r="W46"/>
      <c r="X46"/>
      <c r="Y46"/>
    </row>
    <row r="47" spans="1:53" ht="16.2">
      <c r="A47"/>
      <c r="B47"/>
      <c r="C47"/>
      <c r="E47" s="109"/>
      <c r="F47" s="109"/>
      <c r="G47"/>
      <c r="H47"/>
      <c r="I47"/>
      <c r="J47"/>
      <c r="K47"/>
      <c r="L47" s="109"/>
      <c r="M47" s="109"/>
      <c r="O47"/>
      <c r="P47"/>
      <c r="Q47" s="109"/>
      <c r="S47"/>
      <c r="T47"/>
      <c r="U47"/>
      <c r="V47"/>
      <c r="W47"/>
      <c r="X47"/>
      <c r="Y47"/>
    </row>
    <row r="48" spans="1:53" ht="16.2">
      <c r="A48"/>
      <c r="B48"/>
      <c r="C48"/>
      <c r="E48" s="109"/>
      <c r="F48" s="109"/>
      <c r="G48"/>
      <c r="H48"/>
      <c r="I48"/>
      <c r="J48"/>
      <c r="K48"/>
      <c r="L48" s="109"/>
      <c r="M48" s="109"/>
      <c r="O48"/>
      <c r="P48"/>
      <c r="Q48" s="109"/>
      <c r="S48"/>
      <c r="T48"/>
      <c r="U48"/>
      <c r="V48"/>
      <c r="W48"/>
      <c r="X48"/>
      <c r="Y48"/>
    </row>
    <row r="49" spans="5:17" customFormat="1" ht="16.2">
      <c r="E49" s="109"/>
      <c r="F49" s="109"/>
      <c r="L49" s="109"/>
      <c r="M49" s="109"/>
      <c r="Q49" s="109"/>
    </row>
    <row r="50" spans="5:17" customFormat="1" ht="16.2">
      <c r="E50" s="109"/>
      <c r="F50" s="109"/>
      <c r="L50" s="109"/>
      <c r="M50" s="109"/>
      <c r="Q50" s="109"/>
    </row>
    <row r="51" spans="5:17" customFormat="1" ht="16.2">
      <c r="E51" s="109"/>
      <c r="F51" s="109"/>
      <c r="L51" s="109"/>
      <c r="M51" s="109"/>
      <c r="Q51" s="109"/>
    </row>
    <row r="52" spans="5:17" customFormat="1" ht="16.2">
      <c r="E52" s="109"/>
      <c r="F52" s="109"/>
      <c r="L52" s="109"/>
      <c r="M52" s="109"/>
      <c r="Q52" s="109"/>
    </row>
    <row r="53" spans="5:17" customFormat="1" ht="16.2">
      <c r="E53" s="109"/>
      <c r="F53" s="109"/>
      <c r="L53" s="109"/>
      <c r="M53" s="109"/>
      <c r="Q53" s="109"/>
    </row>
    <row r="54" spans="5:17" customFormat="1" ht="16.2">
      <c r="E54" s="109"/>
      <c r="F54" s="109"/>
      <c r="L54" s="109"/>
      <c r="M54" s="109"/>
      <c r="Q54" s="109"/>
    </row>
    <row r="55" spans="5:17" customFormat="1" ht="16.2">
      <c r="E55" s="109"/>
      <c r="F55" s="109"/>
      <c r="L55" s="109"/>
      <c r="M55" s="109"/>
      <c r="Q55" s="109"/>
    </row>
    <row r="56" spans="5:17" customFormat="1" ht="16.2">
      <c r="E56" s="109"/>
      <c r="F56" s="109"/>
      <c r="L56" s="109"/>
      <c r="M56" s="109"/>
      <c r="Q56" s="109"/>
    </row>
    <row r="57" spans="5:17" customFormat="1" ht="16.2">
      <c r="E57" s="109"/>
      <c r="F57" s="109"/>
      <c r="L57" s="109"/>
      <c r="M57" s="109"/>
      <c r="Q57" s="109"/>
    </row>
    <row r="58" spans="5:17" customFormat="1" ht="16.2">
      <c r="E58" s="109"/>
      <c r="F58" s="109"/>
      <c r="L58" s="109"/>
      <c r="M58" s="109"/>
      <c r="Q58" s="109"/>
    </row>
    <row r="59" spans="5:17" customFormat="1" ht="16.2">
      <c r="E59" s="109"/>
      <c r="F59" s="109"/>
      <c r="L59" s="109"/>
      <c r="M59" s="109"/>
      <c r="Q59" s="109"/>
    </row>
    <row r="60" spans="5:17" customFormat="1" ht="16.2">
      <c r="E60" s="109"/>
      <c r="F60" s="110"/>
      <c r="L60" s="109"/>
      <c r="M60" s="109"/>
      <c r="Q60" s="109"/>
    </row>
    <row r="61" spans="5:17" customFormat="1" ht="16.2">
      <c r="E61" s="109"/>
      <c r="F61" s="110"/>
      <c r="L61" s="109"/>
      <c r="M61" s="109"/>
      <c r="Q61" s="109"/>
    </row>
    <row r="62" spans="5:17" customFormat="1" ht="16.2">
      <c r="E62" s="109"/>
      <c r="F62" s="110"/>
      <c r="L62" s="109"/>
      <c r="M62" s="109"/>
      <c r="Q62" s="109"/>
    </row>
    <row r="63" spans="5:17" customFormat="1" ht="16.2">
      <c r="E63" s="109"/>
      <c r="F63" s="110"/>
      <c r="L63" s="109"/>
      <c r="M63" s="109"/>
      <c r="Q63" s="109"/>
    </row>
    <row r="64" spans="5:17" customFormat="1" ht="16.2">
      <c r="E64" s="109"/>
      <c r="F64" s="110"/>
      <c r="L64" s="109"/>
      <c r="M64" s="109"/>
      <c r="Q64" s="109"/>
    </row>
    <row r="65" spans="5:17" customFormat="1" ht="16.2">
      <c r="E65" s="109"/>
      <c r="F65" s="110"/>
      <c r="L65" s="109"/>
      <c r="M65" s="109"/>
      <c r="Q65" s="109"/>
    </row>
    <row r="66" spans="5:17" customFormat="1" ht="16.2">
      <c r="E66" s="109"/>
      <c r="F66" s="110"/>
      <c r="L66" s="109"/>
      <c r="M66" s="109"/>
      <c r="Q66" s="109"/>
    </row>
    <row r="67" spans="5:17" customFormat="1" ht="16.2">
      <c r="E67" s="109"/>
      <c r="F67" s="110"/>
      <c r="L67" s="109"/>
      <c r="M67" s="109"/>
      <c r="Q67" s="109"/>
    </row>
    <row r="68" spans="5:17" customFormat="1" ht="16.2">
      <c r="E68" s="109"/>
      <c r="F68" s="110"/>
      <c r="L68" s="109"/>
      <c r="M68" s="109"/>
      <c r="Q68" s="109"/>
    </row>
    <row r="69" spans="5:17" customFormat="1" ht="16.2">
      <c r="E69" s="109"/>
      <c r="F69" s="110"/>
      <c r="L69" s="109"/>
      <c r="M69" s="109"/>
      <c r="Q69" s="109"/>
    </row>
    <row r="70" spans="5:17" customFormat="1" ht="16.2">
      <c r="E70" s="109"/>
      <c r="F70" s="110"/>
      <c r="L70" s="109"/>
      <c r="M70" s="109"/>
      <c r="Q70" s="109"/>
    </row>
    <row r="71" spans="5:17" customFormat="1" ht="16.2">
      <c r="E71" s="109"/>
      <c r="F71" s="110"/>
      <c r="L71" s="109"/>
      <c r="M71" s="109"/>
      <c r="Q71" s="109"/>
    </row>
    <row r="72" spans="5:17" customFormat="1" ht="16.2">
      <c r="E72" s="109"/>
      <c r="F72" s="110"/>
      <c r="L72" s="109"/>
      <c r="M72" s="109"/>
      <c r="Q72" s="109"/>
    </row>
    <row r="73" spans="5:17" customFormat="1" ht="16.2">
      <c r="E73" s="109"/>
      <c r="F73" s="110"/>
      <c r="L73" s="109"/>
      <c r="M73" s="109"/>
      <c r="Q73" s="109"/>
    </row>
    <row r="74" spans="5:17" customFormat="1" ht="16.2">
      <c r="E74" s="109"/>
      <c r="F74" s="110"/>
      <c r="L74" s="109"/>
      <c r="M74" s="109"/>
      <c r="Q74" s="109"/>
    </row>
    <row r="75" spans="5:17" customFormat="1" ht="16.2">
      <c r="E75" s="109"/>
      <c r="F75" s="110"/>
      <c r="L75" s="109"/>
      <c r="M75" s="109"/>
      <c r="Q75" s="109"/>
    </row>
    <row r="76" spans="5:17" customFormat="1" ht="16.2">
      <c r="E76" s="109"/>
      <c r="F76" s="110"/>
      <c r="L76" s="109"/>
      <c r="M76" s="109"/>
      <c r="Q76" s="109"/>
    </row>
    <row r="77" spans="5:17" customFormat="1" ht="16.2">
      <c r="E77" s="109"/>
      <c r="F77" s="110"/>
      <c r="L77" s="109"/>
      <c r="M77" s="109"/>
      <c r="Q77" s="109"/>
    </row>
    <row r="78" spans="5:17" customFormat="1" ht="16.2">
      <c r="E78" s="109"/>
      <c r="F78" s="110"/>
      <c r="L78" s="109"/>
      <c r="M78" s="109"/>
      <c r="Q78" s="109"/>
    </row>
    <row r="79" spans="5:17" customFormat="1" ht="16.2">
      <c r="E79" s="109"/>
      <c r="F79" s="110"/>
      <c r="L79" s="109"/>
      <c r="M79" s="109"/>
      <c r="Q79" s="109"/>
    </row>
    <row r="80" spans="5:17" customFormat="1" ht="16.2">
      <c r="E80" s="109"/>
      <c r="F80" s="110"/>
      <c r="L80" s="109"/>
      <c r="M80" s="109"/>
      <c r="Q80" s="109"/>
    </row>
    <row r="81" spans="1:25" ht="16.2">
      <c r="A81"/>
      <c r="B81"/>
      <c r="C81"/>
      <c r="E81" s="109"/>
      <c r="F81" s="110"/>
      <c r="G81"/>
      <c r="H81"/>
      <c r="I81"/>
      <c r="J81"/>
      <c r="K81"/>
      <c r="L81" s="109"/>
      <c r="M81" s="109"/>
      <c r="O81"/>
      <c r="P81"/>
      <c r="Q81" s="109"/>
      <c r="S81"/>
      <c r="T81"/>
      <c r="U81"/>
      <c r="V81"/>
      <c r="W81"/>
      <c r="X81"/>
      <c r="Y81"/>
    </row>
    <row r="82" spans="1:25" ht="16.2">
      <c r="A82"/>
      <c r="B82"/>
      <c r="C82"/>
      <c r="E82" s="109"/>
      <c r="F82" s="110"/>
      <c r="G82"/>
      <c r="H82"/>
      <c r="I82"/>
      <c r="J82"/>
      <c r="K82"/>
      <c r="L82" s="109"/>
      <c r="M82" s="109"/>
      <c r="O82"/>
      <c r="P82"/>
      <c r="Q82" s="109"/>
      <c r="S82"/>
      <c r="T82"/>
      <c r="U82"/>
      <c r="V82"/>
      <c r="W82"/>
      <c r="X82"/>
      <c r="Y82"/>
    </row>
    <row r="83" spans="1:25" ht="16.2">
      <c r="A83"/>
      <c r="B83"/>
      <c r="C83"/>
      <c r="E83" s="109"/>
      <c r="F83" s="110"/>
      <c r="G83"/>
      <c r="H83"/>
      <c r="I83"/>
      <c r="J83"/>
      <c r="K83"/>
      <c r="L83" s="109"/>
      <c r="M83" s="109"/>
      <c r="O83"/>
      <c r="P83"/>
      <c r="Q83" s="109"/>
      <c r="S83"/>
      <c r="T83"/>
      <c r="U83"/>
      <c r="V83"/>
      <c r="W83"/>
      <c r="X83"/>
      <c r="Y83"/>
    </row>
    <row r="84" spans="1:25" ht="16.2">
      <c r="A84" s="109"/>
      <c r="B84" s="109"/>
      <c r="C84" s="109"/>
      <c r="D84" s="109"/>
      <c r="E84" s="109"/>
      <c r="F84" s="110"/>
      <c r="G84"/>
      <c r="H84"/>
      <c r="I84"/>
      <c r="J84"/>
      <c r="K84"/>
      <c r="L84" s="109"/>
      <c r="M84" s="109"/>
      <c r="O84"/>
      <c r="P84"/>
      <c r="Q84" s="109"/>
      <c r="S84"/>
      <c r="T84"/>
      <c r="U84"/>
      <c r="V84"/>
      <c r="W84"/>
      <c r="X84"/>
      <c r="Y84"/>
    </row>
    <row r="85" spans="1:25" ht="16.2">
      <c r="A85" s="109"/>
      <c r="B85" s="109"/>
      <c r="C85" s="109"/>
      <c r="D85" s="109"/>
      <c r="E85" s="109"/>
      <c r="F85" s="110"/>
      <c r="G85"/>
      <c r="H85"/>
      <c r="I85"/>
      <c r="J85"/>
      <c r="K85"/>
      <c r="L85" s="109"/>
      <c r="M85" s="109"/>
      <c r="O85"/>
      <c r="P85"/>
      <c r="Q85" s="109"/>
      <c r="S85"/>
      <c r="T85"/>
      <c r="U85"/>
      <c r="V85"/>
      <c r="W85"/>
      <c r="X85"/>
      <c r="Y85"/>
    </row>
    <row r="86" spans="1:25" ht="16.2">
      <c r="A86" s="109"/>
      <c r="B86" s="109"/>
      <c r="C86" s="109"/>
      <c r="D86" s="109"/>
      <c r="E86" s="109"/>
      <c r="F86" s="109"/>
      <c r="G86"/>
      <c r="H86"/>
      <c r="I86"/>
      <c r="J86"/>
      <c r="K86" s="109"/>
      <c r="L86" s="109"/>
      <c r="M86" s="109"/>
      <c r="N86" s="109"/>
      <c r="O86" s="109"/>
      <c r="P86" s="109"/>
      <c r="Q86" s="109"/>
      <c r="S86"/>
      <c r="T86"/>
      <c r="U86"/>
      <c r="V86"/>
      <c r="W86"/>
      <c r="X86"/>
      <c r="Y86"/>
    </row>
    <row r="87" spans="1:25" ht="16.2">
      <c r="A87" s="109"/>
      <c r="B87" s="109"/>
      <c r="C87" s="109"/>
      <c r="D87" s="109"/>
      <c r="E87" s="109"/>
      <c r="F87" s="109"/>
      <c r="G87"/>
      <c r="H87"/>
      <c r="I87"/>
      <c r="J87"/>
      <c r="K87" s="109"/>
      <c r="L87" s="109"/>
      <c r="M87" s="109"/>
      <c r="N87" s="109"/>
      <c r="O87" s="109"/>
      <c r="P87" s="109"/>
      <c r="Q87" s="109"/>
      <c r="S87"/>
      <c r="T87"/>
      <c r="U87"/>
      <c r="V87"/>
      <c r="W87"/>
      <c r="X87"/>
      <c r="Y87"/>
    </row>
    <row r="88" spans="1:25" ht="16.2">
      <c r="A88" s="109"/>
      <c r="B88" s="109"/>
      <c r="C88" s="109"/>
      <c r="D88" s="109"/>
      <c r="E88" s="109"/>
      <c r="F88" s="109"/>
      <c r="G88"/>
      <c r="H88"/>
      <c r="I88"/>
      <c r="J88"/>
      <c r="K88" s="109"/>
      <c r="L88" s="109"/>
      <c r="M88" s="109"/>
      <c r="N88" s="109"/>
      <c r="O88" s="109"/>
      <c r="P88" s="109"/>
      <c r="Q88" s="109"/>
      <c r="S88"/>
      <c r="T88"/>
      <c r="U88"/>
      <c r="V88"/>
      <c r="W88"/>
      <c r="X88"/>
      <c r="Y88"/>
    </row>
    <row r="89" spans="1:25" ht="16.2">
      <c r="A89" s="109"/>
      <c r="B89" s="109"/>
      <c r="C89" s="109"/>
      <c r="D89" s="109"/>
      <c r="E89" s="109"/>
      <c r="F89" s="109"/>
      <c r="G89"/>
      <c r="H89"/>
      <c r="I89"/>
      <c r="J89"/>
      <c r="K89" s="109"/>
      <c r="L89" s="109"/>
      <c r="M89" s="109"/>
      <c r="N89" s="109"/>
      <c r="O89" s="109"/>
      <c r="P89" s="109"/>
      <c r="Q89" s="109"/>
      <c r="S89"/>
      <c r="T89"/>
      <c r="U89"/>
      <c r="V89"/>
      <c r="W89"/>
      <c r="X89"/>
      <c r="Y89"/>
    </row>
    <row r="90" spans="1:25" ht="16.2">
      <c r="A90" s="109"/>
      <c r="B90" s="109"/>
      <c r="C90" s="109"/>
      <c r="D90" s="109"/>
      <c r="E90" s="109"/>
      <c r="F90" s="109"/>
      <c r="G90"/>
      <c r="H90"/>
      <c r="I90"/>
      <c r="J90"/>
      <c r="K90" s="109"/>
      <c r="L90" s="109"/>
      <c r="M90" s="109"/>
      <c r="N90" s="109"/>
      <c r="O90" s="109"/>
      <c r="P90" s="109"/>
      <c r="Q90" s="109"/>
      <c r="S90"/>
      <c r="T90"/>
      <c r="U90"/>
      <c r="V90"/>
      <c r="W90"/>
      <c r="X90"/>
      <c r="Y90"/>
    </row>
    <row r="91" spans="1:25" ht="16.2">
      <c r="A91" s="109"/>
      <c r="B91" s="109"/>
      <c r="C91" s="109"/>
      <c r="D91" s="109"/>
      <c r="E91" s="109"/>
      <c r="F91" s="109"/>
      <c r="G91"/>
      <c r="H91"/>
      <c r="I91"/>
      <c r="J91"/>
      <c r="K91" s="109"/>
      <c r="L91" s="109"/>
      <c r="M91" s="109"/>
      <c r="N91" s="109"/>
      <c r="O91" s="109"/>
      <c r="P91" s="109"/>
      <c r="Q91" s="109"/>
    </row>
    <row r="92" spans="1:25" ht="16.2">
      <c r="A92" s="109"/>
      <c r="B92" s="10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</row>
    <row r="93" spans="1:25" ht="16.2">
      <c r="A93" s="109"/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</row>
    <row r="94" spans="1:25" ht="16.2">
      <c r="A94" s="109"/>
      <c r="B94" s="10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</row>
    <row r="95" spans="1:25" ht="16.2">
      <c r="A95" s="109"/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</row>
    <row r="96" spans="1:25" ht="16.2">
      <c r="A96" s="109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</row>
    <row r="97" spans="1:17" ht="16.2">
      <c r="A97" s="109"/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</row>
    <row r="98" spans="1:17" ht="16.2">
      <c r="A98" s="109"/>
      <c r="B98" s="10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</row>
    <row r="99" spans="1:17" ht="16.2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</row>
    <row r="100" spans="1:17" ht="16.2">
      <c r="A100" s="109"/>
      <c r="B100" s="10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</row>
    <row r="101" spans="1:17" ht="16.2">
      <c r="A101" s="109"/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</row>
    <row r="102" spans="1:17" ht="16.2">
      <c r="A102" s="109"/>
      <c r="B102" s="10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</row>
    <row r="103" spans="1:17" ht="16.2">
      <c r="A103" s="109"/>
      <c r="B103" s="10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</row>
    <row r="104" spans="1:17" ht="16.2">
      <c r="A104" s="109"/>
      <c r="B104" s="10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</row>
    <row r="105" spans="1:17" ht="16.2">
      <c r="A105" s="109"/>
      <c r="B105" s="10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</row>
    <row r="106" spans="1:17" ht="16.2">
      <c r="A106" s="109"/>
      <c r="B106" s="10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</row>
    <row r="107" spans="1:17" ht="16.2">
      <c r="A107" s="109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</row>
    <row r="108" spans="1:17" ht="16.2">
      <c r="A108" s="109"/>
      <c r="B108" s="10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</row>
    <row r="109" spans="1:17" ht="16.2">
      <c r="A109" s="109"/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</row>
    <row r="110" spans="1:17" ht="16.2">
      <c r="A110" s="109"/>
      <c r="B110" s="10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</row>
    <row r="111" spans="1:17" ht="16.2">
      <c r="A111" s="109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</row>
    <row r="112" spans="1:17" ht="16.2">
      <c r="A112" s="109"/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</row>
    <row r="113" spans="1:17" ht="16.2">
      <c r="A113" s="109"/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</row>
    <row r="114" spans="1:17" ht="16.2">
      <c r="A114" s="109"/>
      <c r="B114" s="109"/>
      <c r="C114" s="109"/>
      <c r="D114" s="109"/>
      <c r="E114" s="110"/>
      <c r="F114" s="109"/>
      <c r="G114" s="109"/>
      <c r="H114" s="109"/>
      <c r="I114" s="109"/>
      <c r="J114" s="109"/>
      <c r="K114" s="110"/>
      <c r="L114" s="109"/>
      <c r="M114" s="109"/>
      <c r="N114" s="109"/>
      <c r="O114" s="109"/>
      <c r="P114" s="109"/>
      <c r="Q114" s="109"/>
    </row>
    <row r="115" spans="1:17" ht="16.2">
      <c r="A115" s="109"/>
      <c r="B115" s="109"/>
      <c r="C115" s="109"/>
      <c r="D115" s="109"/>
      <c r="E115" s="110"/>
      <c r="F115" s="109"/>
      <c r="G115" s="109"/>
      <c r="H115" s="109"/>
      <c r="I115" s="109"/>
      <c r="J115" s="109"/>
      <c r="K115" s="110"/>
      <c r="L115" s="109"/>
      <c r="M115" s="109"/>
      <c r="N115" s="109"/>
      <c r="O115" s="106"/>
      <c r="P115" s="106"/>
      <c r="Q115" s="109"/>
    </row>
    <row r="116" spans="1:17" ht="16.2">
      <c r="A116" s="109"/>
      <c r="B116" s="109"/>
      <c r="C116" s="109"/>
      <c r="D116" s="109"/>
      <c r="E116" s="110"/>
      <c r="F116" s="109"/>
      <c r="G116" s="109"/>
      <c r="H116" s="109"/>
      <c r="I116" s="109"/>
      <c r="J116" s="109"/>
      <c r="K116" s="110"/>
      <c r="L116" s="109"/>
      <c r="M116" s="109"/>
      <c r="N116" s="109"/>
      <c r="O116" s="106"/>
      <c r="P116" s="106"/>
      <c r="Q116" s="109"/>
    </row>
    <row r="117" spans="1:17" ht="16.2">
      <c r="A117" s="109"/>
      <c r="B117" s="109"/>
      <c r="C117" s="109"/>
      <c r="D117" s="109"/>
      <c r="E117" s="110"/>
      <c r="F117" s="109"/>
      <c r="G117" s="109"/>
      <c r="H117" s="109"/>
      <c r="I117" s="109"/>
      <c r="J117" s="109"/>
      <c r="K117" s="110"/>
      <c r="L117" s="109"/>
      <c r="M117" s="109"/>
      <c r="N117" s="109"/>
      <c r="O117" s="106"/>
      <c r="P117" s="106"/>
      <c r="Q117" s="109"/>
    </row>
    <row r="118" spans="1:17" ht="16.2">
      <c r="A118" s="109"/>
      <c r="B118" s="109"/>
      <c r="C118" s="109"/>
      <c r="D118" s="109"/>
      <c r="E118" s="110"/>
      <c r="F118" s="109"/>
      <c r="G118" s="109"/>
      <c r="H118" s="109"/>
      <c r="I118" s="109"/>
      <c r="J118" s="109"/>
      <c r="K118" s="110"/>
      <c r="L118" s="110"/>
      <c r="M118" s="110"/>
      <c r="N118" s="109"/>
      <c r="O118" s="106"/>
      <c r="P118" s="106"/>
      <c r="Q118" s="109"/>
    </row>
    <row r="119" spans="1:17" ht="16.2">
      <c r="A119" s="109"/>
      <c r="B119" s="109"/>
      <c r="C119" s="109"/>
      <c r="D119" s="109"/>
      <c r="E119" s="110"/>
      <c r="F119" s="109"/>
      <c r="G119" s="109"/>
      <c r="H119" s="109"/>
      <c r="I119" s="109"/>
      <c r="J119" s="109"/>
      <c r="K119" s="110"/>
      <c r="L119" s="110"/>
      <c r="M119" s="110"/>
      <c r="N119" s="109"/>
      <c r="O119" s="106"/>
      <c r="P119" s="106"/>
      <c r="Q119" s="109"/>
    </row>
    <row r="120" spans="1:17" ht="16.2">
      <c r="A120" s="109"/>
      <c r="B120" s="109"/>
      <c r="C120" s="109"/>
      <c r="D120" s="109"/>
      <c r="E120" s="110"/>
      <c r="F120" s="109"/>
      <c r="G120" s="109"/>
      <c r="H120" s="109"/>
      <c r="I120" s="110"/>
      <c r="J120" s="110"/>
      <c r="K120" s="110"/>
      <c r="L120" s="110"/>
      <c r="M120" s="110"/>
      <c r="N120" s="109"/>
      <c r="O120" s="106"/>
      <c r="P120" s="106"/>
      <c r="Q120" s="109"/>
    </row>
    <row r="121" spans="1:17" ht="16.2">
      <c r="A121" s="109"/>
      <c r="B121" s="109"/>
      <c r="C121" s="109"/>
      <c r="D121" s="109"/>
      <c r="E121" s="110"/>
      <c r="F121" s="109"/>
      <c r="G121" s="109"/>
      <c r="H121" s="109"/>
      <c r="I121" s="110"/>
      <c r="J121" s="110"/>
      <c r="K121" s="110"/>
      <c r="L121" s="110"/>
      <c r="M121" s="110"/>
      <c r="N121" s="109"/>
      <c r="O121" s="106"/>
      <c r="P121" s="106"/>
      <c r="Q121" s="109"/>
    </row>
    <row r="122" spans="1:17" ht="16.2">
      <c r="A122" s="109"/>
      <c r="B122" s="109"/>
      <c r="C122" s="109"/>
      <c r="D122" s="109"/>
      <c r="E122" s="110"/>
      <c r="F122" s="109"/>
      <c r="G122" s="109"/>
      <c r="H122" s="109"/>
      <c r="I122" s="110"/>
      <c r="J122" s="110"/>
      <c r="K122" s="110"/>
      <c r="L122" s="110"/>
      <c r="M122" s="110"/>
      <c r="N122" s="109"/>
      <c r="O122" s="106"/>
      <c r="P122" s="106"/>
      <c r="Q122" s="109"/>
    </row>
    <row r="123" spans="1:17" ht="16.2">
      <c r="A123" s="109"/>
      <c r="B123" s="109"/>
      <c r="C123" s="109"/>
      <c r="D123" s="109"/>
      <c r="E123" s="110"/>
      <c r="F123" s="109"/>
      <c r="G123" s="109"/>
      <c r="H123" s="109"/>
      <c r="I123" s="110"/>
      <c r="J123" s="110"/>
      <c r="K123" s="110"/>
      <c r="L123" s="110"/>
      <c r="M123" s="110"/>
      <c r="N123" s="109"/>
      <c r="O123" s="106"/>
      <c r="P123" s="106"/>
      <c r="Q123" s="109"/>
    </row>
    <row r="124" spans="1:17" ht="16.2">
      <c r="A124" s="109"/>
      <c r="B124" s="109"/>
      <c r="C124" s="109"/>
      <c r="D124" s="109"/>
      <c r="E124" s="110"/>
      <c r="F124" s="109"/>
      <c r="G124" s="109"/>
      <c r="H124" s="109"/>
      <c r="I124" s="110"/>
      <c r="J124" s="110"/>
      <c r="K124" s="110"/>
      <c r="L124" s="110"/>
      <c r="M124" s="110"/>
      <c r="N124" s="109"/>
      <c r="O124" s="106"/>
      <c r="P124" s="106"/>
      <c r="Q124" s="109"/>
    </row>
    <row r="125" spans="1:17" ht="16.2">
      <c r="A125" s="109"/>
      <c r="B125" s="109"/>
      <c r="C125" s="109"/>
      <c r="D125" s="109"/>
      <c r="E125" s="110"/>
      <c r="F125" s="109"/>
      <c r="G125" s="109"/>
      <c r="H125" s="109"/>
      <c r="I125" s="110"/>
      <c r="J125" s="110"/>
      <c r="K125" s="110"/>
      <c r="L125" s="110"/>
      <c r="M125" s="110"/>
      <c r="N125" s="109"/>
      <c r="O125" s="106"/>
      <c r="P125" s="106"/>
      <c r="Q125" s="109"/>
    </row>
    <row r="126" spans="1:17" ht="16.2">
      <c r="A126" s="109"/>
      <c r="B126" s="109"/>
      <c r="C126" s="109"/>
      <c r="D126" s="109"/>
      <c r="E126" s="110"/>
      <c r="F126" s="109"/>
      <c r="G126" s="109"/>
      <c r="H126" s="109"/>
      <c r="I126" s="110"/>
      <c r="J126" s="110"/>
      <c r="K126" s="110"/>
      <c r="L126" s="110"/>
      <c r="M126" s="110"/>
      <c r="N126" s="109"/>
      <c r="O126" s="106"/>
      <c r="P126" s="106"/>
      <c r="Q126" s="109"/>
    </row>
    <row r="127" spans="1:17" ht="16.2">
      <c r="A127" s="109"/>
      <c r="B127" s="109"/>
      <c r="C127" s="109"/>
      <c r="D127" s="109"/>
      <c r="E127" s="110"/>
      <c r="F127" s="109"/>
      <c r="G127" s="109"/>
      <c r="H127" s="109"/>
      <c r="I127" s="110"/>
      <c r="J127" s="110"/>
      <c r="K127" s="110"/>
      <c r="L127" s="110"/>
      <c r="M127" s="110"/>
      <c r="N127" s="109"/>
      <c r="O127" s="106"/>
      <c r="P127" s="106"/>
      <c r="Q127" s="109"/>
    </row>
    <row r="128" spans="1:17" ht="16.2">
      <c r="A128" s="109"/>
      <c r="B128" s="109"/>
      <c r="C128" s="109"/>
      <c r="D128" s="109"/>
      <c r="E128" s="110"/>
      <c r="F128" s="109"/>
      <c r="G128" s="109"/>
      <c r="H128" s="109"/>
      <c r="I128" s="110"/>
      <c r="J128" s="110"/>
      <c r="K128" s="110"/>
      <c r="L128" s="110"/>
      <c r="M128" s="110"/>
      <c r="N128" s="109"/>
      <c r="O128" s="106"/>
      <c r="P128" s="106"/>
      <c r="Q128" s="109"/>
    </row>
    <row r="129" spans="1:17" ht="16.2">
      <c r="A129" s="109"/>
      <c r="B129" s="109"/>
      <c r="C129" s="109"/>
      <c r="D129" s="109"/>
      <c r="E129" s="110"/>
      <c r="F129" s="109"/>
      <c r="G129" s="109"/>
      <c r="H129" s="109"/>
      <c r="I129" s="110"/>
      <c r="J129" s="110"/>
      <c r="K129" s="110"/>
      <c r="L129" s="110"/>
      <c r="M129" s="110"/>
      <c r="N129" s="109"/>
      <c r="O129" s="106"/>
      <c r="P129" s="106"/>
      <c r="Q129" s="109"/>
    </row>
    <row r="130" spans="1:17" ht="16.2">
      <c r="A130" s="109"/>
      <c r="B130" s="109"/>
      <c r="C130" s="109"/>
      <c r="D130" s="109"/>
      <c r="E130" s="110"/>
      <c r="F130" s="109"/>
      <c r="G130" s="109"/>
      <c r="H130" s="109"/>
      <c r="I130" s="110"/>
      <c r="J130" s="110"/>
      <c r="K130" s="110"/>
      <c r="L130" s="110"/>
      <c r="M130" s="110"/>
      <c r="N130" s="109"/>
      <c r="O130" s="106"/>
      <c r="P130" s="106"/>
      <c r="Q130" s="109"/>
    </row>
    <row r="131" spans="1:17" ht="16.2">
      <c r="A131" s="109"/>
      <c r="B131" s="109"/>
      <c r="C131" s="109"/>
      <c r="D131" s="109"/>
      <c r="E131" s="110"/>
      <c r="F131" s="109"/>
      <c r="G131" s="109"/>
      <c r="H131" s="109"/>
      <c r="I131" s="110"/>
      <c r="J131" s="110"/>
      <c r="K131" s="110"/>
      <c r="L131" s="110"/>
      <c r="M131" s="110"/>
      <c r="N131" s="109"/>
      <c r="O131" s="106"/>
      <c r="P131" s="106"/>
      <c r="Q131" s="109"/>
    </row>
    <row r="132" spans="1:17" ht="16.2">
      <c r="A132" s="109"/>
      <c r="B132" s="109"/>
      <c r="C132" s="109"/>
      <c r="D132" s="109"/>
      <c r="E132" s="110"/>
      <c r="F132" s="109"/>
      <c r="G132" s="109"/>
      <c r="H132" s="109"/>
      <c r="I132" s="110"/>
      <c r="J132" s="110"/>
      <c r="K132" s="110"/>
      <c r="L132" s="110"/>
      <c r="M132" s="110"/>
      <c r="N132" s="109"/>
      <c r="O132" s="106"/>
      <c r="P132" s="106"/>
      <c r="Q132" s="109"/>
    </row>
    <row r="133" spans="1:17" ht="16.2">
      <c r="A133" s="109"/>
      <c r="B133" s="109"/>
      <c r="C133" s="109"/>
      <c r="D133" s="109"/>
      <c r="E133" s="110"/>
      <c r="F133" s="109"/>
      <c r="G133" s="109"/>
      <c r="H133" s="109"/>
      <c r="I133" s="110"/>
      <c r="J133" s="110"/>
      <c r="K133" s="110"/>
      <c r="L133" s="110"/>
      <c r="M133" s="110"/>
      <c r="N133" s="109"/>
      <c r="O133" s="106"/>
      <c r="P133" s="106"/>
      <c r="Q133" s="109"/>
    </row>
    <row r="134" spans="1:17" ht="16.2">
      <c r="A134" s="109"/>
      <c r="B134" s="109"/>
      <c r="C134" s="109"/>
      <c r="D134" s="109"/>
      <c r="E134" s="110"/>
      <c r="F134" s="109"/>
      <c r="G134" s="109"/>
      <c r="H134" s="109"/>
      <c r="I134" s="110"/>
      <c r="J134" s="110"/>
      <c r="K134" s="110"/>
      <c r="L134" s="110"/>
      <c r="M134" s="110"/>
      <c r="N134" s="109"/>
      <c r="O134" s="106"/>
      <c r="P134" s="106"/>
      <c r="Q134" s="109"/>
    </row>
    <row r="135" spans="1:17" ht="16.2">
      <c r="A135" s="109"/>
      <c r="B135" s="109"/>
      <c r="C135" s="109"/>
      <c r="D135" s="109"/>
      <c r="E135" s="110"/>
      <c r="F135" s="109"/>
      <c r="G135" s="109"/>
      <c r="H135" s="109"/>
      <c r="I135" s="110"/>
      <c r="J135" s="110"/>
      <c r="K135" s="110"/>
      <c r="L135" s="110"/>
      <c r="M135" s="110"/>
      <c r="N135" s="109"/>
      <c r="O135" s="106"/>
      <c r="P135" s="106"/>
      <c r="Q135" s="109"/>
    </row>
    <row r="136" spans="1:17" ht="16.2">
      <c r="A136" s="109"/>
      <c r="B136" s="109"/>
      <c r="C136" s="109"/>
      <c r="D136" s="109"/>
      <c r="E136" s="110"/>
      <c r="F136" s="109"/>
      <c r="G136" s="109"/>
      <c r="H136" s="109"/>
      <c r="I136" s="110"/>
      <c r="J136" s="110"/>
      <c r="K136" s="110"/>
      <c r="L136" s="110"/>
      <c r="M136" s="110"/>
      <c r="N136" s="109"/>
      <c r="O136" s="106"/>
      <c r="P136" s="106"/>
      <c r="Q136" s="109"/>
    </row>
    <row r="137" spans="1:17" ht="16.2">
      <c r="A137" s="109"/>
      <c r="B137" s="109"/>
      <c r="C137" s="109"/>
      <c r="D137" s="109"/>
      <c r="E137" s="110"/>
      <c r="F137" s="109"/>
      <c r="G137" s="109"/>
      <c r="H137" s="109"/>
      <c r="I137" s="110"/>
      <c r="J137" s="110"/>
      <c r="K137" s="110"/>
      <c r="L137" s="110"/>
      <c r="M137" s="110"/>
      <c r="N137" s="109"/>
      <c r="O137" s="106"/>
      <c r="P137" s="106"/>
      <c r="Q137" s="109"/>
    </row>
    <row r="138" spans="1:17" ht="16.2">
      <c r="A138" s="109"/>
      <c r="B138" s="109"/>
      <c r="C138" s="109"/>
      <c r="D138" s="109"/>
      <c r="E138" s="110"/>
      <c r="F138" s="109"/>
      <c r="G138" s="109"/>
      <c r="H138" s="109"/>
      <c r="I138" s="110"/>
      <c r="J138" s="110"/>
      <c r="K138" s="110"/>
      <c r="L138" s="110"/>
      <c r="M138" s="110"/>
      <c r="N138" s="109"/>
      <c r="O138" s="106"/>
      <c r="P138" s="106"/>
      <c r="Q138" s="109"/>
    </row>
    <row r="139" spans="1:17" ht="16.2">
      <c r="A139" s="109"/>
      <c r="B139" s="109"/>
      <c r="C139" s="109"/>
      <c r="D139" s="109"/>
      <c r="E139" s="110"/>
      <c r="F139" s="109"/>
      <c r="G139" s="109"/>
      <c r="H139" s="109"/>
      <c r="I139" s="110"/>
      <c r="J139" s="110"/>
      <c r="K139" s="110"/>
      <c r="L139" s="110"/>
      <c r="M139" s="110"/>
      <c r="N139" s="109"/>
      <c r="O139" s="106"/>
      <c r="P139" s="106"/>
      <c r="Q139" s="109"/>
    </row>
    <row r="140" spans="1:17" ht="16.2">
      <c r="A140" s="109"/>
      <c r="B140" s="109"/>
      <c r="C140" s="109"/>
      <c r="D140" s="109"/>
      <c r="E140" s="110"/>
      <c r="F140" s="109"/>
      <c r="G140" s="109"/>
      <c r="H140" s="109"/>
      <c r="I140" s="110"/>
      <c r="J140" s="110"/>
      <c r="K140" s="110"/>
      <c r="L140" s="110"/>
      <c r="M140" s="110"/>
      <c r="N140" s="109"/>
      <c r="O140" s="106"/>
      <c r="P140" s="106"/>
      <c r="Q140" s="109"/>
    </row>
    <row r="141" spans="1:17" ht="16.2">
      <c r="A141" s="109"/>
      <c r="B141" s="109"/>
      <c r="C141" s="109"/>
      <c r="D141" s="109"/>
      <c r="E141" s="110"/>
      <c r="F141" s="109"/>
      <c r="G141" s="109"/>
      <c r="H141" s="109"/>
      <c r="I141" s="110"/>
      <c r="J141" s="110"/>
      <c r="K141" s="110"/>
      <c r="L141" s="110"/>
      <c r="M141" s="110"/>
      <c r="N141" s="109"/>
      <c r="O141" s="106"/>
      <c r="P141" s="106"/>
      <c r="Q141" s="109"/>
    </row>
    <row r="142" spans="1:17" ht="16.2">
      <c r="A142" s="109"/>
      <c r="B142" s="109"/>
      <c r="C142" s="109"/>
      <c r="D142" s="109"/>
      <c r="E142" s="110"/>
      <c r="F142" s="109"/>
      <c r="G142" s="109"/>
      <c r="H142" s="109"/>
      <c r="I142" s="110"/>
      <c r="J142" s="110"/>
      <c r="K142" s="110"/>
      <c r="L142" s="110"/>
      <c r="M142" s="110"/>
      <c r="N142" s="109"/>
      <c r="O142" s="106"/>
      <c r="P142" s="106"/>
      <c r="Q142" s="109"/>
    </row>
    <row r="143" spans="1:17" ht="16.2">
      <c r="A143" s="109"/>
      <c r="B143" s="109"/>
      <c r="C143" s="109"/>
      <c r="D143" s="109"/>
      <c r="E143" s="110"/>
      <c r="F143" s="109"/>
      <c r="G143" s="109"/>
      <c r="H143" s="109"/>
      <c r="I143" s="110"/>
      <c r="J143" s="110"/>
      <c r="K143" s="110"/>
      <c r="L143" s="110"/>
      <c r="M143" s="110"/>
      <c r="N143" s="109"/>
      <c r="O143" s="106"/>
      <c r="P143" s="106"/>
      <c r="Q143" s="109"/>
    </row>
    <row r="144" spans="1:17" ht="16.2">
      <c r="A144" s="109"/>
      <c r="B144" s="109"/>
      <c r="C144" s="109"/>
      <c r="D144" s="109"/>
      <c r="E144" s="110"/>
      <c r="F144" s="109"/>
      <c r="G144" s="109"/>
      <c r="H144" s="109"/>
      <c r="I144" s="110"/>
      <c r="J144" s="110"/>
      <c r="K144" s="110"/>
      <c r="L144" s="110"/>
      <c r="M144" s="110"/>
      <c r="N144" s="109"/>
      <c r="O144" s="106"/>
      <c r="P144" s="106"/>
      <c r="Q144" s="109"/>
    </row>
    <row r="145" spans="1:17" ht="16.2">
      <c r="A145" s="109"/>
      <c r="B145" s="109"/>
      <c r="C145" s="109"/>
      <c r="D145" s="109"/>
      <c r="E145" s="110"/>
      <c r="F145" s="109"/>
      <c r="G145" s="109"/>
      <c r="H145" s="109"/>
      <c r="I145" s="110"/>
      <c r="J145" s="110"/>
      <c r="K145" s="110"/>
      <c r="L145" s="110"/>
      <c r="M145" s="110"/>
      <c r="N145" s="109"/>
      <c r="O145" s="106"/>
      <c r="P145" s="106"/>
      <c r="Q145" s="109"/>
    </row>
    <row r="146" spans="1:17" ht="16.2">
      <c r="A146" s="109"/>
      <c r="B146" s="109"/>
      <c r="C146" s="109"/>
      <c r="D146" s="109"/>
      <c r="E146" s="110"/>
      <c r="F146" s="109"/>
      <c r="G146" s="109"/>
      <c r="H146" s="109"/>
      <c r="I146" s="110"/>
      <c r="J146" s="110"/>
      <c r="K146" s="110"/>
      <c r="L146" s="110"/>
      <c r="M146" s="110"/>
      <c r="N146" s="109"/>
      <c r="O146" s="106"/>
      <c r="P146" s="106"/>
      <c r="Q146" s="109"/>
    </row>
    <row r="147" spans="1:17" ht="16.2">
      <c r="A147" s="109"/>
      <c r="B147" s="109"/>
      <c r="C147" s="109"/>
      <c r="D147" s="109"/>
      <c r="E147" s="110"/>
      <c r="F147" s="109"/>
      <c r="G147" s="109"/>
      <c r="H147" s="109"/>
      <c r="I147" s="110"/>
      <c r="J147" s="110"/>
      <c r="K147" s="110"/>
      <c r="L147" s="110"/>
      <c r="M147" s="110"/>
      <c r="N147" s="109"/>
      <c r="O147" s="106"/>
      <c r="P147" s="106"/>
      <c r="Q147" s="109"/>
    </row>
    <row r="148" spans="1:17" ht="16.2">
      <c r="A148" s="109"/>
      <c r="B148" s="109"/>
      <c r="C148" s="109"/>
      <c r="D148" s="109"/>
      <c r="E148" s="110"/>
      <c r="F148" s="109"/>
      <c r="G148" s="109"/>
      <c r="H148" s="109"/>
      <c r="I148" s="110"/>
      <c r="J148" s="110"/>
      <c r="K148" s="110"/>
      <c r="L148" s="110"/>
      <c r="M148" s="110"/>
      <c r="N148" s="109"/>
      <c r="O148" s="106"/>
      <c r="P148" s="106"/>
      <c r="Q148" s="109"/>
    </row>
    <row r="149" spans="1:17" ht="16.2">
      <c r="A149" s="109"/>
      <c r="B149" s="109"/>
      <c r="C149" s="109"/>
      <c r="D149" s="109"/>
      <c r="E149" s="110"/>
      <c r="F149" s="109"/>
      <c r="G149" s="109"/>
      <c r="H149" s="109"/>
      <c r="I149" s="110"/>
      <c r="J149" s="110"/>
      <c r="K149" s="110"/>
      <c r="L149" s="110"/>
      <c r="M149" s="110"/>
      <c r="N149" s="109"/>
      <c r="O149" s="106"/>
      <c r="P149" s="106"/>
      <c r="Q149" s="109"/>
    </row>
    <row r="150" spans="1:17" ht="16.2">
      <c r="A150" s="109"/>
      <c r="B150" s="109"/>
      <c r="C150" s="109"/>
      <c r="D150" s="109"/>
      <c r="E150" s="110"/>
      <c r="F150" s="109"/>
      <c r="G150" s="109"/>
      <c r="H150" s="109"/>
      <c r="I150" s="110"/>
      <c r="J150" s="110"/>
      <c r="K150" s="110"/>
      <c r="L150" s="110"/>
      <c r="M150" s="110"/>
      <c r="N150" s="109"/>
      <c r="O150" s="106"/>
      <c r="P150" s="106"/>
      <c r="Q150" s="109"/>
    </row>
    <row r="151" spans="1:17" ht="16.2">
      <c r="A151" s="109"/>
      <c r="B151" s="109"/>
      <c r="C151" s="109"/>
      <c r="D151" s="109"/>
      <c r="E151" s="110"/>
      <c r="F151" s="109"/>
      <c r="G151" s="109"/>
      <c r="H151" s="109"/>
      <c r="I151" s="110"/>
      <c r="J151" s="110"/>
      <c r="K151" s="110"/>
      <c r="L151" s="110"/>
      <c r="M151" s="110"/>
      <c r="N151" s="109"/>
      <c r="O151" s="106"/>
      <c r="P151" s="106"/>
      <c r="Q151" s="109"/>
    </row>
    <row r="152" spans="1:17" ht="16.2">
      <c r="A152" s="109"/>
      <c r="B152" s="109"/>
      <c r="C152" s="109"/>
      <c r="D152" s="109"/>
      <c r="E152" s="110"/>
      <c r="F152" s="109"/>
      <c r="G152" s="109"/>
      <c r="H152" s="109"/>
      <c r="I152" s="110"/>
      <c r="J152" s="110"/>
      <c r="K152" s="110"/>
      <c r="L152" s="110"/>
      <c r="M152" s="110"/>
      <c r="N152" s="109"/>
      <c r="O152" s="106"/>
      <c r="P152" s="106"/>
      <c r="Q152" s="109"/>
    </row>
    <row r="153" spans="1:17" ht="16.2">
      <c r="A153" s="109"/>
      <c r="B153" s="109"/>
      <c r="C153" s="109"/>
      <c r="D153" s="109"/>
      <c r="E153" s="110"/>
      <c r="F153" s="109"/>
      <c r="G153" s="109"/>
      <c r="H153" s="109"/>
      <c r="I153" s="110"/>
      <c r="J153" s="110"/>
      <c r="K153" s="110"/>
      <c r="L153" s="110"/>
      <c r="M153" s="110"/>
      <c r="N153" s="109"/>
      <c r="O153" s="106"/>
      <c r="P153" s="106"/>
      <c r="Q153" s="109"/>
    </row>
    <row r="154" spans="1:17" ht="16.2">
      <c r="A154" s="109"/>
      <c r="B154" s="109"/>
      <c r="C154" s="109"/>
      <c r="D154" s="109"/>
      <c r="E154" s="110"/>
      <c r="F154" s="109"/>
      <c r="G154" s="109"/>
      <c r="H154" s="109"/>
      <c r="I154" s="110"/>
      <c r="J154" s="110"/>
      <c r="K154" s="110"/>
      <c r="L154" s="110"/>
      <c r="M154" s="110"/>
      <c r="N154" s="109"/>
      <c r="O154" s="106"/>
      <c r="P154" s="106"/>
      <c r="Q154" s="109"/>
    </row>
    <row r="155" spans="1:17" ht="16.2">
      <c r="A155" s="109"/>
      <c r="B155" s="109"/>
      <c r="C155" s="109"/>
      <c r="D155" s="109"/>
      <c r="E155" s="110"/>
      <c r="F155" s="109"/>
      <c r="G155" s="109"/>
      <c r="H155" s="109"/>
      <c r="I155" s="110"/>
      <c r="J155" s="110"/>
      <c r="K155" s="110"/>
      <c r="L155" s="110"/>
      <c r="M155" s="110"/>
      <c r="N155" s="109"/>
      <c r="O155" s="106"/>
      <c r="P155" s="106"/>
      <c r="Q155" s="109"/>
    </row>
    <row r="156" spans="1:17" ht="16.2">
      <c r="A156" s="109"/>
      <c r="B156" s="109"/>
      <c r="C156" s="109"/>
      <c r="D156" s="109"/>
      <c r="E156" s="110"/>
      <c r="F156" s="109"/>
      <c r="G156" s="109"/>
      <c r="H156" s="109"/>
      <c r="I156" s="110"/>
      <c r="J156" s="110"/>
      <c r="K156" s="110"/>
      <c r="L156" s="110"/>
      <c r="M156" s="110"/>
      <c r="N156" s="109"/>
      <c r="O156" s="106"/>
      <c r="P156" s="106"/>
      <c r="Q156" s="109"/>
    </row>
    <row r="157" spans="1:17" ht="16.2">
      <c r="A157" s="109"/>
      <c r="B157" s="109"/>
      <c r="C157" s="109"/>
      <c r="D157" s="109"/>
      <c r="E157" s="110"/>
      <c r="F157" s="109"/>
      <c r="G157" s="109"/>
      <c r="H157" s="109"/>
      <c r="I157" s="110"/>
      <c r="J157" s="110"/>
      <c r="K157" s="110"/>
      <c r="L157" s="110"/>
      <c r="M157" s="110"/>
      <c r="N157" s="109"/>
      <c r="O157" s="106"/>
      <c r="P157" s="106"/>
      <c r="Q157" s="109"/>
    </row>
    <row r="158" spans="1:17" ht="16.2">
      <c r="A158" s="109"/>
      <c r="B158" s="109"/>
      <c r="C158" s="109"/>
      <c r="D158" s="109"/>
      <c r="E158" s="110"/>
      <c r="F158" s="109"/>
      <c r="G158" s="109"/>
      <c r="H158" s="109"/>
      <c r="I158" s="110"/>
      <c r="J158" s="110"/>
      <c r="K158" s="110"/>
      <c r="L158" s="110"/>
      <c r="M158" s="110"/>
      <c r="N158" s="109"/>
      <c r="O158" s="106"/>
      <c r="P158" s="106"/>
      <c r="Q158" s="109"/>
    </row>
    <row r="159" spans="1:17" ht="16.2">
      <c r="A159" s="109"/>
      <c r="B159" s="109"/>
      <c r="C159" s="109"/>
      <c r="D159" s="109"/>
      <c r="E159" s="110"/>
      <c r="F159" s="109"/>
      <c r="G159" s="109"/>
      <c r="H159" s="109"/>
      <c r="I159" s="110"/>
      <c r="J159" s="110"/>
      <c r="K159" s="110"/>
      <c r="L159" s="110"/>
      <c r="M159" s="110"/>
      <c r="N159" s="109"/>
      <c r="O159" s="106"/>
      <c r="P159" s="106"/>
      <c r="Q159" s="109"/>
    </row>
    <row r="160" spans="1:17" ht="16.2">
      <c r="A160" s="109"/>
      <c r="B160" s="109"/>
      <c r="C160" s="109"/>
      <c r="D160" s="109"/>
      <c r="E160" s="110"/>
      <c r="F160" s="109"/>
      <c r="G160" s="109"/>
      <c r="H160" s="109"/>
      <c r="I160" s="110"/>
      <c r="J160" s="110"/>
      <c r="K160" s="110"/>
      <c r="L160" s="110"/>
      <c r="M160" s="110"/>
      <c r="N160" s="109"/>
      <c r="O160" s="106"/>
      <c r="P160" s="106"/>
      <c r="Q160" s="109"/>
    </row>
    <row r="161" spans="1:17" ht="16.2">
      <c r="A161" s="109"/>
      <c r="B161" s="109"/>
      <c r="C161" s="110"/>
      <c r="D161" s="109"/>
      <c r="E161" s="110"/>
      <c r="F161" s="109"/>
      <c r="G161" s="109"/>
      <c r="H161" s="109"/>
      <c r="I161" s="110"/>
      <c r="J161" s="110"/>
      <c r="K161" s="110"/>
      <c r="L161" s="110"/>
      <c r="M161" s="110"/>
      <c r="N161" s="109"/>
      <c r="O161" s="106"/>
      <c r="P161" s="106"/>
      <c r="Q161" s="109"/>
    </row>
    <row r="162" spans="1:17" ht="16.2">
      <c r="A162" s="109"/>
      <c r="B162" s="109"/>
      <c r="C162" s="110"/>
      <c r="D162" s="109"/>
      <c r="E162" s="110"/>
      <c r="F162" s="109"/>
      <c r="G162" s="109"/>
      <c r="H162" s="109"/>
      <c r="I162" s="110"/>
      <c r="J162" s="110"/>
      <c r="K162" s="110"/>
      <c r="L162" s="110"/>
      <c r="M162" s="110"/>
      <c r="N162" s="109"/>
      <c r="O162" s="106"/>
      <c r="P162" s="106"/>
      <c r="Q162" s="109"/>
    </row>
    <row r="163" spans="1:17" ht="16.2">
      <c r="A163" s="109"/>
      <c r="B163" s="109"/>
      <c r="C163" s="110"/>
      <c r="D163" s="109"/>
      <c r="E163" s="110"/>
      <c r="F163" s="109"/>
      <c r="G163" s="109"/>
      <c r="H163" s="109"/>
      <c r="I163" s="110"/>
      <c r="J163" s="110"/>
      <c r="K163" s="110"/>
      <c r="L163" s="110"/>
      <c r="M163" s="110"/>
      <c r="N163" s="109"/>
      <c r="O163" s="106"/>
      <c r="P163" s="106"/>
      <c r="Q163" s="109"/>
    </row>
    <row r="164" spans="1:17" ht="16.2">
      <c r="A164"/>
      <c r="B164"/>
      <c r="F164"/>
      <c r="G164" s="109"/>
      <c r="H164" s="109"/>
      <c r="I164" s="110"/>
      <c r="J164" s="110"/>
    </row>
    <row r="165" spans="1:17" ht="16.2">
      <c r="A165"/>
      <c r="B165"/>
      <c r="F165"/>
      <c r="G165" s="109"/>
      <c r="H165" s="109"/>
      <c r="I165" s="110"/>
      <c r="J165" s="110"/>
    </row>
    <row r="166" spans="1:17" ht="16.2">
      <c r="A166"/>
      <c r="B166"/>
      <c r="G166" s="109"/>
      <c r="H166" s="109"/>
      <c r="I166" s="110"/>
      <c r="J166" s="110"/>
    </row>
    <row r="167" spans="1:17" ht="16.2">
      <c r="A167"/>
      <c r="B167"/>
      <c r="G167" s="109"/>
      <c r="H167" s="109"/>
      <c r="I167" s="110"/>
      <c r="J167" s="110"/>
    </row>
    <row r="168" spans="1:17" ht="16.2">
      <c r="A168"/>
      <c r="B168"/>
      <c r="G168" s="109"/>
      <c r="H168" s="109"/>
      <c r="I168" s="110"/>
      <c r="J168" s="110"/>
    </row>
    <row r="169" spans="1:17" ht="16.2">
      <c r="A169"/>
      <c r="B169"/>
      <c r="G169" s="109"/>
      <c r="H169" s="109"/>
      <c r="I169" s="110"/>
      <c r="J169" s="110"/>
    </row>
    <row r="170" spans="1:17">
      <c r="A170"/>
      <c r="B170"/>
      <c r="G170"/>
      <c r="H170"/>
    </row>
    <row r="171" spans="1:17">
      <c r="A171"/>
      <c r="B171"/>
      <c r="G171"/>
      <c r="H171"/>
    </row>
    <row r="172" spans="1:17">
      <c r="A172"/>
      <c r="B172"/>
    </row>
    <row r="173" spans="1:17">
      <c r="A173"/>
      <c r="B173"/>
    </row>
    <row r="174" spans="1:17">
      <c r="A174"/>
      <c r="B174"/>
    </row>
    <row r="175" spans="1:17">
      <c r="A175"/>
      <c r="B175"/>
    </row>
    <row r="176" spans="1:17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</sheetData>
  <mergeCells count="24">
    <mergeCell ref="A3:E3"/>
    <mergeCell ref="I6:J6"/>
    <mergeCell ref="I7:J7"/>
    <mergeCell ref="I8:J8"/>
    <mergeCell ref="I9:J9"/>
    <mergeCell ref="I10:J10"/>
    <mergeCell ref="I11:J11"/>
    <mergeCell ref="A13:E13"/>
    <mergeCell ref="G13:J13"/>
    <mergeCell ref="A4:A5"/>
    <mergeCell ref="I4:J5"/>
    <mergeCell ref="A14:A15"/>
    <mergeCell ref="D4:D5"/>
    <mergeCell ref="D14:D15"/>
    <mergeCell ref="E4:E5"/>
    <mergeCell ref="E14:E15"/>
    <mergeCell ref="G16:G17"/>
    <mergeCell ref="G18:G24"/>
    <mergeCell ref="G25:G26"/>
    <mergeCell ref="J14:J15"/>
    <mergeCell ref="J16:J17"/>
    <mergeCell ref="J18:J24"/>
    <mergeCell ref="J25:J26"/>
    <mergeCell ref="G14:H15"/>
  </mergeCells>
  <pageMargins left="0.25" right="0.25" top="0.75" bottom="0.75" header="0.3" footer="0.3"/>
  <pageSetup paperSize="9" scale="16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8" tint="0.59999389629810485"/>
    <pageSetUpPr fitToPage="1"/>
  </sheetPr>
  <dimension ref="A1:AE161"/>
  <sheetViews>
    <sheetView tabSelected="1" showWhiteSpace="0" topLeftCell="A54" zoomScale="66" zoomScaleNormal="115" zoomScalePageLayoutView="70" workbookViewId="0">
      <selection activeCell="T60" sqref="T60"/>
    </sheetView>
  </sheetViews>
  <sheetFormatPr defaultColWidth="9" defaultRowHeight="14.4"/>
  <cols>
    <col min="1" max="1" width="20.6640625" customWidth="1"/>
    <col min="2" max="2" width="15" customWidth="1"/>
    <col min="3" max="3" width="8.6640625" style="192" bestFit="1" customWidth="1"/>
    <col min="4" max="4" width="9" customWidth="1"/>
    <col min="15" max="15" width="11.44140625" bestFit="1" customWidth="1"/>
    <col min="16" max="16" width="12.33203125" customWidth="1"/>
    <col min="17" max="17" width="10.44140625" customWidth="1"/>
    <col min="18" max="18" width="13.33203125" customWidth="1"/>
    <col min="19" max="31" width="12.6640625" customWidth="1"/>
  </cols>
  <sheetData>
    <row r="1" spans="1:12" s="76" customFormat="1" ht="48" customHeight="1">
      <c r="A1" s="535" t="s">
        <v>55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</row>
    <row r="2" spans="1:12" ht="27.6" customHeight="1">
      <c r="A2" s="533" t="s">
        <v>56</v>
      </c>
      <c r="B2" s="533" t="s">
        <v>57</v>
      </c>
      <c r="C2" s="524" t="s">
        <v>58</v>
      </c>
      <c r="D2" s="536" t="s">
        <v>59</v>
      </c>
      <c r="E2" s="536"/>
      <c r="F2" s="536"/>
      <c r="G2" s="536"/>
      <c r="H2" s="536"/>
      <c r="I2" s="536"/>
      <c r="J2" s="536"/>
      <c r="K2" s="536"/>
      <c r="L2" s="536"/>
    </row>
    <row r="3" spans="1:12" ht="22.2" customHeight="1">
      <c r="A3" s="534"/>
      <c r="B3" s="534"/>
      <c r="C3" s="525"/>
      <c r="D3" s="172" t="s">
        <v>60</v>
      </c>
      <c r="E3" s="172" t="s">
        <v>61</v>
      </c>
      <c r="F3" s="173" t="s">
        <v>62</v>
      </c>
      <c r="G3" s="173" t="s">
        <v>63</v>
      </c>
      <c r="H3" s="173" t="s">
        <v>64</v>
      </c>
      <c r="I3" s="173" t="s">
        <v>65</v>
      </c>
      <c r="J3" s="173" t="s">
        <v>66</v>
      </c>
      <c r="K3" s="173" t="s">
        <v>67</v>
      </c>
      <c r="L3" s="174" t="s">
        <v>68</v>
      </c>
    </row>
    <row r="4" spans="1:12" ht="25.05" customHeight="1">
      <c r="A4" s="372" t="s">
        <v>69</v>
      </c>
      <c r="B4" s="373">
        <f>COUNTIF(Table4[ฝ่าย],A4)</f>
        <v>43</v>
      </c>
      <c r="C4" s="374">
        <f>B4/B17</f>
        <v>0.86</v>
      </c>
      <c r="D4" s="375">
        <f>COUNTIFS(Table4[ประเภท],D3,Table4[ฝ่าย],A4)</f>
        <v>9</v>
      </c>
      <c r="E4" s="375">
        <f>COUNTIFS(Table4[ประเภท],E3,Table4[ฝ่าย],A4)</f>
        <v>2</v>
      </c>
      <c r="F4" s="375">
        <f>COUNTIFS(Table4[ประเภท],F3,Table4[ฝ่าย],A4)</f>
        <v>1</v>
      </c>
      <c r="G4" s="375">
        <f>COUNTIFS(Table4[ประเภท],G3,Table4[ฝ่าย],A4)</f>
        <v>2</v>
      </c>
      <c r="H4" s="375">
        <f>COUNTIFS(Table4[ประเภท],H3,Table4[ฝ่าย],A4)</f>
        <v>2</v>
      </c>
      <c r="I4" s="194">
        <f>COUNTIFS(Table4[ประเภท],I3,Table4[ฝ่าย],A4)</f>
        <v>0</v>
      </c>
      <c r="J4" s="375">
        <f>COUNTIFS(Table4[ประเภท],J3,Table4[ฝ่าย],A4)</f>
        <v>4</v>
      </c>
      <c r="K4" s="375">
        <f>COUNTIFS(Table4[ประเภท],K3,Table4[ฝ่าย],A4)</f>
        <v>21</v>
      </c>
      <c r="L4" s="375">
        <f>COUNTIFS(Table4[ประเภท],L3,Table4[ฝ่าย],A4)</f>
        <v>2</v>
      </c>
    </row>
    <row r="5" spans="1:12" ht="25.05" customHeight="1">
      <c r="A5" s="372" t="s">
        <v>70</v>
      </c>
      <c r="B5" s="373">
        <f>COUNTIF(Table4[ฝ่าย],A5)</f>
        <v>1</v>
      </c>
      <c r="C5" s="374">
        <f>B5/B17</f>
        <v>0.02</v>
      </c>
      <c r="D5" s="375">
        <f>COUNTIFS(Table4[ประเภท],D3,Table4[ฝ่าย],A5)</f>
        <v>1</v>
      </c>
      <c r="E5" s="194">
        <f>COUNTIFS(Table4[ประเภท],E3,Table4[ฝ่าย],A5)</f>
        <v>0</v>
      </c>
      <c r="F5" s="194">
        <f>COUNTIFS(Table4[ประเภท],F3,Table4[ฝ่าย],A5)</f>
        <v>0</v>
      </c>
      <c r="G5" s="194">
        <f>COUNTIFS(Table4[ประเภท],G3,Table4[ฝ่าย],A5)</f>
        <v>0</v>
      </c>
      <c r="H5" s="194">
        <f>COUNTIFS(Table4[ประเภท],H3,Table4[ฝ่าย],A5)</f>
        <v>0</v>
      </c>
      <c r="I5" s="194">
        <f>COUNTIFS(Table4[ประเภท],I3,Table4[ฝ่าย],A5)</f>
        <v>0</v>
      </c>
      <c r="J5" s="194">
        <f>COUNTIFS(Table4[ประเภท],J3,Table4[ฝ่าย],A5)</f>
        <v>0</v>
      </c>
      <c r="K5" s="194">
        <f>COUNTIFS(Table4[ประเภท],K3,Table4[ฝ่าย],A5)</f>
        <v>0</v>
      </c>
      <c r="L5" s="194">
        <f>COUNTIFS(Table4[ประเภท],L3,Table4[ฝ่าย],A5)</f>
        <v>0</v>
      </c>
    </row>
    <row r="6" spans="1:12" ht="25.05" customHeight="1">
      <c r="A6" s="372" t="s">
        <v>71</v>
      </c>
      <c r="B6" s="373">
        <f>COUNTIF(Table4[ฝ่าย],A6)</f>
        <v>4</v>
      </c>
      <c r="C6" s="374">
        <f>B6/B17</f>
        <v>0.08</v>
      </c>
      <c r="D6" s="194">
        <f>COUNTIFS(Table4[ประเภท],D3,Table4[ฝ่าย],A6)</f>
        <v>0</v>
      </c>
      <c r="E6" s="375">
        <f>COUNTIFS(Table4[ประเภท],E3,Table4[ฝ่าย],A6)</f>
        <v>2</v>
      </c>
      <c r="F6" s="194">
        <f>COUNTIFS(Table4[ประเภท],F3,Table4[ฝ่าย],A6)</f>
        <v>0</v>
      </c>
      <c r="G6" s="194">
        <f>COUNTIFS(Table4[ประเภท],G3,Table4[ฝ่าย],A6)</f>
        <v>0</v>
      </c>
      <c r="H6" s="194">
        <f>COUNTIFS(Table4[ประเภท],H3,Table4[ฝ่าย],A6)</f>
        <v>0</v>
      </c>
      <c r="I6" s="375">
        <f>COUNTIFS(Table4[ประเภท],I3,Table4[ฝ่าย],A6)</f>
        <v>1</v>
      </c>
      <c r="J6" s="194">
        <f>COUNTIFS(Table4[ประเภท],J3,Table4[ฝ่าย],A6)</f>
        <v>0</v>
      </c>
      <c r="K6" s="375">
        <f>COUNTIFS(Table4[ประเภท],K3,Table4[ฝ่าย],A6)</f>
        <v>1</v>
      </c>
      <c r="L6" s="194">
        <f>COUNTIFS(Table4[ประเภท],L3,Table4[ฝ่าย],A6)</f>
        <v>0</v>
      </c>
    </row>
    <row r="7" spans="1:12" ht="25.05" customHeight="1">
      <c r="A7" s="376" t="s">
        <v>72</v>
      </c>
      <c r="B7" s="177">
        <f>COUNTIF(Table4[ฝ่าย],A7)</f>
        <v>0</v>
      </c>
      <c r="C7" s="377">
        <f>B7/B17</f>
        <v>0</v>
      </c>
      <c r="D7" s="378">
        <f>COUNTIFS(Table4[ประเภท],D3,Table4[ฝ่าย],A7)</f>
        <v>0</v>
      </c>
      <c r="E7" s="194">
        <f>COUNTIFS(Table4[ประเภท],E3,Table4[ฝ่าย],A7)</f>
        <v>0</v>
      </c>
      <c r="F7" s="194">
        <f>COUNTIFS(Table4[ประเภท],F3,Table4[ฝ่าย],A7)</f>
        <v>0</v>
      </c>
      <c r="G7" s="194">
        <f>COUNTIFS(Table4[ประเภท],G3,Table4[ฝ่าย],A7)</f>
        <v>0</v>
      </c>
      <c r="H7" s="194">
        <f>COUNTIFS(Table4[ประเภท],H3,Table4[ฝ่าย],A7)</f>
        <v>0</v>
      </c>
      <c r="I7" s="194">
        <f>COUNTIFS(Table4[ประเภท],I3,Table4[ฝ่าย],A7)</f>
        <v>0</v>
      </c>
      <c r="J7" s="194">
        <f>COUNTIFS(Table4[ประเภท],J3,Table4[ฝ่าย],A7)</f>
        <v>0</v>
      </c>
      <c r="K7" s="194">
        <f>COUNTIFS(Table4[ประเภท],K3,Table4[ฝ่าย],A7)</f>
        <v>0</v>
      </c>
      <c r="L7" s="194">
        <f>COUNTIFS(Table4[ประเภท],L3,Table4[ฝ่าย],A7)</f>
        <v>0</v>
      </c>
    </row>
    <row r="8" spans="1:12" ht="25.05" customHeight="1">
      <c r="A8" s="376" t="s">
        <v>73</v>
      </c>
      <c r="B8" s="177">
        <f>COUNTIF(Table4[ฝ่าย],A8)</f>
        <v>0</v>
      </c>
      <c r="C8" s="179">
        <f>B8/B17</f>
        <v>0</v>
      </c>
      <c r="D8" s="378">
        <f>COUNTIFS(Table4[ประเภท],D3,Table4[ฝ่าย],A8)</f>
        <v>0</v>
      </c>
      <c r="E8" s="194">
        <f>COUNTIFS(Table4[ประเภท],E3,Table4[ฝ่าย],A8)</f>
        <v>0</v>
      </c>
      <c r="F8" s="194">
        <f>COUNTIFS(Table4[ประเภท],F3,Table4[ฝ่าย],A8)</f>
        <v>0</v>
      </c>
      <c r="G8" s="194">
        <f>COUNTIFS(Table4[ประเภท],G3,Table4[ฝ่าย],A8)</f>
        <v>0</v>
      </c>
      <c r="H8" s="194">
        <f>COUNTIFS(Table4[ประเภท],H3,Table4[ฝ่าย],A8)</f>
        <v>0</v>
      </c>
      <c r="I8" s="194">
        <f>COUNTIFS(Table4[ประเภท],I3,Table4[ฝ่าย],A8)</f>
        <v>0</v>
      </c>
      <c r="J8" s="194">
        <f>COUNTIFS(Table4[ประเภท],J3,Table4[ฝ่าย],A8)</f>
        <v>0</v>
      </c>
      <c r="K8" s="194">
        <f>COUNTIFS(Table4[ประเภท],K3,Table4[ฝ่าย],A8)</f>
        <v>0</v>
      </c>
      <c r="L8" s="194">
        <f>COUNTIFS(Table4[ประเภท],L3,Table4[ฝ่าย],A8)</f>
        <v>0</v>
      </c>
    </row>
    <row r="9" spans="1:12" ht="25.05" customHeight="1">
      <c r="A9" s="376" t="s">
        <v>74</v>
      </c>
      <c r="B9" s="177">
        <f>COUNTIF(Table4[ฝ่าย],A9)</f>
        <v>0</v>
      </c>
      <c r="C9" s="179">
        <f>B9/B17</f>
        <v>0</v>
      </c>
      <c r="D9" s="378">
        <f>COUNTIFS(Table4[ประเภท],D3,Table4[ฝ่าย],A9)</f>
        <v>0</v>
      </c>
      <c r="E9" s="194">
        <f>COUNTIFS(Table4[ประเภท],E3,Table4[ฝ่าย],A9)</f>
        <v>0</v>
      </c>
      <c r="F9" s="194">
        <f>COUNTIFS(Table4[ประเภท],F3,Table4[ฝ่าย],A9)</f>
        <v>0</v>
      </c>
      <c r="G9" s="194">
        <f>COUNTIFS(Table4[ประเภท],G3,Table4[ฝ่าย],A9)</f>
        <v>0</v>
      </c>
      <c r="H9" s="194">
        <f>COUNTIFS(Table4[ประเภท],H3,Table4[ฝ่าย],A9)</f>
        <v>0</v>
      </c>
      <c r="I9" s="194">
        <f>COUNTIFS(Table4[ประเภท],I3,Table4[ฝ่าย],A9)</f>
        <v>0</v>
      </c>
      <c r="J9" s="194">
        <f>COUNTIFS(Table4[ประเภท],J3,Table4[ฝ่าย],A9)</f>
        <v>0</v>
      </c>
      <c r="K9" s="194">
        <f>COUNTIFS(Table4[ประเภท],K3,Table4[ฝ่าย],A9)</f>
        <v>0</v>
      </c>
      <c r="L9" s="194">
        <f>COUNTIFS(Table4[ประเภท],L3,Table4[ฝ่าย],A9)</f>
        <v>0</v>
      </c>
    </row>
    <row r="10" spans="1:12" ht="25.05" customHeight="1">
      <c r="A10" s="376" t="s">
        <v>75</v>
      </c>
      <c r="B10" s="177">
        <f>COUNTIF(Table4[ฝ่าย],A10)</f>
        <v>0</v>
      </c>
      <c r="C10" s="179">
        <f>B10/B17</f>
        <v>0</v>
      </c>
      <c r="D10" s="378">
        <f>COUNTIFS(Table4[ประเภท],D3,Table4[ฝ่าย],A10)</f>
        <v>0</v>
      </c>
      <c r="E10" s="194">
        <f>COUNTIFS(Table4[ประเภท],E3,Table4[ฝ่าย],A10)</f>
        <v>0</v>
      </c>
      <c r="F10" s="194">
        <f>COUNTIFS(Table4[ประเภท],F3,Table4[ฝ่าย],A10)</f>
        <v>0</v>
      </c>
      <c r="G10" s="194">
        <f>COUNTIFS(Table4[ประเภท],G3,Table4[ฝ่าย],A10)</f>
        <v>0</v>
      </c>
      <c r="H10" s="194">
        <f>COUNTIFS(Table4[ประเภท],H3,Table4[ฝ่าย],A10)</f>
        <v>0</v>
      </c>
      <c r="I10" s="194">
        <f>COUNTIFS(Table4[ประเภท],I3,Table4[ฝ่าย],A10)</f>
        <v>0</v>
      </c>
      <c r="J10" s="194">
        <f>COUNTIFS(Table4[ประเภท],J3,Table4[ฝ่าย],A10)</f>
        <v>0</v>
      </c>
      <c r="K10" s="194">
        <f>COUNTIFS(Table4[ประเภท],K3,Table4[ฝ่าย],A10)</f>
        <v>0</v>
      </c>
      <c r="L10" s="194">
        <f>COUNTIFS(Table4[ประเภท],L3,Table4[ฝ่าย],A10)</f>
        <v>0</v>
      </c>
    </row>
    <row r="11" spans="1:12" ht="25.05" customHeight="1">
      <c r="A11" s="376" t="s">
        <v>76</v>
      </c>
      <c r="B11" s="177">
        <f>COUNTIF(Table4[ฝ่าย],A11)</f>
        <v>0</v>
      </c>
      <c r="C11" s="179">
        <f>B11/B17</f>
        <v>0</v>
      </c>
      <c r="D11" s="378">
        <f>COUNTIFS(Table4[ประเภท],D3,Table4[ฝ่าย],A11)</f>
        <v>0</v>
      </c>
      <c r="E11" s="194">
        <f>COUNTIFS(Table4[ประเภท],E3,Table4[ฝ่าย],A11)</f>
        <v>0</v>
      </c>
      <c r="F11" s="194">
        <f>COUNTIFS(Table4[ประเภท],F3,Table4[ฝ่าย],A11)</f>
        <v>0</v>
      </c>
      <c r="G11" s="194">
        <f>COUNTIFS(Table4[ประเภท],G3,Table4[ฝ่าย],A11)</f>
        <v>0</v>
      </c>
      <c r="H11" s="194">
        <f>COUNTIFS(Table4[ประเภท],H3,Table4[ฝ่าย],A11)</f>
        <v>0</v>
      </c>
      <c r="I11" s="194">
        <f>COUNTIFS(Table4[ประเภท],I3,Table4[ฝ่าย],A11)</f>
        <v>0</v>
      </c>
      <c r="J11" s="194">
        <f>COUNTIFS(Table4[ประเภท],J3,Table4[ฝ่าย],A11)</f>
        <v>0</v>
      </c>
      <c r="K11" s="194">
        <f>COUNTIFS(Table4[ประเภท],K3,Table4[ฝ่าย],A11)</f>
        <v>0</v>
      </c>
      <c r="L11" s="194">
        <f>COUNTIFS(Table4[ประเภท],L3,Table4[ฝ่าย],A11)</f>
        <v>0</v>
      </c>
    </row>
    <row r="12" spans="1:12" ht="25.05" customHeight="1">
      <c r="A12" s="376" t="s">
        <v>77</v>
      </c>
      <c r="B12" s="177">
        <f>COUNTIF(Table4[ฝ่าย],A12)</f>
        <v>0</v>
      </c>
      <c r="C12" s="179">
        <f>B12/B17</f>
        <v>0</v>
      </c>
      <c r="D12" s="378">
        <f>COUNTIFS(Table4[ประเภท],D3,Table4[ฝ่าย],A12)</f>
        <v>0</v>
      </c>
      <c r="E12" s="194">
        <f>COUNTIFS(Table4[ประเภท],E3,Table4[ฝ่าย],A12)</f>
        <v>0</v>
      </c>
      <c r="F12" s="194">
        <f>COUNTIFS(Table4[ประเภท],F3,Table4[ฝ่าย],A12)</f>
        <v>0</v>
      </c>
      <c r="G12" s="194">
        <f>COUNTIFS(Table4[ประเภท],G3,Table4[ฝ่าย],A12)</f>
        <v>0</v>
      </c>
      <c r="H12" s="194">
        <f>COUNTIFS(Table4[ประเภท],H3,Table4[ฝ่าย],A12)</f>
        <v>0</v>
      </c>
      <c r="I12" s="194">
        <f>COUNTIFS(Table4[ประเภท],I3,Table4[ฝ่าย],A12)</f>
        <v>0</v>
      </c>
      <c r="J12" s="194">
        <f>COUNTIFS(Table4[ประเภท],J3,Table4[ฝ่าย],A12)</f>
        <v>0</v>
      </c>
      <c r="K12" s="194">
        <f>COUNTIFS(Table4[ประเภท],K3,Table4[ฝ่าย],A12)</f>
        <v>0</v>
      </c>
      <c r="L12" s="194">
        <f>COUNTIFS(Table4[ประเภท],L3,Table4[ฝ่าย],A12)</f>
        <v>0</v>
      </c>
    </row>
    <row r="13" spans="1:12" ht="25.05" customHeight="1">
      <c r="A13" s="376" t="s">
        <v>78</v>
      </c>
      <c r="B13" s="177">
        <f>COUNTIF(Table4[ฝ่าย],A13)</f>
        <v>0</v>
      </c>
      <c r="C13" s="179">
        <f>B13/B17</f>
        <v>0</v>
      </c>
      <c r="D13" s="378">
        <f>COUNTIFS(Table4[ประเภท],D3,Table4[ฝ่าย],A13)</f>
        <v>0</v>
      </c>
      <c r="E13" s="194">
        <f>COUNTIFS(Table4[ประเภท],E3,Table4[ฝ่าย],A13)</f>
        <v>0</v>
      </c>
      <c r="F13" s="194">
        <f>COUNTIFS(Table4[ประเภท],F3,Table4[ฝ่าย],A13)</f>
        <v>0</v>
      </c>
      <c r="G13" s="194">
        <f>COUNTIFS(Table4[ประเภท],G3,Table4[ฝ่าย],A13)</f>
        <v>0</v>
      </c>
      <c r="H13" s="194">
        <f>COUNTIFS(Table4[ประเภท],H3,Table4[ฝ่าย],A13)</f>
        <v>0</v>
      </c>
      <c r="I13" s="194">
        <f>COUNTIFS(Table4[ประเภท],I3,Table4[ฝ่าย],A13)</f>
        <v>0</v>
      </c>
      <c r="J13" s="194">
        <f>COUNTIFS(Table4[ประเภท],J3,Table4[ฝ่าย],A13)</f>
        <v>0</v>
      </c>
      <c r="K13" s="194">
        <f>COUNTIFS(Table4[ประเภท],K3,Table4[ฝ่าย],A13)</f>
        <v>0</v>
      </c>
      <c r="L13" s="194">
        <f>COUNTIFS(Table4[ประเภท],L3,Table4[ฝ่าย],A13)</f>
        <v>0</v>
      </c>
    </row>
    <row r="14" spans="1:12" ht="25.05" customHeight="1">
      <c r="A14" s="376" t="s">
        <v>79</v>
      </c>
      <c r="B14" s="177">
        <f>COUNTIF(Table4[ฝ่าย],A14)</f>
        <v>0</v>
      </c>
      <c r="C14" s="179">
        <f>B14/B17</f>
        <v>0</v>
      </c>
      <c r="D14" s="378">
        <f>COUNTIFS(Table4[ประเภท],D3,Table4[ฝ่าย],A14)</f>
        <v>0</v>
      </c>
      <c r="E14" s="194">
        <f>COUNTIFS(Table4[ประเภท],E3,Table4[ฝ่าย],A14)</f>
        <v>0</v>
      </c>
      <c r="F14" s="194">
        <f>COUNTIFS(Table4[ประเภท],F3,Table4[ฝ่าย],A14)</f>
        <v>0</v>
      </c>
      <c r="G14" s="194">
        <f>COUNTIFS(Table4[ประเภท],G3,Table4[ฝ่าย],A14)</f>
        <v>0</v>
      </c>
      <c r="H14" s="194">
        <f>COUNTIFS(Table4[ประเภท],H3,Table4[ฝ่าย],A14)</f>
        <v>0</v>
      </c>
      <c r="I14" s="194">
        <f>COUNTIFS(Table4[ประเภท],I3,Table4[ฝ่าย],A14)</f>
        <v>0</v>
      </c>
      <c r="J14" s="194">
        <f>COUNTIFS(Table4[ประเภท],J3,Table4[ฝ่าย],A14)</f>
        <v>0</v>
      </c>
      <c r="K14" s="194">
        <f>COUNTIFS(Table4[ประเภท],K3,Table4[ฝ่าย],A14)</f>
        <v>0</v>
      </c>
      <c r="L14" s="194">
        <f>COUNTIFS(Table4[ประเภท],L3,Table4[ฝ่าย],A14)</f>
        <v>0</v>
      </c>
    </row>
    <row r="15" spans="1:12" ht="25.05" customHeight="1">
      <c r="A15" s="372" t="s">
        <v>80</v>
      </c>
      <c r="B15" s="373">
        <f>COUNTIF(Table4[ฝ่าย],A15)</f>
        <v>2</v>
      </c>
      <c r="C15" s="374">
        <f>B15/B17</f>
        <v>0.04</v>
      </c>
      <c r="D15" s="378">
        <f>COUNTIFS(Table4[ประเภท],D3,Table4[ฝ่าย],A15)</f>
        <v>0</v>
      </c>
      <c r="E15" s="194">
        <f>COUNTIFS(Table4[ประเภท],E3,Table4[ฝ่าย],A15)</f>
        <v>0</v>
      </c>
      <c r="F15" s="194">
        <f>COUNTIFS(Table4[ประเภท],F3,Table4[ฝ่าย],A15)</f>
        <v>0</v>
      </c>
      <c r="G15" s="375">
        <f>COUNTIFS(Table4[ประเภท],G3,Table4[ฝ่าย],A15)</f>
        <v>2</v>
      </c>
      <c r="H15" s="194">
        <f>COUNTIFS(Table4[ประเภท],H3,Table4[ฝ่าย],A15)</f>
        <v>0</v>
      </c>
      <c r="I15" s="194">
        <f>COUNTIFS(Table4[ประเภท],I3,Table4[ฝ่าย],A15)</f>
        <v>0</v>
      </c>
      <c r="J15" s="194">
        <f>COUNTIFS(Table4[ประเภท],J3,Table4[ฝ่าย],A15)</f>
        <v>0</v>
      </c>
      <c r="K15" s="194">
        <f>COUNTIFS(Table4[ประเภท],K3,Table4[ฝ่าย],A15)</f>
        <v>0</v>
      </c>
      <c r="L15" s="194">
        <f>COUNTIFS(Table4[ประเภท],L3,Table4[ฝ่าย],A15)</f>
        <v>0</v>
      </c>
    </row>
    <row r="16" spans="1:12" ht="25.05" customHeight="1">
      <c r="A16" s="376" t="s">
        <v>81</v>
      </c>
      <c r="B16" s="177">
        <f>COUNTIF(Table4[ฝ่าย],A16)</f>
        <v>0</v>
      </c>
      <c r="C16" s="179">
        <f>B16/B17</f>
        <v>0</v>
      </c>
      <c r="D16" s="378">
        <f>COUNTIFS(Table4[ประเภท],D3,Table4[ฝ่าย],A16)</f>
        <v>0</v>
      </c>
      <c r="E16" s="194">
        <f>COUNTIFS(Table4[ประเภท],E3,Table4[ฝ่าย],A16)</f>
        <v>0</v>
      </c>
      <c r="F16" s="194">
        <f>COUNTIFS(Table4[ประเภท],F3,Table4[ฝ่าย],A16)</f>
        <v>0</v>
      </c>
      <c r="G16" s="194">
        <f>COUNTIFS(Table4[ประเภท],G3,Table4[ฝ่าย],A16)</f>
        <v>0</v>
      </c>
      <c r="H16" s="194">
        <f>COUNTIFS(Table4[ประเภท],H3,Table4[ฝ่าย],A16)</f>
        <v>0</v>
      </c>
      <c r="I16" s="194">
        <f>COUNTIFS(Table4[ประเภท],I3,Table4[ฝ่าย],A16)</f>
        <v>0</v>
      </c>
      <c r="J16" s="194">
        <f>COUNTIFS(Table4[ประเภท],J3,Table4[ฝ่าย],A16)</f>
        <v>0</v>
      </c>
      <c r="K16" s="194">
        <f>COUNTIFS(Table4[ประเภท],K3,Table4[ฝ่าย],A16)</f>
        <v>0</v>
      </c>
      <c r="L16" s="194">
        <f>COUNTIFS(Table4[ประเภท],L3,Table4[ฝ่าย],A16)</f>
        <v>0</v>
      </c>
    </row>
    <row r="17" spans="1:13" ht="25.05" customHeight="1">
      <c r="A17" s="379" t="s">
        <v>82</v>
      </c>
      <c r="B17" s="181">
        <f t="shared" ref="B17:L17" si="0">SUM(B4:B16)</f>
        <v>50</v>
      </c>
      <c r="C17" s="182">
        <f t="shared" si="0"/>
        <v>1</v>
      </c>
      <c r="D17" s="181">
        <f t="shared" si="0"/>
        <v>10</v>
      </c>
      <c r="E17" s="181">
        <f t="shared" si="0"/>
        <v>4</v>
      </c>
      <c r="F17" s="181">
        <f t="shared" si="0"/>
        <v>1</v>
      </c>
      <c r="G17" s="181">
        <f t="shared" si="0"/>
        <v>4</v>
      </c>
      <c r="H17" s="181">
        <f t="shared" si="0"/>
        <v>2</v>
      </c>
      <c r="I17" s="181">
        <f t="shared" si="0"/>
        <v>1</v>
      </c>
      <c r="J17" s="181">
        <f t="shared" si="0"/>
        <v>4</v>
      </c>
      <c r="K17" s="380">
        <f t="shared" si="0"/>
        <v>22</v>
      </c>
      <c r="L17" s="181">
        <f t="shared" si="0"/>
        <v>2</v>
      </c>
    </row>
    <row r="18" spans="1:13" ht="25.05" customHeight="1">
      <c r="A18" s="381" t="s">
        <v>83</v>
      </c>
      <c r="B18" s="184">
        <f>COUNTIF(Table4[สถานะ],"เรียบร้อย")</f>
        <v>42</v>
      </c>
      <c r="C18" s="185"/>
      <c r="D18" s="76"/>
      <c r="E18" s="76"/>
      <c r="F18" s="76"/>
      <c r="G18" s="76"/>
      <c r="H18" s="76"/>
      <c r="I18" s="76"/>
      <c r="J18" s="76"/>
      <c r="K18" s="76"/>
      <c r="L18" s="76"/>
    </row>
    <row r="19" spans="1:13" ht="25.05" customHeight="1">
      <c r="A19" s="382" t="s">
        <v>84</v>
      </c>
      <c r="B19" s="187">
        <f>COUNTIF(Table4[สถานะ],"กำลังดำเนินการ")</f>
        <v>0</v>
      </c>
      <c r="C19" s="185"/>
      <c r="D19" s="76"/>
      <c r="E19" s="76"/>
      <c r="F19" s="76"/>
      <c r="G19" s="76"/>
      <c r="H19" s="76"/>
      <c r="I19" s="76"/>
      <c r="J19" s="76"/>
      <c r="K19" s="76"/>
      <c r="L19" s="76"/>
    </row>
    <row r="20" spans="1:13" ht="25.05" customHeight="1">
      <c r="A20" s="383" t="s">
        <v>3</v>
      </c>
      <c r="B20" s="189">
        <f>COUNTIF(Table4[สถานะ],"รอดำเนินการ")</f>
        <v>0</v>
      </c>
      <c r="C20" s="185"/>
      <c r="D20" s="76"/>
      <c r="E20" s="76"/>
      <c r="F20" s="76"/>
      <c r="G20" s="76"/>
      <c r="H20" s="76"/>
      <c r="I20" s="76"/>
      <c r="J20" s="76"/>
      <c r="K20" s="76"/>
      <c r="L20" s="76"/>
    </row>
    <row r="21" spans="1:13" ht="25.05" customHeight="1">
      <c r="A21" s="384" t="s">
        <v>85</v>
      </c>
      <c r="B21" s="191">
        <f>COUNTIF(Table4[สถานะ],"โอนย้าย")</f>
        <v>8</v>
      </c>
    </row>
    <row r="22" spans="1:13" ht="25.05" customHeight="1">
      <c r="A22" s="385"/>
      <c r="B22" s="386"/>
    </row>
    <row r="23" spans="1:13" s="371" customFormat="1" ht="48" customHeight="1">
      <c r="A23" s="528" t="s">
        <v>86</v>
      </c>
      <c r="B23" s="529"/>
      <c r="C23" s="529"/>
      <c r="D23" s="529"/>
      <c r="E23" s="529"/>
      <c r="F23" s="529"/>
      <c r="G23" s="529"/>
      <c r="H23" s="529"/>
      <c r="I23" s="529"/>
      <c r="J23" s="529"/>
      <c r="K23" s="529"/>
      <c r="L23" s="529"/>
      <c r="M23" s="529"/>
    </row>
    <row r="24" spans="1:13" ht="27.6" customHeight="1">
      <c r="A24" s="522" t="s">
        <v>56</v>
      </c>
      <c r="B24" s="522" t="s">
        <v>57</v>
      </c>
      <c r="C24" s="524" t="s">
        <v>58</v>
      </c>
      <c r="D24" s="526" t="s">
        <v>59</v>
      </c>
      <c r="E24" s="527"/>
      <c r="F24" s="527"/>
      <c r="G24" s="527"/>
      <c r="H24" s="527"/>
      <c r="I24" s="527"/>
      <c r="J24" s="527"/>
      <c r="K24" s="527"/>
      <c r="L24" s="527"/>
      <c r="M24" s="527"/>
    </row>
    <row r="25" spans="1:13" ht="22.2" customHeight="1">
      <c r="A25" s="523"/>
      <c r="B25" s="523"/>
      <c r="C25" s="525"/>
      <c r="D25" s="172" t="s">
        <v>60</v>
      </c>
      <c r="E25" s="172" t="s">
        <v>61</v>
      </c>
      <c r="F25" s="173" t="s">
        <v>62</v>
      </c>
      <c r="G25" s="173" t="s">
        <v>63</v>
      </c>
      <c r="H25" s="173" t="s">
        <v>64</v>
      </c>
      <c r="I25" s="173" t="s">
        <v>65</v>
      </c>
      <c r="J25" s="173" t="s">
        <v>66</v>
      </c>
      <c r="K25" s="173" t="s">
        <v>67</v>
      </c>
      <c r="L25" s="174" t="s">
        <v>68</v>
      </c>
      <c r="M25" s="175" t="s">
        <v>87</v>
      </c>
    </row>
    <row r="26" spans="1:13" ht="25.05" customHeight="1">
      <c r="A26" s="387" t="s">
        <v>69</v>
      </c>
      <c r="B26" s="373">
        <f>COUNTIF(Table2[ฝ่าย],A26)</f>
        <v>44</v>
      </c>
      <c r="C26" s="374">
        <f>B26/B39</f>
        <v>0.91666666666666663</v>
      </c>
      <c r="D26" s="375">
        <f>COUNTIFS(Table2[ประเภท],D25,Table2[ฝ่าย],A26)</f>
        <v>4</v>
      </c>
      <c r="E26" s="375">
        <f>COUNTIFS(Table2[ประเภท],E25,Table2[ฝ่าย],A26)</f>
        <v>11</v>
      </c>
      <c r="F26" s="375">
        <f>COUNTIFS(Table2[ประเภท],F25,Table2[ฝ่าย],A26)</f>
        <v>3</v>
      </c>
      <c r="G26" s="194">
        <f>COUNTIFS(Table2[ประเภท],G25,Table2[ฝ่าย],A26)</f>
        <v>0</v>
      </c>
      <c r="H26" s="194">
        <f>COUNTIFS(Table2[ประเภท],H25,Table2[ฝ่าย],A26)</f>
        <v>0</v>
      </c>
      <c r="I26" s="194">
        <f>COUNTIFS(Table2[ประเภท],I25,Table2[ฝ่าย],A26)</f>
        <v>0</v>
      </c>
      <c r="J26" s="375">
        <f>COUNTIFS(Table2[ประเภท],J25,Table2[ฝ่าย],A26)</f>
        <v>5</v>
      </c>
      <c r="K26" s="375">
        <f>COUNTIFS(Table2[ประเภท],K25,Table2[ฝ่าย],A26)</f>
        <v>7</v>
      </c>
      <c r="L26" s="194">
        <f>COUNTIFS(Table2[ประเภท],L25,Table2[ฝ่าย],A26)</f>
        <v>7</v>
      </c>
      <c r="M26" s="388">
        <f>COUNTIFS(Table2[ประเภท],M25,Table2[ฝ่าย],A26)</f>
        <v>7</v>
      </c>
    </row>
    <row r="27" spans="1:13" ht="25.05" customHeight="1">
      <c r="A27" s="176" t="s">
        <v>70</v>
      </c>
      <c r="B27" s="177">
        <f>COUNTIF(Table2[ฝ่าย],A27)</f>
        <v>0</v>
      </c>
      <c r="C27" s="179">
        <f>B27/B39</f>
        <v>0</v>
      </c>
      <c r="D27" s="378">
        <f>COUNTIFS(Table2[ประเภท],D25,Table2[ฝ่าย],A27)</f>
        <v>0</v>
      </c>
      <c r="E27" s="194">
        <f>COUNTIFS(Table2[ประเภท],E25,Table2[ฝ่าย],A27)</f>
        <v>0</v>
      </c>
      <c r="F27" s="194">
        <f>COUNTIFS(Table2[ประเภท],F25,Table2[ฝ่าย],A27)</f>
        <v>0</v>
      </c>
      <c r="G27" s="194">
        <f>COUNTIFS(Table2[ประเภท],G25,Table2[ฝ่าย],A27)</f>
        <v>0</v>
      </c>
      <c r="H27" s="194">
        <f>COUNTIFS(Table2[ประเภท],H25,Table2[ฝ่าย],A27)</f>
        <v>0</v>
      </c>
      <c r="I27" s="194">
        <f>COUNTIFS(Table2[ประเภท],I25,Table2[ฝ่าย],A27)</f>
        <v>0</v>
      </c>
      <c r="J27" s="194">
        <f>COUNTIFS(Table2[ประเภท],J25,Table2[ฝ่าย],A27)</f>
        <v>0</v>
      </c>
      <c r="K27" s="194">
        <f>COUNTIFS(Table2[ประเภท],K25,Table2[ฝ่าย],A27)</f>
        <v>0</v>
      </c>
      <c r="L27" s="194">
        <f>COUNTIFS(Table2[ประเภท],L25,Table2[ฝ่าย],A27)</f>
        <v>0</v>
      </c>
      <c r="M27" s="389">
        <f>COUNTIFS(Table2[ประเภท],M26,Table2[ฝ่าย],A27)</f>
        <v>0</v>
      </c>
    </row>
    <row r="28" spans="1:13" ht="25.05" customHeight="1">
      <c r="A28" s="176" t="s">
        <v>71</v>
      </c>
      <c r="B28" s="177">
        <f>COUNTIF(Table2[ฝ่าย],A28)</f>
        <v>4</v>
      </c>
      <c r="C28" s="179">
        <f>B28/B39</f>
        <v>8.3333333333333329E-2</v>
      </c>
      <c r="D28" s="378">
        <f>COUNTIFS(Table2[ประเภท],D25,Table2[ฝ่าย],A28)</f>
        <v>0</v>
      </c>
      <c r="E28" s="375">
        <f>COUNTIFS(Table2[ประเภท],E25,Table2[ฝ่าย],A28)</f>
        <v>1</v>
      </c>
      <c r="F28" s="194">
        <f>COUNTIFS(Table2[ประเภท],F25,Table2[ฝ่าย],A28)</f>
        <v>0</v>
      </c>
      <c r="G28" s="194">
        <f>COUNTIFS(Table2[ประเภท],G25,Table2[ฝ่าย],A28)</f>
        <v>0</v>
      </c>
      <c r="H28" s="194">
        <f>COUNTIFS(Table2[ประเภท],H25,Table2[ฝ่าย],A28)</f>
        <v>0</v>
      </c>
      <c r="I28" s="194">
        <f>COUNTIFS(Table2[ประเภท],I25,Table2[ฝ่าย],A28)</f>
        <v>0</v>
      </c>
      <c r="J28" s="194">
        <f>COUNTIFS(Table2[ประเภท],J25,Table2[ฝ่าย],A28)</f>
        <v>1</v>
      </c>
      <c r="K28" s="194">
        <f>COUNTIFS(Table2[ประเภท],K25,Table2[ฝ่าย],A28)</f>
        <v>0</v>
      </c>
      <c r="L28" s="194">
        <f>COUNTIFS(Table2[ประเภท],L25,Table2[ฝ่าย],A28)</f>
        <v>2</v>
      </c>
      <c r="M28" s="389">
        <f>COUNTIFS(Table2[ประเภท],M27,Table2[ฝ่าย],A28)</f>
        <v>0</v>
      </c>
    </row>
    <row r="29" spans="1:13" ht="25.05" customHeight="1">
      <c r="A29" s="176" t="s">
        <v>72</v>
      </c>
      <c r="B29" s="177">
        <f>COUNTIF(Table4[ฝ่าย],A29)</f>
        <v>0</v>
      </c>
      <c r="C29" s="377">
        <f>B29/B39</f>
        <v>0</v>
      </c>
      <c r="D29" s="378">
        <f>COUNTIFS(Table2[ประเภท],D25,Table2[ฝ่าย],A29)</f>
        <v>0</v>
      </c>
      <c r="E29" s="194">
        <f>COUNTIFS(Table2[ประเภท],E25,Table2[ฝ่าย],A29)</f>
        <v>0</v>
      </c>
      <c r="F29" s="194">
        <f>COUNTIFS(Table2[ประเภท],F25,Table2[ฝ่าย],A29)</f>
        <v>0</v>
      </c>
      <c r="G29" s="194">
        <f>COUNTIFS(Table2[ประเภท],G25,Table2[ฝ่าย],A29)</f>
        <v>0</v>
      </c>
      <c r="H29" s="194">
        <f>COUNTIFS(Table2[ประเภท],H25,Table2[ฝ่าย],A29)</f>
        <v>0</v>
      </c>
      <c r="I29" s="194">
        <f>COUNTIFS(Table2[ประเภท],I25,Table2[ฝ่าย],A29)</f>
        <v>0</v>
      </c>
      <c r="J29" s="194">
        <f>COUNTIFS(Table2[ประเภท],J25,Table2[ฝ่าย],A29)</f>
        <v>0</v>
      </c>
      <c r="K29" s="194">
        <f>COUNTIFS(Table2[ประเภท],K25,Table2[ฝ่าย],A29)</f>
        <v>0</v>
      </c>
      <c r="L29" s="194">
        <f>COUNTIFS(Table2[ประเภท],L25,Table2[ฝ่าย],A29)</f>
        <v>0</v>
      </c>
      <c r="M29" s="389">
        <f>COUNTIFS(Table2[ประเภท],M28,Table2[ฝ่าย],A29)</f>
        <v>0</v>
      </c>
    </row>
    <row r="30" spans="1:13" ht="25.05" customHeight="1">
      <c r="A30" s="176" t="s">
        <v>73</v>
      </c>
      <c r="B30" s="177">
        <f>COUNTIF(Table2[ฝ่าย],A30)</f>
        <v>0</v>
      </c>
      <c r="C30" s="179">
        <f>B30/B39</f>
        <v>0</v>
      </c>
      <c r="D30" s="378">
        <f>COUNTIFS(Table2[ประเภท],D25,Table2[ฝ่าย],A30)</f>
        <v>0</v>
      </c>
      <c r="E30" s="194">
        <f>COUNTIFS(Table2[ประเภท],E25,Table2[ฝ่าย],A30)</f>
        <v>0</v>
      </c>
      <c r="F30" s="194">
        <f>COUNTIFS(Table2[ประเภท],F25,Table2[ฝ่าย],A30)</f>
        <v>0</v>
      </c>
      <c r="G30" s="194">
        <f>COUNTIFS(Table2[ประเภท],G25,Table2[ฝ่าย],A30)</f>
        <v>0</v>
      </c>
      <c r="H30" s="194">
        <f>COUNTIFS(Table2[ประเภท],H25,Table2[ฝ่าย],A30)</f>
        <v>0</v>
      </c>
      <c r="I30" s="194">
        <f>COUNTIFS(Table2[ประเภท],I25,Table2[ฝ่าย],A30)</f>
        <v>0</v>
      </c>
      <c r="J30" s="194">
        <f>COUNTIFS(Table2[ประเภท],J25,Table2[ฝ่าย],A30)</f>
        <v>0</v>
      </c>
      <c r="K30" s="194">
        <f>COUNTIFS(Table2[ประเภท],K25,Table2[ฝ่าย],A30)</f>
        <v>0</v>
      </c>
      <c r="L30" s="194">
        <f>COUNTIFS(Table2[ประเภท],L25,Table2[ฝ่าย],A30)</f>
        <v>0</v>
      </c>
      <c r="M30" s="389">
        <f>COUNTIFS(Table2[ประเภท],M29,Table2[ฝ่าย],A30)</f>
        <v>0</v>
      </c>
    </row>
    <row r="31" spans="1:13" ht="25.05" customHeight="1">
      <c r="A31" s="176" t="s">
        <v>74</v>
      </c>
      <c r="B31" s="177">
        <f>COUNTIF(Table2[ฝ่าย],A31)</f>
        <v>0</v>
      </c>
      <c r="C31" s="179">
        <f>B31/B39</f>
        <v>0</v>
      </c>
      <c r="D31" s="378">
        <f>COUNTIFS(Table2[ประเภท],D25,Table2[ฝ่าย],A31)</f>
        <v>0</v>
      </c>
      <c r="E31" s="194">
        <f>COUNTIFS(Table2[ประเภท],E25,Table2[ฝ่าย],A31)</f>
        <v>0</v>
      </c>
      <c r="F31" s="194">
        <f>COUNTIFS(Table2[ประเภท],F25,Table2[ฝ่าย],A31)</f>
        <v>0</v>
      </c>
      <c r="G31" s="194">
        <f>COUNTIFS(Table2[ประเภท],G25,Table2[ฝ่าย],A31)</f>
        <v>0</v>
      </c>
      <c r="H31" s="194">
        <f>COUNTIFS(Table2[ประเภท],H25,Table2[ฝ่าย],A31)</f>
        <v>0</v>
      </c>
      <c r="I31" s="194">
        <f>COUNTIFS(Table2[ประเภท],I25,Table2[ฝ่าย],A31)</f>
        <v>0</v>
      </c>
      <c r="J31" s="194">
        <f>COUNTIFS(Table2[ประเภท],J25,Table2[ฝ่าย],A31)</f>
        <v>0</v>
      </c>
      <c r="K31" s="194">
        <f>COUNTIFS(Table2[ประเภท],K25,Table2[ฝ่าย],A31)</f>
        <v>0</v>
      </c>
      <c r="L31" s="194">
        <f>COUNTIFS(Table2[ประเภท],L25,Table2[ฝ่าย],A31)</f>
        <v>0</v>
      </c>
      <c r="M31" s="389">
        <f>COUNTIFS(Table2[ประเภท],M30,Table2[ฝ่าย],A31)</f>
        <v>0</v>
      </c>
    </row>
    <row r="32" spans="1:13" ht="25.05" customHeight="1">
      <c r="A32" s="176" t="s">
        <v>75</v>
      </c>
      <c r="B32" s="177">
        <f>COUNTIF(Table2[ฝ่าย],A32)</f>
        <v>0</v>
      </c>
      <c r="C32" s="179">
        <f>B32/B39</f>
        <v>0</v>
      </c>
      <c r="D32" s="378">
        <f>COUNTIFS(Table2[ประเภท],D25,Table2[ฝ่าย],A32)</f>
        <v>0</v>
      </c>
      <c r="E32" s="194">
        <f>COUNTIFS(Table2[ประเภท],E25,Table2[ฝ่าย],A32)</f>
        <v>0</v>
      </c>
      <c r="F32" s="194">
        <f>COUNTIFS(Table2[ประเภท],F25,Table2[ฝ่าย],A32)</f>
        <v>0</v>
      </c>
      <c r="G32" s="194">
        <f>COUNTIFS(Table2[ประเภท],G25,Table2[ฝ่าย],A32)</f>
        <v>0</v>
      </c>
      <c r="H32" s="194">
        <f>COUNTIFS(Table2[ประเภท],H25,Table2[ฝ่าย],A32)</f>
        <v>0</v>
      </c>
      <c r="I32" s="194">
        <f>COUNTIFS(Table2[ประเภท],I25,Table2[ฝ่าย],A32)</f>
        <v>0</v>
      </c>
      <c r="J32" s="194">
        <f>COUNTIFS(Table2[ประเภท],J25,Table2[ฝ่าย],A32)</f>
        <v>0</v>
      </c>
      <c r="K32" s="194">
        <f>COUNTIFS(Table2[ประเภท],K25,Table2[ฝ่าย],A32)</f>
        <v>0</v>
      </c>
      <c r="L32" s="194">
        <f>COUNTIFS(Table2[ประเภท],L25,Table2[ฝ่าย],A32)</f>
        <v>0</v>
      </c>
      <c r="M32" s="389">
        <f>COUNTIFS(Table2[ประเภท],M31,Table2[ฝ่าย],A32)</f>
        <v>0</v>
      </c>
    </row>
    <row r="33" spans="1:29" ht="25.05" customHeight="1">
      <c r="A33" s="176" t="s">
        <v>76</v>
      </c>
      <c r="B33" s="177">
        <f>COUNTIF(Table2[ฝ่าย],A33)</f>
        <v>0</v>
      </c>
      <c r="C33" s="179">
        <f>B33/B39</f>
        <v>0</v>
      </c>
      <c r="D33" s="194">
        <f>COUNTIFS(Table2[ประเภท],D25,Table2[ฝ่าย],A33)</f>
        <v>0</v>
      </c>
      <c r="E33" s="194">
        <f>COUNTIFS(Table2[ประเภท],E25,Table2[ฝ่าย],A33)</f>
        <v>0</v>
      </c>
      <c r="F33" s="194">
        <f>COUNTIFS(Table2[ประเภท],F25,Table2[ฝ่าย],A33)</f>
        <v>0</v>
      </c>
      <c r="G33" s="194">
        <f>COUNTIFS(Table2[ประเภท],G25,Table2[ฝ่าย],A33)</f>
        <v>0</v>
      </c>
      <c r="H33" s="194">
        <f>COUNTIFS(Table2[ประเภท],H25,Table2[ฝ่าย],A33)</f>
        <v>0</v>
      </c>
      <c r="I33" s="194">
        <f>COUNTIFS(Table2[ประเภท],I25,Table2[ฝ่าย],A33)</f>
        <v>0</v>
      </c>
      <c r="J33" s="194">
        <f>COUNTIFS(Table2[ประเภท],J25,Table2[ฝ่าย],A33)</f>
        <v>0</v>
      </c>
      <c r="K33" s="194">
        <f>COUNTIFS(Table2[ประเภท],K25,Table2[ฝ่าย],A33)</f>
        <v>0</v>
      </c>
      <c r="L33" s="194">
        <f>COUNTIFS(Table2[ประเภท],L25,Table2[ฝ่าย],A33)</f>
        <v>0</v>
      </c>
      <c r="M33" s="389">
        <f>COUNTIFS(Table2[ประเภท],M32,Table2[ฝ่าย],A33)</f>
        <v>0</v>
      </c>
    </row>
    <row r="34" spans="1:29" ht="25.05" customHeight="1">
      <c r="A34" s="176" t="s">
        <v>77</v>
      </c>
      <c r="B34" s="177">
        <f>COUNTIF(Table2[ฝ่าย],A34)</f>
        <v>0</v>
      </c>
      <c r="C34" s="179">
        <f>B34/B39</f>
        <v>0</v>
      </c>
      <c r="D34" s="194">
        <f>COUNTIFS(Table2[ประเภท],D25,Table2[ฝ่าย],A34)</f>
        <v>0</v>
      </c>
      <c r="E34" s="194">
        <f>COUNTIFS(Table2[ประเภท],E25,Table2[ฝ่าย],A34)</f>
        <v>0</v>
      </c>
      <c r="F34" s="194">
        <f>COUNTIFS(Table2[ประเภท],F25,Table2[ฝ่าย],A34)</f>
        <v>0</v>
      </c>
      <c r="G34" s="194">
        <f>COUNTIFS(Table2[ประเภท],G25,Table2[ฝ่าย],A34)</f>
        <v>0</v>
      </c>
      <c r="H34" s="194">
        <f>COUNTIFS(Table2[ประเภท],H25,Table2[ฝ่าย],A34)</f>
        <v>0</v>
      </c>
      <c r="I34" s="194">
        <f>COUNTIFS(Table2[ประเภท],I25,Table2[ฝ่าย],A34)</f>
        <v>0</v>
      </c>
      <c r="J34" s="194">
        <f>COUNTIFS(Table2[ประเภท],J25,Table2[ฝ่าย],A34)</f>
        <v>0</v>
      </c>
      <c r="K34" s="194">
        <f>COUNTIFS(Table2[ประเภท],K25,Table2[ฝ่าย],A34)</f>
        <v>0</v>
      </c>
      <c r="L34" s="194">
        <f>COUNTIFS(Table2[ประเภท],L25,Table2[ฝ่าย],A34)</f>
        <v>0</v>
      </c>
      <c r="M34" s="389">
        <f>COUNTIFS(Table2[ประเภท],M33,Table2[ฝ่าย],A34)</f>
        <v>0</v>
      </c>
    </row>
    <row r="35" spans="1:29" ht="25.05" customHeight="1">
      <c r="A35" s="176" t="s">
        <v>78</v>
      </c>
      <c r="B35" s="177">
        <f>COUNTIF(Table2[ฝ่าย],A35)</f>
        <v>0</v>
      </c>
      <c r="C35" s="179">
        <f>B35/B39</f>
        <v>0</v>
      </c>
      <c r="D35" s="194">
        <f>COUNTIFS(Table2[ประเภท],D25,Table2[ฝ่าย],A35)</f>
        <v>0</v>
      </c>
      <c r="E35" s="194">
        <f>COUNTIFS(Table2[ประเภท],E25,Table2[ฝ่าย],A35)</f>
        <v>0</v>
      </c>
      <c r="F35" s="194">
        <f>COUNTIFS(Table2[ประเภท],F25,Table2[ฝ่าย],A35)</f>
        <v>0</v>
      </c>
      <c r="G35" s="194">
        <f>COUNTIFS(Table2[ประเภท],G25,Table2[ฝ่าย],A35)</f>
        <v>0</v>
      </c>
      <c r="H35" s="194">
        <f>COUNTIFS(Table2[ประเภท],H25,Table2[ฝ่าย],A35)</f>
        <v>0</v>
      </c>
      <c r="I35" s="194">
        <f>COUNTIFS(Table2[ประเภท],I25,Table2[ฝ่าย],A35)</f>
        <v>0</v>
      </c>
      <c r="J35" s="194">
        <f>COUNTIFS(Table2[ประเภท],J25,Table2[ฝ่าย],A35)</f>
        <v>0</v>
      </c>
      <c r="K35" s="194">
        <f>COUNTIFS(Table2[ประเภท],K25,Table2[ฝ่าย],A35)</f>
        <v>0</v>
      </c>
      <c r="L35" s="194">
        <f>COUNTIFS(Table2[ประเภท],L25,Table2[ฝ่าย],A35)</f>
        <v>0</v>
      </c>
      <c r="M35" s="389">
        <f>COUNTIFS(Table2[ประเภท],M34,Table2[ฝ่าย],A35)</f>
        <v>0</v>
      </c>
    </row>
    <row r="36" spans="1:29" ht="25.05" customHeight="1">
      <c r="A36" s="176" t="s">
        <v>79</v>
      </c>
      <c r="B36" s="177">
        <f>COUNTIF(Table2[ฝ่าย],A36)</f>
        <v>0</v>
      </c>
      <c r="C36" s="179">
        <f>B36/B39</f>
        <v>0</v>
      </c>
      <c r="D36" s="194">
        <f>COUNTIFS(Table2[ประเภท],D25,Table2[ฝ่าย],A36)</f>
        <v>0</v>
      </c>
      <c r="E36" s="194">
        <f>COUNTIFS(Table2[ประเภท],E25,Table2[ฝ่าย],A36)</f>
        <v>0</v>
      </c>
      <c r="F36" s="194">
        <f>COUNTIFS(Table2[ประเภท],F25,Table2[ฝ่าย],A36)</f>
        <v>0</v>
      </c>
      <c r="G36" s="194">
        <f>COUNTIFS(Table2[ประเภท],G25,Table2[ฝ่าย],A36)</f>
        <v>0</v>
      </c>
      <c r="H36" s="194">
        <f>COUNTIFS(Table2[ประเภท],H25,Table2[ฝ่าย],A36)</f>
        <v>0</v>
      </c>
      <c r="I36" s="194">
        <f>COUNTIFS(Table2[ประเภท],I25,Table2[ฝ่าย],A36)</f>
        <v>0</v>
      </c>
      <c r="J36" s="194">
        <f>COUNTIFS(Table2[ประเภท],J25,Table2[ฝ่าย],A36)</f>
        <v>0</v>
      </c>
      <c r="K36" s="194">
        <f>COUNTIFS(Table2[ประเภท],K25,Table2[ฝ่าย],A36)</f>
        <v>0</v>
      </c>
      <c r="L36" s="194">
        <f>COUNTIFS(Table2[ประเภท],L25,Table2[ฝ่าย],A36)</f>
        <v>0</v>
      </c>
      <c r="M36" s="389">
        <f>COUNTIFS(Table2[ประเภท],M35,Table2[ฝ่าย],A36)</f>
        <v>0</v>
      </c>
    </row>
    <row r="37" spans="1:29" ht="25.05" customHeight="1">
      <c r="A37" s="176" t="s">
        <v>80</v>
      </c>
      <c r="B37" s="177">
        <f>COUNTIF(Table2[ฝ่าย],A37)</f>
        <v>0</v>
      </c>
      <c r="C37" s="179">
        <f>B37/B39</f>
        <v>0</v>
      </c>
      <c r="D37" s="194">
        <f>COUNTIFS(Table2[ประเภท],D25,Table2[ฝ่าย],A37)</f>
        <v>0</v>
      </c>
      <c r="E37" s="194">
        <f>COUNTIFS(Table2[ประเภท],E25,Table2[ฝ่าย],A37)</f>
        <v>0</v>
      </c>
      <c r="F37" s="194">
        <f>COUNTIFS(Table2[ประเภท],F25,Table2[ฝ่าย],A37)</f>
        <v>0</v>
      </c>
      <c r="G37" s="194">
        <f>COUNTIFS(Table2[ประเภท],G25,Table2[ฝ่าย],A37)</f>
        <v>0</v>
      </c>
      <c r="H37" s="194">
        <f>COUNTIFS(Table2[ประเภท],H25,Table2[ฝ่าย],A37)</f>
        <v>0</v>
      </c>
      <c r="I37" s="194">
        <f>COUNTIFS(Table2[ประเภท],I25,Table2[ฝ่าย],A37)</f>
        <v>0</v>
      </c>
      <c r="J37" s="194">
        <f>COUNTIFS(Table2[ประเภท],J25,Table2[ฝ่าย],A37)</f>
        <v>0</v>
      </c>
      <c r="K37" s="194">
        <f>COUNTIFS(Table2[ประเภท],K25,Table2[ฝ่าย],A37)</f>
        <v>0</v>
      </c>
      <c r="L37" s="194">
        <f>COUNTIFS(Table2[ประเภท],L25,Table2[ฝ่าย],A37)</f>
        <v>0</v>
      </c>
      <c r="M37" s="389">
        <f>COUNTIFS(Table2[ประเภท],M36,Table2[ฝ่าย],A37)</f>
        <v>0</v>
      </c>
    </row>
    <row r="38" spans="1:29" ht="25.05" customHeight="1">
      <c r="A38" s="176" t="s">
        <v>81</v>
      </c>
      <c r="B38" s="177">
        <f>COUNTIF(Table2[ฝ่าย],A38)</f>
        <v>0</v>
      </c>
      <c r="C38" s="179">
        <f>B38/B39</f>
        <v>0</v>
      </c>
      <c r="D38" s="194">
        <f>COUNTIFS(Table2[ประเภท],D25,Table2[ฝ่าย],A38)</f>
        <v>0</v>
      </c>
      <c r="E38" s="194">
        <f>COUNTIFS(Table2[ประเภท],E25,Table2[ฝ่าย],A38)</f>
        <v>0</v>
      </c>
      <c r="F38" s="194">
        <f>COUNTIFS(Table2[ประเภท],F25,Table2[ฝ่าย],A38)</f>
        <v>0</v>
      </c>
      <c r="G38" s="194">
        <f>COUNTIFS(Table2[ประเภท],G25,Table2[ฝ่าย],A38)</f>
        <v>0</v>
      </c>
      <c r="H38" s="194">
        <f>COUNTIFS(Table2[ประเภท],H25,Table2[ฝ่าย],A38)</f>
        <v>0</v>
      </c>
      <c r="I38" s="194">
        <f>COUNTIFS(Table2[ประเภท],I25,Table2[ฝ่าย],A38)</f>
        <v>0</v>
      </c>
      <c r="J38" s="194">
        <f>COUNTIFS(Table2[ประเภท],J25,Table2[ฝ่าย],A38)</f>
        <v>0</v>
      </c>
      <c r="K38" s="194">
        <f>COUNTIFS(Table2[ประเภท],K25,Table2[ฝ่าย],A38)</f>
        <v>0</v>
      </c>
      <c r="L38" s="194">
        <f>COUNTIFS(Table2[ประเภท],L25,Table2[ฝ่าย],A38)</f>
        <v>0</v>
      </c>
      <c r="M38" s="389">
        <f>COUNTIFS(Table2[ประเภท],M37,Table2[ฝ่าย],A38)</f>
        <v>0</v>
      </c>
    </row>
    <row r="39" spans="1:29" ht="25.05" customHeight="1">
      <c r="A39" s="180" t="s">
        <v>82</v>
      </c>
      <c r="B39" s="181">
        <f t="shared" ref="B39:M39" si="1">SUM(B26:B38)</f>
        <v>48</v>
      </c>
      <c r="C39" s="182">
        <f t="shared" si="1"/>
        <v>1</v>
      </c>
      <c r="D39" s="181">
        <f t="shared" si="1"/>
        <v>4</v>
      </c>
      <c r="E39" s="181">
        <f t="shared" si="1"/>
        <v>12</v>
      </c>
      <c r="F39" s="181">
        <f t="shared" si="1"/>
        <v>3</v>
      </c>
      <c r="G39" s="181">
        <f t="shared" si="1"/>
        <v>0</v>
      </c>
      <c r="H39" s="181">
        <f t="shared" si="1"/>
        <v>0</v>
      </c>
      <c r="I39" s="181">
        <f t="shared" si="1"/>
        <v>0</v>
      </c>
      <c r="J39" s="181">
        <f t="shared" si="1"/>
        <v>6</v>
      </c>
      <c r="K39" s="181">
        <f t="shared" si="1"/>
        <v>7</v>
      </c>
      <c r="L39" s="181">
        <f t="shared" si="1"/>
        <v>9</v>
      </c>
      <c r="M39" s="390">
        <f t="shared" si="1"/>
        <v>7</v>
      </c>
      <c r="O39" s="478">
        <f>SUM(D39:M39)</f>
        <v>48</v>
      </c>
    </row>
    <row r="40" spans="1:29" ht="25.05" customHeight="1">
      <c r="A40" s="183" t="s">
        <v>83</v>
      </c>
      <c r="B40" s="184">
        <f>COUNTIF(Table2[สถานะ],"เรียบร้อย")</f>
        <v>38</v>
      </c>
      <c r="C40" s="185"/>
      <c r="D40" s="76"/>
      <c r="E40" s="76"/>
      <c r="F40" s="76"/>
      <c r="G40" s="76"/>
      <c r="H40" s="76"/>
      <c r="I40" s="76"/>
      <c r="J40" s="76"/>
      <c r="K40" s="76"/>
      <c r="L40" s="76"/>
    </row>
    <row r="41" spans="1:29" ht="25.05" customHeight="1">
      <c r="A41" s="186" t="s">
        <v>84</v>
      </c>
      <c r="B41" s="187">
        <f>COUNTIF(Table2[สถานะ],"กำลังดำเนินการ")</f>
        <v>0</v>
      </c>
      <c r="C41" s="185"/>
      <c r="D41" s="76"/>
      <c r="E41" s="76"/>
      <c r="F41" s="76"/>
      <c r="G41" s="76"/>
      <c r="H41" s="76"/>
      <c r="I41" s="76"/>
      <c r="J41" s="76"/>
      <c r="K41" s="76"/>
      <c r="L41" s="76"/>
    </row>
    <row r="42" spans="1:29" ht="25.05" customHeight="1">
      <c r="A42" s="188" t="s">
        <v>3</v>
      </c>
      <c r="B42" s="189">
        <f>COUNTIF(Table2[สถานะ],"รอดำเนินการ")</f>
        <v>0</v>
      </c>
      <c r="C42" s="185"/>
      <c r="D42" s="76"/>
      <c r="E42" s="76"/>
      <c r="F42" s="76"/>
      <c r="G42" s="76"/>
      <c r="H42" s="76"/>
      <c r="I42" s="76"/>
      <c r="J42" s="76"/>
      <c r="K42" s="76"/>
      <c r="L42" s="76"/>
    </row>
    <row r="43" spans="1:29" ht="25.05" customHeight="1">
      <c r="A43" s="190" t="s">
        <v>85</v>
      </c>
      <c r="B43" s="191">
        <f>COUNTIF(Table2[สถานะ],"โอนย้าย")</f>
        <v>10</v>
      </c>
    </row>
    <row r="46" spans="1:29" ht="13.2" customHeight="1"/>
    <row r="47" spans="1:29" ht="48" customHeight="1" thickBot="1">
      <c r="A47" s="528" t="s">
        <v>88</v>
      </c>
      <c r="B47" s="529"/>
      <c r="C47" s="529"/>
      <c r="D47" s="529"/>
      <c r="E47" s="529"/>
      <c r="F47" s="529"/>
      <c r="G47" s="529"/>
      <c r="H47" s="529"/>
      <c r="I47" s="529"/>
      <c r="J47" s="529"/>
      <c r="K47" s="529"/>
      <c r="L47" s="529"/>
      <c r="M47" s="529"/>
      <c r="N47" s="529"/>
      <c r="O47" s="529"/>
      <c r="R47" s="532"/>
      <c r="S47" s="483"/>
      <c r="T47" s="483"/>
      <c r="U47" s="483"/>
      <c r="V47" s="483"/>
      <c r="W47" s="483"/>
      <c r="X47" s="483"/>
      <c r="Y47" s="483"/>
      <c r="Z47" s="483"/>
      <c r="AA47" s="483"/>
      <c r="AB47" s="483"/>
      <c r="AC47" s="483"/>
    </row>
    <row r="48" spans="1:29" ht="27.6" customHeight="1" thickBot="1">
      <c r="A48" s="522" t="s">
        <v>56</v>
      </c>
      <c r="B48" s="522" t="s">
        <v>57</v>
      </c>
      <c r="C48" s="524" t="s">
        <v>58</v>
      </c>
      <c r="D48" s="526" t="s">
        <v>59</v>
      </c>
      <c r="E48" s="527"/>
      <c r="F48" s="527"/>
      <c r="G48" s="527"/>
      <c r="H48" s="527"/>
      <c r="I48" s="527"/>
      <c r="J48" s="527"/>
      <c r="K48" s="527"/>
      <c r="L48" s="527"/>
      <c r="M48" s="527"/>
      <c r="N48" s="527"/>
      <c r="O48" s="527"/>
      <c r="P48" s="521"/>
      <c r="Q48" s="521"/>
      <c r="R48" s="530"/>
    </row>
    <row r="49" spans="1:31" ht="27.6" customHeight="1" thickBot="1">
      <c r="A49" s="523"/>
      <c r="B49" s="523"/>
      <c r="C49" s="525"/>
      <c r="D49" s="172" t="s">
        <v>60</v>
      </c>
      <c r="E49" s="172" t="s">
        <v>61</v>
      </c>
      <c r="F49" s="173" t="s">
        <v>62</v>
      </c>
      <c r="G49" s="173" t="s">
        <v>63</v>
      </c>
      <c r="H49" s="173" t="s">
        <v>64</v>
      </c>
      <c r="I49" s="173" t="s">
        <v>65</v>
      </c>
      <c r="J49" s="173" t="s">
        <v>66</v>
      </c>
      <c r="K49" s="173" t="s">
        <v>67</v>
      </c>
      <c r="L49" s="174" t="s">
        <v>68</v>
      </c>
      <c r="M49" s="175" t="s">
        <v>87</v>
      </c>
      <c r="N49" s="422" t="s">
        <v>780</v>
      </c>
      <c r="O49" s="455" t="s">
        <v>645</v>
      </c>
      <c r="P49" s="483"/>
      <c r="Q49" s="483"/>
      <c r="R49" s="531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419"/>
      <c r="AE49" s="391"/>
    </row>
    <row r="50" spans="1:31" ht="25.05" customHeight="1" thickBot="1">
      <c r="A50" s="387" t="s">
        <v>69</v>
      </c>
      <c r="B50" s="373">
        <f>COUNTIF(Table16[ฝ่าย],A50)</f>
        <v>64</v>
      </c>
      <c r="C50" s="374">
        <f>B50/B64</f>
        <v>0.79012345679012341</v>
      </c>
      <c r="D50" s="421">
        <f>IF(COUNTIFS(Table16[ประเภท],D49,Table16[ฝ่าย],A50)=0,"-",COUNTIFS(Table16[ประเภท],D49,Table16[ฝ่าย],A50))</f>
        <v>10</v>
      </c>
      <c r="E50" s="421">
        <f>IF(COUNTIFS(Table16[ประเภท],E49,Table16[ฝ่าย],A50)=0,"-",COUNTIFS(Table16[ประเภท],E49,Table16[ฝ่าย],A50))</f>
        <v>7</v>
      </c>
      <c r="F50" s="194">
        <f>IF(COUNTIFS(Table16[ประเภท],F49,Table16[ฝ่าย],A50)=0,"-",COUNTIFS(Table16[ประเภท],F49,Table16[ฝ่าย],A50))</f>
        <v>6</v>
      </c>
      <c r="G50" s="194">
        <f>IF(COUNTIFS(Table16[ประเภท],G49,Table16[ฝ่าย],A50)=0,"-",COUNTIFS(Table16[ประเภท],G49,Table16[ฝ่าย],A50))</f>
        <v>1</v>
      </c>
      <c r="H50" s="421">
        <f>IF(COUNTIFS(Table16[ประเภท],H49,Table16[ฝ่าย],A50)=0,"-",COUNTIFS(Table16[ประเภท],H49,Table16[ฝ่าย],A50))</f>
        <v>5</v>
      </c>
      <c r="I50" s="421">
        <f>IF(COUNTIFS(Table16[ประเภท],I49,Table16[ฝ่าย],A50)=0,"-",COUNTIFS(Table16[ประเภท],I49,Table16[ฝ่าย],A50))</f>
        <v>1</v>
      </c>
      <c r="J50" s="421">
        <f>IF(COUNTIFS(Table16[ประเภท],J49,Table16[ฝ่าย],A50)=0,"-",COUNTIFS(Table16[ประเภท],J49,Table16[ฝ่าย],A50))</f>
        <v>6</v>
      </c>
      <c r="K50" s="421">
        <f>IF(COUNTIFS(Table16[ประเภท],K49,Table16[ฝ่าย],A50)=0,"-",COUNTIFS(Table16[ประเภท],K49,Table16[ฝ่าย],A50))</f>
        <v>16</v>
      </c>
      <c r="L50" s="421">
        <f>IF(COUNTIFS(Table16[ประเภท],L49,Table16[ฝ่าย],A50)=0,"-",COUNTIFS(Table16[ประเภท],L49,Table16[ฝ่าย],A50))</f>
        <v>1</v>
      </c>
      <c r="M50" s="389">
        <f>IF(COUNTIFS(Table16[ประเภท],M49,Table16[ฝ่าย],A50)=0,"-",COUNTIFS(Table16[ประเภท],M49,Table16[ฝ่าย],A50))</f>
        <v>2</v>
      </c>
      <c r="N50" s="423">
        <f>IF(COUNTIFS(Table16[ประเภท],N49,Table16[ฝ่าย],A50)=0,"-",COUNTIFS(Table16[ประเภท],N49,Table16[ฝ่าย],A50))</f>
        <v>2</v>
      </c>
      <c r="O50" s="456">
        <f>IF(COUNTIFS(Table16[ประเภท],O49,Table16[ฝ่าย],A50)=0,"-",COUNTIFS(Table16[ประเภท],O49,Table16[ฝ่าย],A50))</f>
        <v>4</v>
      </c>
      <c r="P50" s="520"/>
      <c r="Q50" s="420"/>
      <c r="R50" s="76"/>
    </row>
    <row r="51" spans="1:31" ht="25.05" customHeight="1" thickBot="1">
      <c r="A51" s="176" t="s">
        <v>70</v>
      </c>
      <c r="B51" s="177">
        <f>COUNTIF(Table16[ฝ่าย],A51)</f>
        <v>4</v>
      </c>
      <c r="C51" s="179">
        <f>B51/B64</f>
        <v>4.9382716049382713E-2</v>
      </c>
      <c r="D51" s="421" t="str">
        <f>IF(COUNTIFS(Table16[ประเภท],D49,Table16[ฝ่าย],A51)=0,"-",COUNTIFS(Table16[ประเภท],D49,Table16[ฝ่าย],A51))</f>
        <v>-</v>
      </c>
      <c r="E51" s="421">
        <f>IF(COUNTIFS(Table16[ประเภท],E49,Table16[ฝ่าย],A51)=0,"-",COUNTIFS(Table16[ประเภท],E49,Table16[ฝ่าย],A51))</f>
        <v>2</v>
      </c>
      <c r="F51" s="421" t="str">
        <f>IF(COUNTIFS(Table16[ประเภท],F49,Table16[ฝ่าย],A51)=0,"-",COUNTIFS(Table16[ประเภท],F49,Table16[ฝ่าย],A51))</f>
        <v>-</v>
      </c>
      <c r="G51" s="421" t="str">
        <f>IF(COUNTIFS(Table16[ประเภท],G49,Table16[ฝ่าย],A51)=0,"-",COUNTIFS(Table16[ประเภท],G49,Table16[ฝ่าย],A51))</f>
        <v>-</v>
      </c>
      <c r="H51" s="421" t="str">
        <f>IF(COUNTIFS(Table16[ประเภท],H49,Table16[ฝ่าย],A51)=0,"-",COUNTIFS(Table16[ประเภท],H49,Table16[ฝ่าย],A51))</f>
        <v>-</v>
      </c>
      <c r="I51" s="421">
        <f>IF(COUNTIFS(Table16[ประเภท],I49,Table16[ฝ่าย],A51)=0,"-",COUNTIFS(Table16[ประเภท],I49,Table16[ฝ่าย],A51))</f>
        <v>1</v>
      </c>
      <c r="J51" s="421" t="str">
        <f>IF(COUNTIFS(Table16[ประเภท],J49,Table16[ฝ่าย],A51)=0,"-",COUNTIFS(Table16[ประเภท],J49,Table16[ฝ่าย],A51))</f>
        <v>-</v>
      </c>
      <c r="K51" s="421">
        <f>IF(COUNTIFS(Table16[ประเภท],K49,Table16[ฝ่าย],A51)=0,"-",COUNTIFS(Table16[ประเภท],K49,Table16[ฝ่าย],A51))</f>
        <v>1</v>
      </c>
      <c r="L51" s="421" t="str">
        <f>IF(COUNTIFS(Table16[ประเภท],L49,Table16[ฝ่าย],A51)=0,"-",COUNTIFS(Table16[ประเภท],L49,Table16[ฝ่าย],A51))</f>
        <v>-</v>
      </c>
      <c r="M51" s="389" t="str">
        <f>IF(COUNTIFS(Table16[ประเภท],M49,Table16[ฝ่าย],A51)=0,"-",COUNTIFS(Table16[ประเภท],M49,Table16[ฝ่าย],A51))</f>
        <v>-</v>
      </c>
      <c r="O51" s="456" t="str">
        <f>IF(COUNTIFS(Table16[ประเภท],O49,Table16[ฝ่าย],A51)=0,"-",COUNTIFS(Table16[ประเภท],O49,Table16[ฝ่าย],A51))</f>
        <v>-</v>
      </c>
      <c r="P51" s="520"/>
      <c r="Q51" s="420"/>
      <c r="R51" s="76"/>
    </row>
    <row r="52" spans="1:31" ht="25.05" customHeight="1" thickBot="1">
      <c r="A52" s="176" t="s">
        <v>71</v>
      </c>
      <c r="B52" s="177">
        <f>COUNTIF(Table16[ฝ่าย],A52)</f>
        <v>2</v>
      </c>
      <c r="C52" s="179">
        <f>B52/B64</f>
        <v>2.4691358024691357E-2</v>
      </c>
      <c r="D52" s="421" t="str">
        <f>IF(COUNTIFS(Table16[ประเภท],D49,Table16[ฝ่าย],A52)=0,"-",COUNTIFS(Table16[ประเภท],D49,Table16[ฝ่าย],A52))</f>
        <v>-</v>
      </c>
      <c r="E52" s="421">
        <f>IF(COUNTIFS(Table16[ประเภท],E49,Table16[ฝ่าย],A52)=0,"-",COUNTIFS(Table16[ประเภท],E49,Table16[ฝ่าย],A52))</f>
        <v>1</v>
      </c>
      <c r="F52" s="421" t="str">
        <f>IF(COUNTIFS(Table16[ประเภท],F49,Table16[ฝ่าย],A52)=0,"-",COUNTIFS(Table16[ประเภท],F49,Table16[ฝ่าย],A52))</f>
        <v>-</v>
      </c>
      <c r="G52" s="421" t="str">
        <f>IF(COUNTIFS(Table16[ประเภท],G49,Table16[ฝ่าย],A52)=0,"-",COUNTIFS(Table16[ประเภท],G49,Table16[ฝ่าย],A52))</f>
        <v>-</v>
      </c>
      <c r="H52" s="421" t="str">
        <f>IF(COUNTIFS(Table16[ประเภท],H49,Table16[ฝ่าย],A52)=0,"-",COUNTIFS(Table16[ประเภท],H49,Table16[ฝ่าย],A52))</f>
        <v>-</v>
      </c>
      <c r="I52" s="421" t="str">
        <f>IF(COUNTIFS(Table16[ประเภท],I49,Table16[ฝ่าย],A52)=0,"-",COUNTIFS(Table16[ประเภท],I49,Table16[ฝ่าย],A52))</f>
        <v>-</v>
      </c>
      <c r="J52" s="421" t="str">
        <f>IF(COUNTIFS(Table16[ประเภท],J49,Table16[ฝ่าย],A52)=0,"-",COUNTIFS(Table16[ประเภท],J49,Table16[ฝ่าย],A52))</f>
        <v>-</v>
      </c>
      <c r="K52" s="421" t="str">
        <f>IF(COUNTIFS(Table16[ประเภท],K49,Table16[ฝ่าย],A52)=0,"-",COUNTIFS(Table16[ประเภท],K49,Table16[ฝ่าย],A52))</f>
        <v>-</v>
      </c>
      <c r="L52" s="421">
        <f>IF(COUNTIFS(Table16[ประเภท],L49,Table16[ฝ่าย],A52)=0,"-",COUNTIFS(Table16[ประเภท],L49,Table16[ฝ่าย],A52))</f>
        <v>1</v>
      </c>
      <c r="M52" s="389" t="str">
        <f>IF(COUNTIFS(Table16[ประเภท],M49,Table16[ฝ่าย],A52)=0,"-",COUNTIFS(Table16[ประเภท],M49,Table16[ฝ่าย],A52))</f>
        <v>-</v>
      </c>
      <c r="O52" s="456" t="str">
        <f>IF(COUNTIFS(Table16[ประเภท],O49,Table16[ฝ่าย],A52)=0,"-",COUNTIFS(Table16[ประเภท],O49,Table16[ฝ่าย],A52))</f>
        <v>-</v>
      </c>
      <c r="P52" s="520"/>
      <c r="Q52" s="420"/>
      <c r="R52" s="76"/>
    </row>
    <row r="53" spans="1:31" ht="25.05" customHeight="1" thickBot="1">
      <c r="A53" s="176" t="s">
        <v>72</v>
      </c>
      <c r="B53" s="177">
        <f>COUNTIF(Table16[ฝ่าย],A53)</f>
        <v>0</v>
      </c>
      <c r="C53" s="377">
        <f>B53/B64</f>
        <v>0</v>
      </c>
      <c r="D53" s="421" t="str">
        <f>IF(COUNTIFS(Table16[ประเภท],D49,Table16[ฝ่าย],A53)=0,"-",COUNTIFS(Table16[ประเภท],D49,Table16[ฝ่าย],A53))</f>
        <v>-</v>
      </c>
      <c r="E53" s="421" t="str">
        <f>IF(COUNTIFS(Table16[ประเภท],E49,Table16[ฝ่าย],A53)=0,"-",COUNTIFS(Table16[ประเภท],E49,Table16[ฝ่าย],A53))</f>
        <v>-</v>
      </c>
      <c r="F53" s="421" t="str">
        <f>IF(COUNTIFS(Table16[ประเภท],F49,Table16[ฝ่าย],A53)=0,"-",COUNTIFS(Table16[ประเภท],F49,Table16[ฝ่าย],A53))</f>
        <v>-</v>
      </c>
      <c r="G53" s="421" t="str">
        <f>IF(COUNTIFS(Table16[ประเภท],G49,Table16[ฝ่าย],A53)=0,"-",COUNTIFS(Table16[ประเภท],G49,Table16[ฝ่าย],A53))</f>
        <v>-</v>
      </c>
      <c r="H53" s="421" t="str">
        <f>IF(COUNTIFS(Table16[ประเภท],H49,Table16[ฝ่าย],A53)=0,"-",COUNTIFS(Table16[ประเภท],H49,Table16[ฝ่าย],A53))</f>
        <v>-</v>
      </c>
      <c r="I53" s="421" t="str">
        <f>IF(COUNTIFS(Table16[ประเภท],I49,Table16[ฝ่าย],A53)=0,"-",COUNTIFS(Table16[ประเภท],I49,Table16[ฝ่าย],A53))</f>
        <v>-</v>
      </c>
      <c r="J53" s="421" t="str">
        <f>IF(COUNTIFS(Table16[ประเภท],J49,Table16[ฝ่าย],A53)=0,"-",COUNTIFS(Table16[ประเภท],J49,Table16[ฝ่าย],A53))</f>
        <v>-</v>
      </c>
      <c r="K53" s="421" t="str">
        <f>IF(COUNTIFS(Table16[ประเภท],K49,Table16[ฝ่าย],A53)=0,"-",COUNTIFS(Table16[ประเภท],K49,Table16[ฝ่าย],A53))</f>
        <v>-</v>
      </c>
      <c r="L53" s="421" t="str">
        <f>IF(COUNTIFS(Table16[ประเภท],L49,Table16[ฝ่าย],A53)=0,"-",COUNTIFS(Table16[ประเภท],L49,Table16[ฝ่าย],A53))</f>
        <v>-</v>
      </c>
      <c r="M53" s="389" t="str">
        <f>IF(COUNTIFS(Table16[ประเภท],M49,Table16[ฝ่าย],A53)=0,"-",COUNTIFS(Table16[ประเภท],M49,Table16[ฝ่าย],A53))</f>
        <v>-</v>
      </c>
      <c r="O53" s="456" t="str">
        <f>IF(COUNTIFS(Table16[ประเภท],O49,Table16[ฝ่าย],A53)=0,"-",COUNTIFS(Table16[ประเภท],O49,Table16[ฝ่าย],A53))</f>
        <v>-</v>
      </c>
      <c r="P53" s="520"/>
      <c r="Q53" s="420"/>
      <c r="R53" s="76"/>
    </row>
    <row r="54" spans="1:31" ht="25.05" customHeight="1" thickBot="1">
      <c r="A54" s="176" t="s">
        <v>73</v>
      </c>
      <c r="B54" s="177">
        <f>COUNTIF(Table16[ฝ่าย],A54)</f>
        <v>0</v>
      </c>
      <c r="C54" s="179">
        <f>B54/B64</f>
        <v>0</v>
      </c>
      <c r="D54" s="421" t="str">
        <f>IF(COUNTIFS(Table16[ประเภท],D49,Table16[ฝ่าย],A54)=0,"-",COUNTIFS(Table16[ประเภท],D49,Table16[ฝ่าย],A54))</f>
        <v>-</v>
      </c>
      <c r="E54" s="421" t="str">
        <f>IF(COUNTIFS(Table16[ประเภท],E49,Table16[ฝ่าย],A54)=0,"-",COUNTIFS(Table16[ประเภท],E49,Table16[ฝ่าย],A54))</f>
        <v>-</v>
      </c>
      <c r="F54" s="421" t="str">
        <f>IF(COUNTIFS(Table16[ประเภท],F49,Table16[ฝ่าย],A54)=0,"-",COUNTIFS(Table16[ประเภท],F49,Table16[ฝ่าย],A54))</f>
        <v>-</v>
      </c>
      <c r="G54" s="421" t="str">
        <f>IF(COUNTIFS(Table16[ประเภท],G49,Table16[ฝ่าย],A54)=0,"-",COUNTIFS(Table16[ประเภท],G49,Table16[ฝ่าย],A54))</f>
        <v>-</v>
      </c>
      <c r="H54" s="421" t="str">
        <f>IF(COUNTIFS(Table16[ประเภท],H49,Table16[ฝ่าย],A54)=0,"-",COUNTIFS(Table16[ประเภท],H49,Table16[ฝ่าย],A54))</f>
        <v>-</v>
      </c>
      <c r="I54" s="421" t="str">
        <f>IF(COUNTIFS(Table16[ประเภท],I49,Table16[ฝ่าย],A54)=0,"-",COUNTIFS(Table16[ประเภท],I49,Table16[ฝ่าย],A54))</f>
        <v>-</v>
      </c>
      <c r="J54" s="421" t="str">
        <f>IF(COUNTIFS(Table16[ประเภท],J49,Table16[ฝ่าย],A54)=0,"-",COUNTIFS(Table16[ประเภท],J49,Table16[ฝ่าย],A54))</f>
        <v>-</v>
      </c>
      <c r="K54" s="421" t="str">
        <f>IF(COUNTIFS(Table16[ประเภท],K49,Table16[ฝ่าย],A54)=0,"-",COUNTIFS(Table16[ประเภท],K49,Table16[ฝ่าย],A54))</f>
        <v>-</v>
      </c>
      <c r="L54" s="421" t="str">
        <f>IF(COUNTIFS(Table16[ประเภท],L49,Table16[ฝ่าย],A54)=0,"-",COUNTIFS(Table16[ประเภท],L49,Table16[ฝ่าย],A54))</f>
        <v>-</v>
      </c>
      <c r="M54" s="389" t="str">
        <f>IF(COUNTIFS(Table16[ประเภท],M49,Table16[ฝ่าย],A54)=0,"-",COUNTIFS(Table16[ประเภท],M49,Table16[ฝ่าย],A54))</f>
        <v>-</v>
      </c>
      <c r="O54" s="456" t="str">
        <f>IF(COUNTIFS(Table16[ประเภท],O49,Table16[ฝ่าย],A54)=0,"-",COUNTIFS(Table16[ประเภท],O49,Table16[ฝ่าย],A54))</f>
        <v>-</v>
      </c>
      <c r="P54" s="520"/>
      <c r="Q54" s="420"/>
      <c r="R54" s="76"/>
    </row>
    <row r="55" spans="1:31" ht="25.05" customHeight="1" thickBot="1">
      <c r="A55" s="176" t="s">
        <v>74</v>
      </c>
      <c r="B55" s="177">
        <f>COUNTIF(Table16[ฝ่าย],A55)</f>
        <v>1</v>
      </c>
      <c r="C55" s="179">
        <f>B55/B64</f>
        <v>1.2345679012345678E-2</v>
      </c>
      <c r="D55" s="421" t="str">
        <f>IF(COUNTIFS(Table16[ประเภท],D49,Table16[ฝ่าย],A55)=0,"-",COUNTIFS(Table16[ประเภท],D49,Table16[ฝ่าย],A55))</f>
        <v>-</v>
      </c>
      <c r="E55" s="421" t="str">
        <f>IF(COUNTIFS(Table16[ประเภท],E49,Table16[ฝ่าย],A55)=0,"-",COUNTIFS(Table16[ประเภท],E49,Table16[ฝ่าย],A55))</f>
        <v>-</v>
      </c>
      <c r="F55" s="421" t="str">
        <f>IF(COUNTIFS(Table16[ประเภท],F49,Table16[ฝ่าย],A55)=0,"-",COUNTIFS(Table16[ประเภท],F49,Table16[ฝ่าย],A55))</f>
        <v>-</v>
      </c>
      <c r="G55" s="421" t="str">
        <f>IF(COUNTIFS(Table16[ประเภท],G49,Table16[ฝ่าย],A55)=0,"-",COUNTIFS(Table16[ประเภท],G49,Table16[ฝ่าย],A55))</f>
        <v>-</v>
      </c>
      <c r="H55" s="421" t="str">
        <f>IF(COUNTIFS(Table16[ประเภท],H49,Table16[ฝ่าย],A55)=0,"-",COUNTIFS(Table16[ประเภท],H49,Table16[ฝ่าย],A55))</f>
        <v>-</v>
      </c>
      <c r="I55" s="421" t="str">
        <f>IF(COUNTIFS(Table16[ประเภท],I49,Table16[ฝ่าย],A55)=0,"-",COUNTIFS(Table16[ประเภท],I49,Table16[ฝ่าย],A55))</f>
        <v>-</v>
      </c>
      <c r="J55" s="421">
        <f>IF(COUNTIFS(Table16[ประเภท],J49,Table16[ฝ่าย],A55)=0,"-",COUNTIFS(Table16[ประเภท],J49,Table16[ฝ่าย],A55))</f>
        <v>1</v>
      </c>
      <c r="K55" s="421" t="str">
        <f>IF(COUNTIFS(Table16[ประเภท],K49,Table16[ฝ่าย],A55)=0,"-",COUNTIFS(Table16[ประเภท],K49,Table16[ฝ่าย],A55))</f>
        <v>-</v>
      </c>
      <c r="L55" s="421" t="str">
        <f>IF(COUNTIFS(Table16[ประเภท],L49,Table16[ฝ่าย],A55)=0,"-",COUNTIFS(Table16[ประเภท],L49,Table16[ฝ่าย],A55))</f>
        <v>-</v>
      </c>
      <c r="M55" s="389" t="str">
        <f>IF(COUNTIFS(Table16[ประเภท],M49,Table16[ฝ่าย],A55)=0,"-",COUNTIFS(Table16[ประเภท],M49,Table16[ฝ่าย],A55))</f>
        <v>-</v>
      </c>
      <c r="O55" s="456" t="str">
        <f>IF(COUNTIFS(Table16[ประเภท],O49,Table16[ฝ่าย],A55)=0,"-",COUNTIFS(Table16[ประเภท],O49,Table16[ฝ่าย],A55))</f>
        <v>-</v>
      </c>
      <c r="P55" s="520"/>
      <c r="Q55" s="420"/>
      <c r="R55" s="76"/>
    </row>
    <row r="56" spans="1:31" ht="25.05" customHeight="1" thickBot="1">
      <c r="A56" s="176" t="s">
        <v>75</v>
      </c>
      <c r="B56" s="177">
        <f>COUNTIF(Table2[ฝ่าย],A56)</f>
        <v>0</v>
      </c>
      <c r="C56" s="179">
        <f>B56/B64</f>
        <v>0</v>
      </c>
      <c r="D56" s="421" t="str">
        <f>IF(COUNTIFS(Table16[ประเภท],D49,Table16[ฝ่าย],A56)=0,"-",COUNTIFS(Table16[ประเภท],D49,Table16[ฝ่าย],A56))</f>
        <v>-</v>
      </c>
      <c r="E56" s="421" t="str">
        <f>IF(COUNTIFS(Table16[ประเภท],E49,Table16[ฝ่าย],A56)=0,"-",COUNTIFS(Table16[ประเภท],E49,Table16[ฝ่าย],A56))</f>
        <v>-</v>
      </c>
      <c r="F56" s="421" t="str">
        <f>IF(COUNTIFS(Table16[ประเภท],F49,Table16[ฝ่าย],A56)=0,"-",COUNTIFS(Table16[ประเภท],F49,Table16[ฝ่าย],A56))</f>
        <v>-</v>
      </c>
      <c r="G56" s="421" t="str">
        <f>IF(COUNTIFS(Table16[ประเภท],G49,Table16[ฝ่าย],A56)=0,"-",COUNTIFS(Table16[ประเภท],G49,Table16[ฝ่าย],A56))</f>
        <v>-</v>
      </c>
      <c r="H56" s="421" t="str">
        <f>IF(COUNTIFS(Table16[ประเภท],H49,Table16[ฝ่าย],A56)=0,"-",COUNTIFS(Table16[ประเภท],H49,Table16[ฝ่าย],A56))</f>
        <v>-</v>
      </c>
      <c r="I56" s="421" t="str">
        <f>IF(COUNTIFS(Table16[ประเภท],I49,Table16[ฝ่าย],A56)=0,"-",COUNTIFS(Table16[ประเภท],I49,Table16[ฝ่าย],A56))</f>
        <v>-</v>
      </c>
      <c r="J56" s="421" t="str">
        <f>IF(COUNTIFS(Table16[ประเภท],J49,Table16[ฝ่าย],A56)=0,"-",COUNTIFS(Table16[ประเภท],J49,Table16[ฝ่าย],A56))</f>
        <v>-</v>
      </c>
      <c r="K56" s="421" t="str">
        <f>IF(COUNTIFS(Table16[ประเภท],K49,Table16[ฝ่าย],A56)=0,"-",COUNTIFS(Table16[ประเภท],K49,Table16[ฝ่าย],A56))</f>
        <v>-</v>
      </c>
      <c r="L56" s="421" t="str">
        <f>IF(COUNTIFS(Table16[ประเภท],L49,Table16[ฝ่าย],A56)=0,"-",COUNTIFS(Table16[ประเภท],L49,Table16[ฝ่าย],A56))</f>
        <v>-</v>
      </c>
      <c r="M56" s="389" t="str">
        <f>IF(COUNTIFS(Table16[ประเภท],M49,Table16[ฝ่าย],A56)=0,"-",COUNTIFS(Table16[ประเภท],M49,Table16[ฝ่าย],A56))</f>
        <v>-</v>
      </c>
      <c r="O56" s="456" t="str">
        <f>IF(COUNTIFS(Table16[ประเภท],O49,Table16[ฝ่าย],A56)=0,"-",COUNTIFS(Table16[ประเภท],O49,Table16[ฝ่าย],A56))</f>
        <v>-</v>
      </c>
      <c r="P56" s="520"/>
      <c r="Q56" s="420"/>
      <c r="R56" s="76"/>
    </row>
    <row r="57" spans="1:31" ht="25.05" customHeight="1" thickBot="1">
      <c r="A57" s="176" t="s">
        <v>76</v>
      </c>
      <c r="B57" s="177">
        <f>COUNTIF(Table2[ฝ่าย],A57)</f>
        <v>0</v>
      </c>
      <c r="C57" s="179">
        <f>B57/B64</f>
        <v>0</v>
      </c>
      <c r="D57" s="421" t="str">
        <f>IF(COUNTIFS(Table16[ประเภท],D49,Table16[ฝ่าย],A57)=0,"-",COUNTIFS(Table16[ประเภท],D49,Table16[ฝ่าย],A57))</f>
        <v>-</v>
      </c>
      <c r="E57" s="421" t="str">
        <f>IF(COUNTIFS(Table16[ประเภท],E49,Table16[ฝ่าย],A57)=0,"-",COUNTIFS(Table16[ประเภท],E49,Table16[ฝ่าย],A57))</f>
        <v>-</v>
      </c>
      <c r="F57" s="421" t="str">
        <f>IF(COUNTIFS(Table16[ประเภท],F49,Table16[ฝ่าย],A57)=0,"-",COUNTIFS(Table16[ประเภท],F49,Table16[ฝ่าย],A57))</f>
        <v>-</v>
      </c>
      <c r="G57" s="421" t="str">
        <f>IF(COUNTIFS(Table16[ประเภท],G49,Table16[ฝ่าย],A57)=0,"-",COUNTIFS(Table16[ประเภท],G49,Table16[ฝ่าย],A57))</f>
        <v>-</v>
      </c>
      <c r="H57" s="421" t="str">
        <f>IF(COUNTIFS(Table16[ประเภท],H49,Table16[ฝ่าย],A57)=0,"-",COUNTIFS(Table16[ประเภท],H49,Table16[ฝ่าย],A57))</f>
        <v>-</v>
      </c>
      <c r="I57" s="421" t="str">
        <f>IF(COUNTIFS(Table16[ประเภท],I49,Table16[ฝ่าย],A57)=0,"-",COUNTIFS(Table16[ประเภท],I49,Table16[ฝ่าย],A57))</f>
        <v>-</v>
      </c>
      <c r="J57" s="421">
        <f>IF(COUNTIFS(Table16[ประเภท],J49,Table16[ฝ่าย],A57)=0,"-",COUNTIFS(Table16[ประเภท],J49,Table16[ฝ่าย],A57))</f>
        <v>1</v>
      </c>
      <c r="K57" s="421" t="str">
        <f>IF(COUNTIFS(Table16[ประเภท],K49,Table16[ฝ่าย],A57)=0,"-",COUNTIFS(Table16[ประเภท],K49,Table16[ฝ่าย],A57))</f>
        <v>-</v>
      </c>
      <c r="L57" s="421" t="str">
        <f>IF(COUNTIFS(Table16[ประเภท],L49,Table16[ฝ่าย],A57)=0,"-",COUNTIFS(Table16[ประเภท],L49,Table16[ฝ่าย],A57))</f>
        <v>-</v>
      </c>
      <c r="M57" s="389" t="str">
        <f>IF(COUNTIFS(Table16[ประเภท],M49,Table16[ฝ่าย],A57)=0,"-",COUNTIFS(Table16[ประเภท],M49,Table16[ฝ่าย],A57))</f>
        <v>-</v>
      </c>
      <c r="O57" s="456" t="str">
        <f>IF(COUNTIFS(Table16[ประเภท],O49,Table16[ฝ่าย],A57)=0,"-",COUNTIFS(Table16[ประเภท],O49,Table16[ฝ่าย],A57))</f>
        <v>-</v>
      </c>
      <c r="P57" s="520"/>
      <c r="Q57" s="420"/>
      <c r="R57" s="76"/>
    </row>
    <row r="58" spans="1:31" ht="25.05" customHeight="1" thickBot="1">
      <c r="A58" s="176" t="s">
        <v>77</v>
      </c>
      <c r="B58" s="177">
        <f>COUNTIF(Table2[ฝ่าย],A58)</f>
        <v>0</v>
      </c>
      <c r="C58" s="179">
        <f>B58/B64</f>
        <v>0</v>
      </c>
      <c r="D58" s="421" t="str">
        <f>IF(COUNTIFS(Table16[ประเภท],D49,Table16[ฝ่าย],A58)=0,"-",COUNTIFS(Table16[ประเภท],D49,Table16[ฝ่าย],A58))</f>
        <v>-</v>
      </c>
      <c r="E58" s="421" t="str">
        <f>IF(COUNTIFS(Table16[ประเภท],E49,Table16[ฝ่าย],A58)=0,"-",COUNTIFS(Table16[ประเภท],E49,Table16[ฝ่าย],A58))</f>
        <v>-</v>
      </c>
      <c r="F58" s="421" t="str">
        <f>IF(COUNTIFS(Table16[ประเภท],F49,Table16[ฝ่าย],A58)=0,"-",COUNTIFS(Table16[ประเภท],F49,Table16[ฝ่าย],A58))</f>
        <v>-</v>
      </c>
      <c r="G58" s="421" t="str">
        <f>IF(COUNTIFS(Table16[ประเภท],G49,Table16[ฝ่าย],A58)=0,"-",COUNTIFS(Table16[ประเภท],G49,Table16[ฝ่าย],A58))</f>
        <v>-</v>
      </c>
      <c r="H58" s="421" t="str">
        <f>IF(COUNTIFS(Table16[ประเภท],H49,Table16[ฝ่าย],A58)=0,"-",COUNTIFS(Table16[ประเภท],H49,Table16[ฝ่าย],A58))</f>
        <v>-</v>
      </c>
      <c r="I58" s="421" t="str">
        <f>IF(COUNTIFS(Table16[ประเภท],I49,Table16[ฝ่าย],A58)=0,"-",COUNTIFS(Table16[ประเภท],I49,Table16[ฝ่าย],A58))</f>
        <v>-</v>
      </c>
      <c r="J58" s="421" t="str">
        <f>IF(COUNTIFS(Table16[ประเภท],J49,Table16[ฝ่าย],A58)=0,"-",COUNTIFS(Table16[ประเภท],J49,Table16[ฝ่าย],A58))</f>
        <v>-</v>
      </c>
      <c r="K58" s="421" t="str">
        <f>IF(COUNTIFS(Table16[ประเภท],K49,Table16[ฝ่าย],A58)=0,"-",COUNTIFS(Table16[ประเภท],K49,Table16[ฝ่าย],A58))</f>
        <v>-</v>
      </c>
      <c r="L58" s="421" t="str">
        <f>IF(COUNTIFS(Table16[ประเภท],L49,Table16[ฝ่าย],A58)=0,"-",COUNTIFS(Table16[ประเภท],L49,Table16[ฝ่าย],A58))</f>
        <v>-</v>
      </c>
      <c r="M58" s="389" t="str">
        <f>IF(COUNTIFS(Table16[ประเภท],M49,Table16[ฝ่าย],A58)=0,"-",COUNTIFS(Table16[ประเภท],M49,Table16[ฝ่าย],A58))</f>
        <v>-</v>
      </c>
      <c r="O58" s="456" t="str">
        <f>IF(COUNTIFS(Table16[ประเภท],O49,Table16[ฝ่าย],A58)=0,"-",COUNTIFS(Table16[ประเภท],O49,Table16[ฝ่าย],A58))</f>
        <v>-</v>
      </c>
      <c r="P58" s="520"/>
      <c r="Q58" s="409"/>
      <c r="R58" s="76"/>
    </row>
    <row r="59" spans="1:31" ht="25.05" customHeight="1" thickBot="1">
      <c r="A59" s="176" t="s">
        <v>78</v>
      </c>
      <c r="B59" s="177">
        <f>COUNTIF(Table2[ฝ่าย],A59)</f>
        <v>0</v>
      </c>
      <c r="C59" s="179">
        <f>B59/B64</f>
        <v>0</v>
      </c>
      <c r="D59" s="421" t="str">
        <f>IF(COUNTIFS(Table16[ประเภท],D49,Table16[ฝ่าย],A59)=0,"-",COUNTIFS(Table16[ประเภท],D49,Table16[ฝ่าย],A59))</f>
        <v>-</v>
      </c>
      <c r="E59" s="421" t="str">
        <f>IF(COUNTIFS(Table16[ประเภท],E49,Table16[ฝ่าย],A59)=0,"-",COUNTIFS(Table16[ประเภท],E49,Table16[ฝ่าย],A59))</f>
        <v>-</v>
      </c>
      <c r="F59" s="421" t="str">
        <f>IF(COUNTIFS(Table16[ประเภท],F49,Table16[ฝ่าย],A59)=0,"-",COUNTIFS(Table16[ประเภท],F49,Table16[ฝ่าย],A59))</f>
        <v>-</v>
      </c>
      <c r="G59" s="421" t="str">
        <f>IF(COUNTIFS(Table16[ประเภท],G49,Table16[ฝ่าย],A59)=0,"-",COUNTIFS(Table16[ประเภท],G49,Table16[ฝ่าย],A59))</f>
        <v>-</v>
      </c>
      <c r="H59" s="421" t="str">
        <f>IF(COUNTIFS(Table16[ประเภท],H49,Table16[ฝ่าย],A59)=0,"-",COUNTIFS(Table16[ประเภท],H49,Table16[ฝ่าย],A59))</f>
        <v>-</v>
      </c>
      <c r="I59" s="421" t="str">
        <f>IF(COUNTIFS(Table16[ประเภท],I49,Table16[ฝ่าย],A59)=0,"-",COUNTIFS(Table16[ประเภท],I49,Table16[ฝ่าย],A59))</f>
        <v>-</v>
      </c>
      <c r="J59" s="421" t="str">
        <f>IF(COUNTIFS(Table16[ประเภท],J49,Table16[ฝ่าย],A59)=0,"-",COUNTIFS(Table16[ประเภท],J49,Table16[ฝ่าย],A59))</f>
        <v>-</v>
      </c>
      <c r="K59" s="421" t="str">
        <f>IF(COUNTIFS(Table16[ประเภท],K49,Table16[ฝ่าย],A59)=0,"-",COUNTIFS(Table16[ประเภท],K49,Table16[ฝ่าย],A59))</f>
        <v>-</v>
      </c>
      <c r="L59" s="421" t="str">
        <f>IF(COUNTIFS(Table16[ประเภท],L49,Table16[ฝ่าย],A59)=0,"-",COUNTIFS(Table16[ประเภท],L49,Table16[ฝ่าย],A59))</f>
        <v>-</v>
      </c>
      <c r="M59" s="389" t="str">
        <f>IF(COUNTIFS(Table16[ประเภท],M49,Table16[ฝ่าย],A59)=0,"-",COUNTIFS(Table16[ประเภท],M49,Table16[ฝ่าย],A59))</f>
        <v>-</v>
      </c>
      <c r="O59" s="456" t="str">
        <f>IF(COUNTIFS(Table16[ประเภท],O49,Table16[ฝ่าย],A59)=0,"-",COUNTIFS(Table16[ประเภท],O49,Table16[ฝ่าย],A59))</f>
        <v>-</v>
      </c>
      <c r="P59" s="520"/>
      <c r="Q59" s="420"/>
      <c r="R59" s="76"/>
    </row>
    <row r="60" spans="1:31" ht="25.05" customHeight="1" thickBot="1">
      <c r="A60" s="176" t="s">
        <v>79</v>
      </c>
      <c r="B60" s="177">
        <f>COUNTIF(Table2[ฝ่าย],A60)</f>
        <v>0</v>
      </c>
      <c r="C60" s="179">
        <f>B60/B64</f>
        <v>0</v>
      </c>
      <c r="D60" s="421" t="str">
        <f>IF(COUNTIFS(Table16[ประเภท],D49,Table16[ฝ่าย],A60)=0,"-",COUNTIFS(Table16[ประเภท],D49,Table16[ฝ่าย],A60))</f>
        <v>-</v>
      </c>
      <c r="E60" s="421" t="str">
        <f>IF(COUNTIFS(Table16[ประเภท],E49,Table16[ฝ่าย],A60)=0,"-",COUNTIFS(Table16[ประเภท],E49,Table16[ฝ่าย],A60))</f>
        <v>-</v>
      </c>
      <c r="F60" s="421" t="str">
        <f>IF(COUNTIFS(Table16[ประเภท],F49,Table16[ฝ่าย],A60)=0,"-",COUNTIFS(Table16[ประเภท],F49,Table16[ฝ่าย],A60))</f>
        <v>-</v>
      </c>
      <c r="G60" s="421" t="str">
        <f>IF(COUNTIFS(Table16[ประเภท],G49,Table16[ฝ่าย],A60)=0,"-",COUNTIFS(Table16[ประเภท],G49,Table16[ฝ่าย],A60))</f>
        <v>-</v>
      </c>
      <c r="H60" s="421" t="str">
        <f>IF(COUNTIFS(Table16[ประเภท],H49,Table16[ฝ่าย],A60)=0,"-",COUNTIFS(Table16[ประเภท],H49,Table16[ฝ่าย],A60))</f>
        <v>-</v>
      </c>
      <c r="I60" s="421" t="str">
        <f>IF(COUNTIFS(Table16[ประเภท],I49,Table16[ฝ่าย],A60)=0,"-",COUNTIFS(Table16[ประเภท],I49,Table16[ฝ่าย],A60))</f>
        <v>-</v>
      </c>
      <c r="J60" s="421" t="str">
        <f>IF(COUNTIFS(Table16[ประเภท],J49,Table16[ฝ่าย],A60)=0,"-",COUNTIFS(Table16[ประเภท],J49,Table16[ฝ่าย],A60))</f>
        <v>-</v>
      </c>
      <c r="K60" s="421" t="str">
        <f>IF(COUNTIFS(Table16[ประเภท],K49,Table16[ฝ่าย],A60)=0,"-",COUNTIFS(Table16[ประเภท],K49,Table16[ฝ่าย],A60))</f>
        <v>-</v>
      </c>
      <c r="L60" s="421" t="str">
        <f>IF(COUNTIFS(Table16[ประเภท],L49,Table16[ฝ่าย],A60)=0,"-",COUNTIFS(Table16[ประเภท],L49,Table16[ฝ่าย],A60))</f>
        <v>-</v>
      </c>
      <c r="M60" s="389" t="str">
        <f>IF(COUNTIFS(Table16[ประเภท],M49,Table16[ฝ่าย],A60)=0,"-",COUNTIFS(Table16[ประเภท],M49,Table16[ฝ่าย],A60))</f>
        <v>-</v>
      </c>
      <c r="O60" s="456" t="str">
        <f>IF(COUNTIFS(Table16[ประเภท],O49,Table16[ฝ่าย],A60)=0,"-",COUNTIFS(Table16[ประเภท],O49,Table16[ฝ่าย],A60))</f>
        <v>-</v>
      </c>
      <c r="P60" s="521"/>
      <c r="Q60" s="521"/>
      <c r="R60" s="530"/>
    </row>
    <row r="61" spans="1:31" ht="25.05" customHeight="1" thickBot="1">
      <c r="A61" s="176" t="s">
        <v>80</v>
      </c>
      <c r="B61" s="177">
        <f>COUNTIF(Table2[ฝ่าย],A61)</f>
        <v>0</v>
      </c>
      <c r="C61" s="179">
        <f>B61/B64</f>
        <v>0</v>
      </c>
      <c r="D61" s="421" t="str">
        <f>IF(COUNTIFS(Table16[ประเภท],D49,Table16[ฝ่าย],A61)=0,"-",COUNTIFS(Table16[ประเภท],D49,Table16[ฝ่าย],A61))</f>
        <v>-</v>
      </c>
      <c r="E61" s="421" t="str">
        <f>IF(COUNTIFS(Table16[ประเภท],E49,Table16[ฝ่าย],A61)=0,"-",COUNTIFS(Table16[ประเภท],E49,Table16[ฝ่าย],A61))</f>
        <v>-</v>
      </c>
      <c r="F61" s="421" t="str">
        <f>IF(COUNTIFS(Table16[ประเภท],F49,Table16[ฝ่าย],A61)=0,"-",COUNTIFS(Table16[ประเภท],F49,Table16[ฝ่าย],A61))</f>
        <v>-</v>
      </c>
      <c r="G61" s="421" t="str">
        <f>IF(COUNTIFS(Table16[ประเภท],G49,Table16[ฝ่าย],A61)=0,"-",COUNTIFS(Table16[ประเภท],G49,Table16[ฝ่าย],A61))</f>
        <v>-</v>
      </c>
      <c r="H61" s="421" t="str">
        <f>IF(COUNTIFS(Table16[ประเภท],H49,Table16[ฝ่าย],A61)=0,"-",COUNTIFS(Table16[ประเภท],H49,Table16[ฝ่าย],A61))</f>
        <v>-</v>
      </c>
      <c r="I61" s="421" t="str">
        <f>IF(COUNTIFS(Table16[ประเภท],I49,Table16[ฝ่าย],A61)=0,"-",COUNTIFS(Table16[ประเภท],I49,Table16[ฝ่าย],A61))</f>
        <v>-</v>
      </c>
      <c r="J61" s="421" t="str">
        <f>IF(COUNTIFS(Table16[ประเภท],J49,Table16[ฝ่าย],A61)=0,"-",COUNTIFS(Table16[ประเภท],J49,Table16[ฝ่าย],A61))</f>
        <v>-</v>
      </c>
      <c r="K61" s="421" t="str">
        <f>IF(COUNTIFS(Table16[ประเภท],K49,Table16[ฝ่าย],A61)=0,"-",COUNTIFS(Table16[ประเภท],K49,Table16[ฝ่าย],A61))</f>
        <v>-</v>
      </c>
      <c r="L61" s="421" t="str">
        <f>IF(COUNTIFS(Table16[ประเภท],L49,Table16[ฝ่าย],A61)=0,"-",COUNTIFS(Table16[ประเภท],L49,Table16[ฝ่าย],A61))</f>
        <v>-</v>
      </c>
      <c r="M61" s="389" t="str">
        <f>IF(COUNTIFS(Table16[ประเภท],M49,Table16[ฝ่าย],A61)=0,"-",COUNTIFS(Table16[ประเภท],M49,Table16[ฝ่าย],A61))</f>
        <v>-</v>
      </c>
      <c r="O61" s="456" t="str">
        <f>IF(COUNTIFS(Table16[ประเภท],O49,Table16[ฝ่าย],A61)=0,"-",COUNTIFS(Table16[ประเภท],O49,Table16[ฝ่าย],A61))</f>
        <v>-</v>
      </c>
      <c r="P61" s="483"/>
      <c r="Q61" s="483"/>
      <c r="R61" s="531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419"/>
      <c r="AE61" s="391"/>
    </row>
    <row r="62" spans="1:31" ht="25.05" customHeight="1" thickBot="1">
      <c r="A62" s="176" t="s">
        <v>81</v>
      </c>
      <c r="B62" s="177">
        <f>COUNTIF(Table16[ฝ่าย],A62)</f>
        <v>0</v>
      </c>
      <c r="C62" s="179">
        <f>B62/B64</f>
        <v>0</v>
      </c>
      <c r="D62" s="421" t="str">
        <f>IF(COUNTIFS(Table16[ประเภท],D49,Table16[ฝ่าย],A62)=0,"-",COUNTIFS(Table16[ประเภท],D49,Table16[ฝ่าย],A62))</f>
        <v>-</v>
      </c>
      <c r="E62" s="421" t="str">
        <f>IF(COUNTIFS(Table16[ประเภท],E49,Table16[ฝ่าย],A62)=0,"-",COUNTIFS(Table16[ประเภท],E49,Table16[ฝ่าย],A62))</f>
        <v>-</v>
      </c>
      <c r="F62" s="421" t="str">
        <f>IF(COUNTIFS(Table16[ประเภท],F49,Table16[ฝ่าย],A62)=0,"-",COUNTIFS(Table16[ประเภท],F49,Table16[ฝ่าย],A62))</f>
        <v>-</v>
      </c>
      <c r="G62" s="421" t="str">
        <f>IF(COUNTIFS(Table16[ประเภท],G49,Table16[ฝ่าย],A62)=0,"-",COUNTIFS(Table16[ประเภท],G49,Table16[ฝ่าย],A62))</f>
        <v>-</v>
      </c>
      <c r="H62" s="421" t="str">
        <f>IF(COUNTIFS(Table16[ประเภท],H49,Table16[ฝ่าย],A62)=0,"-",COUNTIFS(Table16[ประเภท],H49,Table16[ฝ่าย],A62))</f>
        <v>-</v>
      </c>
      <c r="I62" s="421" t="str">
        <f>IF(COUNTIFS(Table16[ประเภท],I49,Table16[ฝ่าย],A62)=0,"-",COUNTIFS(Table16[ประเภท],I49,Table16[ฝ่าย],A62))</f>
        <v>-</v>
      </c>
      <c r="J62" s="421" t="str">
        <f>IF(COUNTIFS(Table16[ประเภท],J49,Table16[ฝ่าย],A62)=0,"-",COUNTIFS(Table16[ประเภท],J49,Table16[ฝ่าย],A62))</f>
        <v>-</v>
      </c>
      <c r="K62" s="421" t="str">
        <f>IF(COUNTIFS(Table16[ประเภท],K49,Table16[ฝ่าย],A62)=0,"-",COUNTIFS(Table16[ประเภท],K49,Table16[ฝ่าย],A62))</f>
        <v>-</v>
      </c>
      <c r="L62" s="421" t="str">
        <f>IF(COUNTIFS(Table16[ประเภท],L49,Table16[ฝ่าย],A62)=0,"-",COUNTIFS(Table16[ประเภท],L49,Table16[ฝ่าย],A62))</f>
        <v>-</v>
      </c>
      <c r="M62" s="389" t="str">
        <f>IF(COUNTIFS(Table16[ประเภท],M49,Table16[ฝ่าย],A62)=0,"-",COUNTIFS(Table16[ประเภท],M49,Table16[ฝ่าย],A62))</f>
        <v>-</v>
      </c>
      <c r="O62" s="456" t="str">
        <f>IF(COUNTIFS(Table16[ประเภท],O49,Table16[ฝ่าย],A62)=0,"-",COUNTIFS(Table16[ประเภท],O49,Table16[ฝ่าย],A62))</f>
        <v>-</v>
      </c>
      <c r="R62" s="418"/>
    </row>
    <row r="63" spans="1:31" ht="25.05" customHeight="1" thickBot="1">
      <c r="A63" s="176" t="s">
        <v>171</v>
      </c>
      <c r="B63" s="177">
        <f>COUNTIF(Table16[ฝ่าย],A63)</f>
        <v>10</v>
      </c>
      <c r="C63" s="179">
        <f>B63/B65</f>
        <v>0.5</v>
      </c>
      <c r="D63" s="421" t="str">
        <f>IF(COUNTIFS(Table16[ประเภท],D49,Table16[ฝ่าย],A63)=0,"-",COUNTIFS(Table16[ประเภท],D49,Table16[ฝ่าย],A63))</f>
        <v>-</v>
      </c>
      <c r="E63" s="421" t="str">
        <f>IF(COUNTIFS(Table16[ประเภท],E49,Table16[ฝ่าย],A63)=0,"-",COUNTIFS(Table16[ประเภท],E49,Table16[ฝ่าย],A63))</f>
        <v>-</v>
      </c>
      <c r="F63" s="421">
        <f>IF(COUNTIFS(Table16[ประเภท],F49,Table16[ฝ่าย],A63)=0,"-",COUNTIFS(Table16[ประเภท],F49,Table16[ฝ่าย],A63))</f>
        <v>1</v>
      </c>
      <c r="G63" s="421" t="str">
        <f>IF(COUNTIFS(Table16[ประเภท],G49,Table16[ฝ่าย],A63)=0,"-",COUNTIFS(Table16[ประเภท],G49,Table16[ฝ่าย],A63))</f>
        <v>-</v>
      </c>
      <c r="H63" s="421">
        <f>IF(COUNTIFS(Table16[ประเภท],H49,Table16[ฝ่าย],A63)=0,"-",COUNTIFS(Table16[ประเภท],H49,Table16[ฝ่าย],A63))</f>
        <v>6</v>
      </c>
      <c r="I63" s="421" t="str">
        <f>IF(COUNTIFS(Table16[ประเภท],I49,Table16[ฝ่าย],A63)=0,"-",COUNTIFS(Table16[ประเภท],49,Table16[ฝ่าย],A63))</f>
        <v>-</v>
      </c>
      <c r="J63" s="421" t="str">
        <f>IF(COUNTIFS(Table16[ประเภท],J49,Table16[ฝ่าย],A63)=0,"-",COUNTIFS(Table16[ประเภท],J49,Table16[ฝ่าย],A63))</f>
        <v>-</v>
      </c>
      <c r="K63" s="421" t="str">
        <f>IF(COUNTIFS(Table16[ประเภท],K49,Table16[ฝ่าย],A63)=0,"-",COUNTIFS(Table16[ประเภท],K49,Table16[ฝ่าย],A63))</f>
        <v>-</v>
      </c>
      <c r="L63" s="421" t="str">
        <f>IF(COUNTIFS(Table16[ประเภท],L49,Table16[ฝ่าย],A63)=0,"-",COUNTIFS(Table16[ประเภท],L49,Table16[ฝ่าย],A63))</f>
        <v>-</v>
      </c>
      <c r="M63" s="389" t="str">
        <f>IF(COUNTIFS(Table16[ประเภท],M49,Table16[ฝ่าย],A63)=0,"-",COUNTIFS(Table16[ประเภท],M49,Table16[ฝ่าย],A63))</f>
        <v>-</v>
      </c>
      <c r="O63" s="456" t="str">
        <f>IF(COUNTIFS(Table16[ประเภท],O49,Table16[ฝ่าย],A63)=0,"-",COUNTIFS(Table16[ประเภท],O49,Table16[ฝ่าย],A63))</f>
        <v>-</v>
      </c>
      <c r="R63" s="76"/>
    </row>
    <row r="64" spans="1:31" ht="25.05" customHeight="1" thickBot="1">
      <c r="A64" s="180" t="s">
        <v>82</v>
      </c>
      <c r="B64" s="181">
        <f>SUM(B50:B63)</f>
        <v>81</v>
      </c>
      <c r="C64" s="182">
        <f>SUM(C50:C62)</f>
        <v>0.87654320987654311</v>
      </c>
      <c r="D64" s="181">
        <f>SUM(D50:D62)</f>
        <v>10</v>
      </c>
      <c r="E64" s="181">
        <f>SUM(E50:E62)</f>
        <v>10</v>
      </c>
      <c r="F64" s="181">
        <f>SUM(F50:F63)</f>
        <v>7</v>
      </c>
      <c r="G64" s="181">
        <f t="shared" ref="G64:O64" si="2">SUM(G50:G63)</f>
        <v>1</v>
      </c>
      <c r="H64" s="181">
        <f t="shared" si="2"/>
        <v>11</v>
      </c>
      <c r="I64" s="181">
        <f t="shared" si="2"/>
        <v>2</v>
      </c>
      <c r="J64" s="181">
        <f t="shared" si="2"/>
        <v>8</v>
      </c>
      <c r="K64" s="181">
        <f t="shared" si="2"/>
        <v>17</v>
      </c>
      <c r="L64" s="181">
        <f t="shared" si="2"/>
        <v>2</v>
      </c>
      <c r="M64" s="181">
        <f t="shared" si="2"/>
        <v>2</v>
      </c>
      <c r="N64" s="181">
        <f t="shared" si="2"/>
        <v>2</v>
      </c>
      <c r="O64" s="181">
        <f t="shared" si="2"/>
        <v>4</v>
      </c>
    </row>
    <row r="65" spans="1:16" ht="25.05" customHeight="1" thickBot="1">
      <c r="A65" s="183" t="s">
        <v>83</v>
      </c>
      <c r="B65" s="184">
        <f>COUNTIF(Table16[สถานะ],"เรียบร้อย")</f>
        <v>20</v>
      </c>
      <c r="C65" s="185"/>
      <c r="D65" s="76"/>
      <c r="E65" s="76"/>
      <c r="F65" s="76"/>
      <c r="G65" s="76"/>
      <c r="H65" s="76"/>
      <c r="I65" s="76"/>
      <c r="J65" s="76"/>
      <c r="K65" s="76"/>
      <c r="L65" s="76"/>
    </row>
    <row r="66" spans="1:16" ht="25.05" customHeight="1">
      <c r="A66" s="186" t="s">
        <v>84</v>
      </c>
      <c r="B66" s="187">
        <f>COUNTIF(Table16[สถานะ],"กำลังดำเนินการ")</f>
        <v>6</v>
      </c>
      <c r="C66" s="185"/>
      <c r="D66" s="76"/>
      <c r="E66" s="76"/>
      <c r="F66" s="76"/>
      <c r="G66" s="76"/>
      <c r="H66" s="76"/>
      <c r="I66" s="76"/>
      <c r="J66" s="76"/>
      <c r="K66" s="76"/>
      <c r="L66" s="76"/>
    </row>
    <row r="67" spans="1:16" ht="25.05" customHeight="1">
      <c r="A67" s="188" t="s">
        <v>3</v>
      </c>
      <c r="B67" s="189">
        <f>COUNTIF(Table16[สถานะ],"รอดำเนินการ")</f>
        <v>56</v>
      </c>
      <c r="C67" s="185"/>
      <c r="D67" s="76"/>
      <c r="E67" s="76"/>
      <c r="F67" s="76"/>
      <c r="G67" s="76"/>
      <c r="H67" s="76"/>
      <c r="I67" s="76"/>
      <c r="J67" s="76"/>
      <c r="K67" s="76"/>
      <c r="L67" s="76"/>
    </row>
    <row r="68" spans="1:16" ht="25.05" customHeight="1" thickBot="1">
      <c r="A68" s="190" t="s">
        <v>85</v>
      </c>
      <c r="B68" s="191">
        <f>COUNTIF(Table16[สถานะ],"โอนย้าย")</f>
        <v>0</v>
      </c>
    </row>
    <row r="69" spans="1:16" ht="30" customHeight="1" thickBot="1">
      <c r="A69" s="528" t="s">
        <v>655</v>
      </c>
      <c r="B69" s="529"/>
      <c r="C69" s="529"/>
      <c r="D69" s="529"/>
      <c r="E69" s="529"/>
      <c r="F69" s="529"/>
      <c r="G69" s="529"/>
      <c r="H69" s="529"/>
      <c r="I69" s="529"/>
      <c r="J69" s="529"/>
      <c r="K69" s="529"/>
      <c r="L69" s="529"/>
      <c r="M69" s="529"/>
      <c r="N69" s="529"/>
      <c r="O69" s="529"/>
      <c r="P69" s="529"/>
    </row>
    <row r="70" spans="1:16" ht="18.600000000000001" thickBot="1">
      <c r="A70" s="522" t="s">
        <v>656</v>
      </c>
      <c r="B70" s="522" t="s">
        <v>57</v>
      </c>
      <c r="C70" s="524" t="s">
        <v>58</v>
      </c>
      <c r="D70" s="526" t="s">
        <v>59</v>
      </c>
      <c r="E70" s="527"/>
      <c r="F70" s="527"/>
      <c r="G70" s="527"/>
      <c r="H70" s="527"/>
      <c r="I70" s="527"/>
      <c r="J70" s="527"/>
      <c r="K70" s="527"/>
      <c r="L70" s="527"/>
      <c r="M70" s="527"/>
      <c r="N70" s="527"/>
      <c r="O70" s="527"/>
      <c r="P70" s="527"/>
    </row>
    <row r="71" spans="1:16" ht="15" thickBot="1">
      <c r="A71" s="523"/>
      <c r="B71" s="523"/>
      <c r="C71" s="525"/>
      <c r="D71" s="172" t="s">
        <v>60</v>
      </c>
      <c r="E71" s="172" t="s">
        <v>61</v>
      </c>
      <c r="F71" s="173" t="s">
        <v>62</v>
      </c>
      <c r="G71" s="173" t="s">
        <v>63</v>
      </c>
      <c r="H71" s="173" t="s">
        <v>64</v>
      </c>
      <c r="I71" s="173" t="s">
        <v>65</v>
      </c>
      <c r="J71" s="173" t="s">
        <v>66</v>
      </c>
      <c r="K71" s="173" t="s">
        <v>67</v>
      </c>
      <c r="L71" s="174" t="s">
        <v>68</v>
      </c>
      <c r="M71" s="175" t="s">
        <v>87</v>
      </c>
      <c r="N71" s="175" t="s">
        <v>166</v>
      </c>
      <c r="O71" s="457" t="s">
        <v>780</v>
      </c>
      <c r="P71" s="457" t="s">
        <v>645</v>
      </c>
    </row>
    <row r="72" spans="1:16" ht="15" thickBot="1">
      <c r="A72" s="176" t="s">
        <v>69</v>
      </c>
      <c r="B72" s="177">
        <f>COUNTIFS(Table16[ฝ่าย],A72,Table16[สัปดาห์แจ้งซ่อม],1)</f>
        <v>22</v>
      </c>
      <c r="C72" s="178">
        <f>B72/B86</f>
        <v>0.88</v>
      </c>
      <c r="D72" s="416">
        <f>IF(COUNTIFS(Table16[ประเภท],D71,Table16[ฝ่าย],A72,Table16[สัปดาห์แจ้งซ่อม],"1")=0,"-",COUNTIFS(Table16[ประเภท],D71,Table16[ฝ่าย],A72,Table16[สัปดาห์แจ้งซ่อม],"1"))</f>
        <v>4</v>
      </c>
      <c r="E72" s="416">
        <f>IF(COUNTIFS(Table16[ประเภท],E71,Table16[ฝ่าย],A72,Table16[สัปดาห์แจ้งซ่อม],"1")=0,"-",COUNTIFS(Table16[ประเภท],E71,Table16[ฝ่าย],A72,Table16[สัปดาห์แจ้งซ่อม],"1"))</f>
        <v>5</v>
      </c>
      <c r="F72" s="416">
        <f>IF(COUNTIFS(Table16[ประเภท],F71,Table16[ฝ่าย],A72,Table16[สัปดาห์แจ้งซ่อม],"1")=0,"-",COUNTIFS(Table16[ประเภท],F71,Table16[ฝ่าย],A72,Table16[สัปดาห์แจ้งซ่อม],"1"))</f>
        <v>1</v>
      </c>
      <c r="G72" s="416" t="str">
        <f>IF(COUNTIFS(Table16[ประเภท],G71,Table16[ฝ่าย],A72,Table16[สัปดาห์แจ้งซ่อม],"1")=0,"-",COUNTIFS(Table16[ประเภท],G71,Table16[ฝ่าย],A72,Table16[สัปดาห์แจ้งซ่อม],"1"))</f>
        <v>-</v>
      </c>
      <c r="H72" s="416" t="str">
        <f>IF(COUNTIFS(Table16[ประเภท],H71,Table16[ฝ่าย],A72,Table16[สัปดาห์แจ้งซ่อม],"1")=0,"-",COUNTIFS(Table16[ประเภท],H71,Table16[ฝ่าย],A72,Table16[สัปดาห์แจ้งซ่อม],"1"))</f>
        <v>-</v>
      </c>
      <c r="I72" s="416" t="str">
        <f>IF(COUNTIFS(Table16[ประเภท],I71,Table16[ฝ่าย],A72,Table16[สัปดาห์แจ้งซ่อม],"1")=0,"-",COUNTIFS(Table16[ประเภท],I71,Table16[ฝ่าย],A72,Table16[สัปดาห์แจ้งซ่อม],"1"))</f>
        <v>-</v>
      </c>
      <c r="J72" s="416">
        <f>IF(COUNTIFS(Table16[ประเภท],J71,Table16[ฝ่าย],A72,Table16[สัปดาห์แจ้งซ่อม],"1")=0,"-",COUNTIFS(Table16[ประเภท],J71,Table16[ฝ่าย],A72,Table16[สัปดาห์แจ้งซ่อม],"1"))</f>
        <v>2</v>
      </c>
      <c r="K72" s="416">
        <f>IF(COUNTIFS(Table16[ประเภท],K71,Table16[ฝ่าย],A72,Table16[สัปดาห์แจ้งซ่อม],"1")=0,"-",COUNTIFS(Table16[ประเภท],K71,Table16[ฝ่าย],A72,Table16[สัปดาห์แจ้งซ่อม],"1"))</f>
        <v>4</v>
      </c>
      <c r="L72" s="416">
        <f>IF(COUNTIFS(Table16[ประเภท],L71,Table16[ฝ่าย],A72,Table16[สัปดาห์แจ้งซ่อม],"1")=0,"-",COUNTIFS(Table16[ประเภท],L71,Table16[ฝ่าย],A72,Table16[สัปดาห์แจ้งซ่อม],"1"))</f>
        <v>1</v>
      </c>
      <c r="M72" s="416">
        <f>IF(COUNTIFS(Table16[ประเภท],M71,Table16[ฝ่าย],A72,Table16[สัปดาห์แจ้งซ่อม],"1")=0,"-",COUNTIFS(Table16[ประเภท],M71,Table16[ฝ่าย],A72,Table16[สัปดาห์แจ้งซ่อม],"1"))</f>
        <v>2</v>
      </c>
      <c r="N72" s="416">
        <f>IF(COUNTIFS(Table16[ประเภท],N71,Table16[ฝ่าย],A72,Table16[สัปดาห์แจ้งซ่อม],"1")=0,"-",COUNTIFS(Table16[ประเภท],N71,Table16[ฝ่าย],A72,Table16[สัปดาห์แจ้งซ่อม],"1"))</f>
        <v>1</v>
      </c>
      <c r="O72" s="416">
        <f>IF(COUNTIFS(Table16[ประเภท],O71,Table16[ฝ่าย],A72,Table16[สัปดาห์แจ้งซ่อม],"1")=0,"-",COUNTIFS(Table16[ประเภท],O71,Table16[ฝ่าย],A72,Table16[สัปดาห์แจ้งซ่อม],"1"))</f>
        <v>2</v>
      </c>
      <c r="P72" s="458" t="str">
        <f>IF(COUNTIFS(Table16[ประเภท],P71,Table16[ฝ่าย],A72,Table16[สัปดาห์แจ้งซ่อม],"1")=0,"-",COUNTIFS(Table16[ประเภท],P71,Table16[ฝ่าย],A72,Table16[สัปดาห์แจ้งซ่อม],"1"))</f>
        <v>-</v>
      </c>
    </row>
    <row r="73" spans="1:16" ht="15" thickBot="1">
      <c r="A73" s="176" t="s">
        <v>70</v>
      </c>
      <c r="B73" s="177">
        <f>COUNTIFS(Table16[ฝ่าย],A73,Table16[สัปดาห์แจ้งซ่อม],1)</f>
        <v>0</v>
      </c>
      <c r="C73" s="178">
        <f>B73/B86</f>
        <v>0</v>
      </c>
      <c r="D73" s="416" t="str">
        <f>IF(COUNTIFS(Table16[ประเภท],D71,Table16[ฝ่าย],A73,Table16[สัปดาห์แจ้งซ่อม],"1")=0,"-",COUNTIFS(Table16[ประเภท],D71,Table16[ฝ่าย],A73,Table16[สัปดาห์แจ้งซ่อม],"1"))</f>
        <v>-</v>
      </c>
      <c r="E73" s="416" t="str">
        <f>IF(COUNTIFS(Table16[ประเภท],E71,Table16[ฝ่าย],A73,Table16[สัปดาห์แจ้งซ่อม],"1")=0,"-",COUNTIFS(Table16[ประเภท],E71,Table16[ฝ่าย],A73,Table16[สัปดาห์แจ้งซ่อม],"1"))</f>
        <v>-</v>
      </c>
      <c r="F73" s="416" t="str">
        <f>IF(COUNTIFS(Table16[ประเภท],F71,Table16[ฝ่าย],A73,Table16[สัปดาห์แจ้งซ่อม],"1")=0,"-",COUNTIFS(Table16[ประเภท],F71,Table16[ฝ่าย],A73,Table16[สัปดาห์แจ้งซ่อม],"1"))</f>
        <v>-</v>
      </c>
      <c r="G73" s="416" t="str">
        <f>IF(COUNTIFS(Table16[ประเภท],G71,Table16[ฝ่าย],A73,Table16[สัปดาห์แจ้งซ่อม],"1")=0,"-",COUNTIFS(Table16[ประเภท],G71,Table16[ฝ่าย],A73,Table16[สัปดาห์แจ้งซ่อม],"1"))</f>
        <v>-</v>
      </c>
      <c r="H73" s="416" t="str">
        <f>IF(COUNTIFS(Table16[ประเภท],H71,Table16[ฝ่าย],A73,Table16[สัปดาห์แจ้งซ่อม],"1")=0,"-",COUNTIFS(Table16[ประเภท],H71,Table16[ฝ่าย],A73,Table16[สัปดาห์แจ้งซ่อม],"1"))</f>
        <v>-</v>
      </c>
      <c r="I73" s="416" t="str">
        <f>IF(COUNTIFS(Table16[ประเภท],I71,Table16[ฝ่าย],A73,Table16[สัปดาห์แจ้งซ่อม],"1")=0,"-",COUNTIFS(Table16[ประเภท],I71,Table16[ฝ่าย],A73,Table16[สัปดาห์แจ้งซ่อม],"1"))</f>
        <v>-</v>
      </c>
      <c r="J73" s="416" t="str">
        <f>IF(COUNTIFS(Table16[ประเภท],J71,Table16[ฝ่าย],A73,Table16[สัปดาห์แจ้งซ่อม],"1")=0,"-",COUNTIFS(Table16[ประเภท],J71,Table16[ฝ่าย],A73,Table16[สัปดาห์แจ้งซ่อม],"1"))</f>
        <v>-</v>
      </c>
      <c r="K73" s="416" t="str">
        <f>IF(COUNTIFS(Table16[ประเภท],K71,Table16[ฝ่าย],A73,Table16[สัปดาห์แจ้งซ่อม],"1")=0,"-",COUNTIFS(Table16[ประเภท],K71,Table16[ฝ่าย],A73,Table16[สัปดาห์แจ้งซ่อม],"1"))</f>
        <v>-</v>
      </c>
      <c r="L73" s="416" t="str">
        <f>IF(COUNTIFS(Table16[ประเภท],L71,Table16[ฝ่าย],A73,Table16[สัปดาห์แจ้งซ่อม],"1")=0,"-",COUNTIFS(Table16[ประเภท],L71,Table16[ฝ่าย],A73,Table16[สัปดาห์แจ้งซ่อม],"1"))</f>
        <v>-</v>
      </c>
      <c r="M73" s="416" t="str">
        <f>IF(COUNTIFS(Table16[ประเภท],M71,Table16[ฝ่าย],A73,Table16[สัปดาห์แจ้งซ่อม],"1")=0,"-",COUNTIFS(Table16[ประเภท],M71,Table16[ฝ่าย],A73,Table16[สัปดาห์แจ้งซ่อม],"1"))</f>
        <v>-</v>
      </c>
      <c r="N73" s="416" t="str">
        <f>IF(COUNTIFS(Table16[ประเภท],N71,Table16[ฝ่าย],A73,Table16[สัปดาห์แจ้งซ่อม],"1")=0,"-",COUNTIFS(Table16[ประเภท],N71,Table16[ฝ่าย],A73,Table16[สัปดาห์แจ้งซ่อม],"1"))</f>
        <v>-</v>
      </c>
      <c r="O73" s="416"/>
      <c r="P73" s="458" t="str">
        <f>IF(COUNTIFS(Table16[ประเภท],P71,Table16[ฝ่าย],A73,Table16[สัปดาห์แจ้งซ่อม],"1")=0,"-",COUNTIFS(Table16[ประเภท],P71,Table16[ฝ่าย],A73,Table16[สัปดาห์แจ้งซ่อม],"1"))</f>
        <v>-</v>
      </c>
    </row>
    <row r="74" spans="1:16" ht="15" thickBot="1">
      <c r="A74" s="176" t="s">
        <v>71</v>
      </c>
      <c r="B74" s="177">
        <f>COUNTIFS(Table16[ฝ่าย],A74,Table16[สัปดาห์แจ้งซ่อม],1)</f>
        <v>2</v>
      </c>
      <c r="C74" s="178">
        <f>B74/B86</f>
        <v>0.08</v>
      </c>
      <c r="D74" s="416" t="str">
        <f>IF(COUNTIFS(Table16[ประเภท],D71,Table16[ฝ่าย],A74,Table16[สัปดาห์แจ้งซ่อม],"1")=0,"-",COUNTIFS(Table16[ประเภท],D71,Table16[ฝ่าย],A74,Table16[สัปดาห์แจ้งซ่อม],"1"))</f>
        <v>-</v>
      </c>
      <c r="E74" s="416">
        <f>IF(COUNTIFS(Table16[ประเภท],E71,Table16[ฝ่าย],A74,Table16[สัปดาห์แจ้งซ่อม],"1")=0,"-",COUNTIFS(Table16[ประเภท],E71,Table16[ฝ่าย],A74,Table16[สัปดาห์แจ้งซ่อม],"1"))</f>
        <v>1</v>
      </c>
      <c r="F74" s="416" t="str">
        <f>IF(COUNTIFS(Table16[ประเภท],F71,Table16[ฝ่าย],A74,Table16[สัปดาห์แจ้งซ่อม],"1")=0,"-",COUNTIFS(Table16[ประเภท],F71,Table16[ฝ่าย],A74,Table16[สัปดาห์แจ้งซ่อม],"1"))</f>
        <v>-</v>
      </c>
      <c r="G74" s="416" t="str">
        <f>IF(COUNTIFS(Table16[ประเภท],G71,Table16[ฝ่าย],A74,Table16[สัปดาห์แจ้งซ่อม],"1")=0,"-",COUNTIFS(Table16[ประเภท],G71,Table16[ฝ่าย],A74,Table16[สัปดาห์แจ้งซ่อม],"1"))</f>
        <v>-</v>
      </c>
      <c r="H74" s="416" t="str">
        <f>IF(COUNTIFS(Table16[ประเภท],H71,Table16[ฝ่าย],A74,Table16[สัปดาห์แจ้งซ่อม],"1")=0,"-",COUNTIFS(Table16[ประเภท],H71,Table16[ฝ่าย],A74,Table16[สัปดาห์แจ้งซ่อม],"1"))</f>
        <v>-</v>
      </c>
      <c r="I74" s="416" t="str">
        <f>IF(COUNTIFS(Table16[ประเภท],I71,Table16[ฝ่าย],A74,Table16[สัปดาห์แจ้งซ่อม],"1")=0,"-",COUNTIFS(Table16[ประเภท],I71,Table16[ฝ่าย],A74,Table16[สัปดาห์แจ้งซ่อม],"1"))</f>
        <v>-</v>
      </c>
      <c r="J74" s="416" t="str">
        <f>IF(COUNTIFS(Table16[ประเภท],J71,Table16[ฝ่าย],A74,Table16[สัปดาห์แจ้งซ่อม],"1")=0,"-",COUNTIFS(Table16[ประเภท],J71,Table16[ฝ่าย],A74,Table16[สัปดาห์แจ้งซ่อม],"1"))</f>
        <v>-</v>
      </c>
      <c r="K74" s="416" t="str">
        <f>IF(COUNTIFS(Table16[ประเภท],K71,Table16[ฝ่าย],A74,Table16[สัปดาห์แจ้งซ่อม],"1")=0,"-",COUNTIFS(Table16[ประเภท],K71,Table16[ฝ่าย],A74,Table16[สัปดาห์แจ้งซ่อม],"1"))</f>
        <v>-</v>
      </c>
      <c r="L74" s="416">
        <f>IF(COUNTIFS(Table16[ประเภท],L71,Table16[ฝ่าย],A74,Table16[สัปดาห์แจ้งซ่อม],"1")=0,"-",COUNTIFS(Table16[ประเภท],L71,Table16[ฝ่าย],A74,Table16[สัปดาห์แจ้งซ่อม],"1"))</f>
        <v>1</v>
      </c>
      <c r="M74" s="416" t="str">
        <f>IF(COUNTIFS(Table16[ประเภท],M71,Table16[ฝ่าย],A74,Table16[สัปดาห์แจ้งซ่อม],"1")=0,"-",COUNTIFS(Table16[ประเภท],M71,Table16[ฝ่าย],A74,Table16[สัปดาห์แจ้งซ่อม],"1"))</f>
        <v>-</v>
      </c>
      <c r="N74" s="416" t="str">
        <f>IF(COUNTIFS(Table16[ประเภท],N71,Table16[ฝ่าย],A74,Table16[สัปดาห์แจ้งซ่อม],"1")=0,"-",COUNTIFS(Table16[ประเภท],N71,Table16[ฝ่าย],A74,Table16[สัปดาห์แจ้งซ่อม],"1"))</f>
        <v>-</v>
      </c>
      <c r="O74" s="416"/>
      <c r="P74" s="458" t="str">
        <f>IF(COUNTIFS(Table16[ประเภท],P71,Table16[ฝ่าย],A74,Table16[สัปดาห์แจ้งซ่อม],"1")=0,"-",COUNTIFS(Table16[ประเภท],P71,Table16[ฝ่าย],A74,Table16[สัปดาห์แจ้งซ่อม],"1"))</f>
        <v>-</v>
      </c>
    </row>
    <row r="75" spans="1:16" ht="15" thickBot="1">
      <c r="A75" s="176" t="s">
        <v>72</v>
      </c>
      <c r="B75" s="177">
        <f>COUNTIFS(Table16[ฝ่าย],A75,Table16[สัปดาห์แจ้งซ่อม],1)</f>
        <v>0</v>
      </c>
      <c r="C75" s="178">
        <f>B75/B86</f>
        <v>0</v>
      </c>
      <c r="D75" s="416" t="str">
        <f>IF(COUNTIFS(Table16[ประเภท],D71,Table16[ฝ่าย],A75,Table16[สัปดาห์แจ้งซ่อม],"1")=0,"-",COUNTIFS(Table16[ประเภท],D71,Table16[ฝ่าย],A75,Table16[สัปดาห์แจ้งซ่อม],"1"))</f>
        <v>-</v>
      </c>
      <c r="E75" s="416" t="str">
        <f>IF(COUNTIFS(Table16[ประเภท],E71,Table16[ฝ่าย],A75,Table16[สัปดาห์แจ้งซ่อม],"1")=0,"-",COUNTIFS(Table16[ประเภท],E71,Table16[ฝ่าย],A75,Table16[สัปดาห์แจ้งซ่อม],"1"))</f>
        <v>-</v>
      </c>
      <c r="F75" s="416" t="str">
        <f>IF(COUNTIFS(Table16[ประเภท],F71,Table16[ฝ่าย],A75,Table16[สัปดาห์แจ้งซ่อม],"1")=0,"-",COUNTIFS(Table16[ประเภท],F71,Table16[ฝ่าย],A75,Table16[สัปดาห์แจ้งซ่อม],"1"))</f>
        <v>-</v>
      </c>
      <c r="G75" s="416" t="str">
        <f>IF(COUNTIFS(Table16[ประเภท],G71,Table16[ฝ่าย],A75,Table16[สัปดาห์แจ้งซ่อม],"1")=0,"-",COUNTIFS(Table16[ประเภท],G71,Table16[ฝ่าย],A75,Table16[สัปดาห์แจ้งซ่อม],"1"))</f>
        <v>-</v>
      </c>
      <c r="H75" s="416" t="str">
        <f>IF(COUNTIFS(Table16[ประเภท],H71,Table16[ฝ่าย],A75,Table16[สัปดาห์แจ้งซ่อม],"1")=0,"-",COUNTIFS(Table16[ประเภท],H71,Table16[ฝ่าย],A75,Table16[สัปดาห์แจ้งซ่อม],"1"))</f>
        <v>-</v>
      </c>
      <c r="I75" s="416" t="str">
        <f>IF(COUNTIFS(Table16[ประเภท],I71,Table16[ฝ่าย],A75,Table16[สัปดาห์แจ้งซ่อม],"1")=0,"-",COUNTIFS(Table16[ประเภท],I71,Table16[ฝ่าย],A75,Table16[สัปดาห์แจ้งซ่อม],"1"))</f>
        <v>-</v>
      </c>
      <c r="J75" s="416" t="str">
        <f>IF(COUNTIFS(Table16[ประเภท],J71,Table16[ฝ่าย],A75,Table16[สัปดาห์แจ้งซ่อม],"1")=0,"-",COUNTIFS(Table16[ประเภท],J71,Table16[ฝ่าย],A75,Table16[สัปดาห์แจ้งซ่อม],"1"))</f>
        <v>-</v>
      </c>
      <c r="K75" s="416" t="str">
        <f>IF(COUNTIFS(Table16[ประเภท],K71,Table16[ฝ่าย],A75,Table16[สัปดาห์แจ้งซ่อม],"1")=0,"-",COUNTIFS(Table16[ประเภท],K71,Table16[ฝ่าย],A75,Table16[สัปดาห์แจ้งซ่อม],"1"))</f>
        <v>-</v>
      </c>
      <c r="L75" s="416" t="str">
        <f>IF(COUNTIFS(Table16[ประเภท],L71,Table16[ฝ่าย],A75,Table16[สัปดาห์แจ้งซ่อม],"1")=0,"-",COUNTIFS(Table16[ประเภท],L71,Table16[ฝ่าย],A75,Table16[สัปดาห์แจ้งซ่อม],"1"))</f>
        <v>-</v>
      </c>
      <c r="M75" s="416" t="str">
        <f>IF(COUNTIFS(Table16[ประเภท],M71,Table16[ฝ่าย],A75,Table16[สัปดาห์แจ้งซ่อม],"1")=0,"-",COUNTIFS(Table16[ประเภท],M71,Table16[ฝ่าย],A75,Table16[สัปดาห์แจ้งซ่อม],"1"))</f>
        <v>-</v>
      </c>
      <c r="N75" s="416" t="str">
        <f>IF(COUNTIFS(Table16[ประเภท],N71,Table16[ฝ่าย],A75,Table16[สัปดาห์แจ้งซ่อม],"1")=0,"-",COUNTIFS(Table16[ประเภท],N71,Table16[ฝ่าย],A75,Table16[สัปดาห์แจ้งซ่อม],"1"))</f>
        <v>-</v>
      </c>
      <c r="O75" s="416"/>
      <c r="P75" s="458" t="str">
        <f>IF(COUNTIFS(Table16[ประเภท],P71,Table16[ฝ่าย],A75,Table16[สัปดาห์แจ้งซ่อม],"1")=0,"-",COUNTIFS(Table16[ประเภท],P71,Table16[ฝ่าย],A75,Table16[สัปดาห์แจ้งซ่อม],"1"))</f>
        <v>-</v>
      </c>
    </row>
    <row r="76" spans="1:16" ht="15" thickBot="1">
      <c r="A76" s="176" t="s">
        <v>73</v>
      </c>
      <c r="B76" s="177">
        <f>COUNTIFS(Table16[ฝ่าย],A76,Table16[สัปดาห์แจ้งซ่อม],1)</f>
        <v>0</v>
      </c>
      <c r="C76" s="178">
        <f>B76/B86</f>
        <v>0</v>
      </c>
      <c r="D76" s="416" t="str">
        <f>IF(COUNTIFS(Table16[ประเภท],D71,Table16[ฝ่าย],A76,Table16[สัปดาห์แจ้งซ่อม],"1")=0,"-",COUNTIFS(Table16[ประเภท],D71,Table16[ฝ่าย],A76,Table16[สัปดาห์แจ้งซ่อม],"1"))</f>
        <v>-</v>
      </c>
      <c r="E76" s="416" t="str">
        <f>IF(COUNTIFS(Table16[ประเภท],E71,Table16[ฝ่าย],A76,Table16[สัปดาห์แจ้งซ่อม],"1")=0,"-",COUNTIFS(Table16[ประเภท],E71,Table16[ฝ่าย],A76,Table16[สัปดาห์แจ้งซ่อม],"1"))</f>
        <v>-</v>
      </c>
      <c r="F76" s="416" t="str">
        <f>IF(COUNTIFS(Table16[ประเภท],F71,Table16[ฝ่าย],A76,Table16[สัปดาห์แจ้งซ่อม],"1")=0,"-",COUNTIFS(Table16[ประเภท],F71,Table16[ฝ่าย],A76,Table16[สัปดาห์แจ้งซ่อม],"1"))</f>
        <v>-</v>
      </c>
      <c r="G76" s="416" t="str">
        <f>IF(COUNTIFS(Table16[ประเภท],G71,Table16[ฝ่าย],A76,Table16[สัปดาห์แจ้งซ่อม],"1")=0,"-",COUNTIFS(Table16[ประเภท],G71,Table16[ฝ่าย],A76,Table16[สัปดาห์แจ้งซ่อม],"1"))</f>
        <v>-</v>
      </c>
      <c r="H76" s="416" t="str">
        <f>IF(COUNTIFS(Table16[ประเภท],H71,Table16[ฝ่าย],A76,Table16[สัปดาห์แจ้งซ่อม],"1")=0,"-",COUNTIFS(Table16[ประเภท],H71,Table16[ฝ่าย],A76,Table16[สัปดาห์แจ้งซ่อม],"1"))</f>
        <v>-</v>
      </c>
      <c r="I76" s="416" t="str">
        <f>IF(COUNTIFS(Table16[ประเภท],I71,Table16[ฝ่าย],A76,Table16[สัปดาห์แจ้งซ่อม],"1")=0,"-",COUNTIFS(Table16[ประเภท],I71,Table16[ฝ่าย],A76,Table16[สัปดาห์แจ้งซ่อม],"1"))</f>
        <v>-</v>
      </c>
      <c r="J76" s="416" t="str">
        <f>IF(COUNTIFS(Table16[ประเภท],J71,Table16[ฝ่าย],A76,Table16[สัปดาห์แจ้งซ่อม],"1")=0,"-",COUNTIFS(Table16[ประเภท],J71,Table16[ฝ่าย],A76,Table16[สัปดาห์แจ้งซ่อม],"1"))</f>
        <v>-</v>
      </c>
      <c r="K76" s="416" t="str">
        <f>IF(COUNTIFS(Table16[ประเภท],K71,Table16[ฝ่าย],A76,Table16[สัปดาห์แจ้งซ่อม],"1")=0,"-",COUNTIFS(Table16[ประเภท],K71,Table16[ฝ่าย],A76,Table16[สัปดาห์แจ้งซ่อม],"1"))</f>
        <v>-</v>
      </c>
      <c r="L76" s="416" t="str">
        <f>IF(COUNTIFS(Table16[ประเภท],L71,Table16[ฝ่าย],A76,Table16[สัปดาห์แจ้งซ่อม],"1")=0,"-",COUNTIFS(Table16[ประเภท],L71,Table16[ฝ่าย],A76,Table16[สัปดาห์แจ้งซ่อม],"1"))</f>
        <v>-</v>
      </c>
      <c r="M76" s="416" t="str">
        <f>IF(COUNTIFS(Table16[ประเภท],M71,Table16[ฝ่าย],A76,Table16[สัปดาห์แจ้งซ่อม],"1")=0,"-",COUNTIFS(Table16[ประเภท],M71,Table16[ฝ่าย],A76,Table16[สัปดาห์แจ้งซ่อม],"1"))</f>
        <v>-</v>
      </c>
      <c r="N76" s="416" t="str">
        <f>IF(COUNTIFS(Table16[ประเภท],N71,Table16[ฝ่าย],A76,Table16[สัปดาห์แจ้งซ่อม],"1")=0,"-",COUNTIFS(Table16[ประเภท],N71,Table16[ฝ่าย],A76,Table16[สัปดาห์แจ้งซ่อม],"1"))</f>
        <v>-</v>
      </c>
      <c r="O76" s="416"/>
      <c r="P76" s="458" t="str">
        <f>IF(COUNTIFS(Table16[ประเภท],P71,Table16[ฝ่าย],A76,Table16[สัปดาห์แจ้งซ่อม],"1")=0,"-",COUNTIFS(Table16[ประเภท],P71,Table16[ฝ่าย],A76,Table16[สัปดาห์แจ้งซ่อม],"1"))</f>
        <v>-</v>
      </c>
    </row>
    <row r="77" spans="1:16" ht="15" thickBot="1">
      <c r="A77" s="176" t="s">
        <v>74</v>
      </c>
      <c r="B77" s="177">
        <f>COUNTIFS(Table16[ฝ่าย],A77,Table16[สัปดาห์แจ้งซ่อม],1)</f>
        <v>0</v>
      </c>
      <c r="C77" s="178">
        <f>B77/B86</f>
        <v>0</v>
      </c>
      <c r="D77" s="416" t="str">
        <f>IF(COUNTIFS(Table16[ประเภท],D71,Table16[ฝ่าย],A77,Table16[สัปดาห์แจ้งซ่อม],"1")=0,"-",COUNTIFS(Table16[ประเภท],D71,Table16[ฝ่าย],A77,Table16[สัปดาห์แจ้งซ่อม],"1"))</f>
        <v>-</v>
      </c>
      <c r="E77" s="416" t="str">
        <f>IF(COUNTIFS(Table16[ประเภท],E71,Table16[ฝ่าย],A77,Table16[สัปดาห์แจ้งซ่อม],"1")=0,"-",COUNTIFS(Table16[ประเภท],E71,Table16[ฝ่าย],A77,Table16[สัปดาห์แจ้งซ่อม],"1"))</f>
        <v>-</v>
      </c>
      <c r="F77" s="416" t="str">
        <f>IF(COUNTIFS(Table16[ประเภท],F71,Table16[ฝ่าย],A77,Table16[สัปดาห์แจ้งซ่อม],"1")=0,"-",COUNTIFS(Table16[ประเภท],F71,Table16[ฝ่าย],A77,Table16[สัปดาห์แจ้งซ่อม],"1"))</f>
        <v>-</v>
      </c>
      <c r="G77" s="416" t="str">
        <f>IF(COUNTIFS(Table16[ประเภท],G71,Table16[ฝ่าย],A77,Table16[สัปดาห์แจ้งซ่อม],"1")=0,"-",COUNTIFS(Table16[ประเภท],G71,Table16[ฝ่าย],A77,Table16[สัปดาห์แจ้งซ่อม],"1"))</f>
        <v>-</v>
      </c>
      <c r="H77" s="416" t="str">
        <f>IF(COUNTIFS(Table16[ประเภท],H71,Table16[ฝ่าย],A77,Table16[สัปดาห์แจ้งซ่อม],"1")=0,"-",COUNTIFS(Table16[ประเภท],H71,Table16[ฝ่าย],A77,Table16[สัปดาห์แจ้งซ่อม],"1"))</f>
        <v>-</v>
      </c>
      <c r="I77" s="416" t="str">
        <f>IF(COUNTIFS(Table16[ประเภท],I71,Table16[ฝ่าย],A77,Table16[สัปดาห์แจ้งซ่อม],"1")=0,"-",COUNTIFS(Table16[ประเภท],I71,Table16[ฝ่าย],A77,Table16[สัปดาห์แจ้งซ่อม],"1"))</f>
        <v>-</v>
      </c>
      <c r="J77" s="416" t="str">
        <f>IF(COUNTIFS(Table16[ประเภท],J71,Table16[ฝ่าย],A77,Table16[สัปดาห์แจ้งซ่อม],"1")=0,"-",COUNTIFS(Table16[ประเภท],J71,Table16[ฝ่าย],A77,Table16[สัปดาห์แจ้งซ่อม],"1"))</f>
        <v>-</v>
      </c>
      <c r="K77" s="416" t="str">
        <f>IF(COUNTIFS(Table16[ประเภท],K71,Table16[ฝ่าย],A77,Table16[สัปดาห์แจ้งซ่อม],"1")=0,"-",COUNTIFS(Table16[ประเภท],K71,Table16[ฝ่าย],A77,Table16[สัปดาห์แจ้งซ่อม],"1"))</f>
        <v>-</v>
      </c>
      <c r="L77" s="416" t="str">
        <f>IF(COUNTIFS(Table16[ประเภท],L71,Table16[ฝ่าย],A77,Table16[สัปดาห์แจ้งซ่อม],"1")=0,"-",COUNTIFS(Table16[ประเภท],L71,Table16[ฝ่าย],A77,Table16[สัปดาห์แจ้งซ่อม],"1"))</f>
        <v>-</v>
      </c>
      <c r="M77" s="416" t="str">
        <f>IF(COUNTIFS(Table16[ประเภท],M71,Table16[ฝ่าย],A77,Table16[สัปดาห์แจ้งซ่อม],"1")=0,"-",COUNTIFS(Table16[ประเภท],M71,Table16[ฝ่าย],A77,Table16[สัปดาห์แจ้งซ่อม],"1"))</f>
        <v>-</v>
      </c>
      <c r="N77" s="416" t="str">
        <f>IF(COUNTIFS(Table16[ประเภท],N71,Table16[ฝ่าย],A77,Table16[สัปดาห์แจ้งซ่อม],"1")=0,"-",COUNTIFS(Table16[ประเภท],N71,Table16[ฝ่าย],A77,Table16[สัปดาห์แจ้งซ่อม],"1"))</f>
        <v>-</v>
      </c>
      <c r="O77" s="416"/>
      <c r="P77" s="458" t="str">
        <f>IF(COUNTIFS(Table16[ประเภท],P71,Table16[ฝ่าย],A77,Table16[สัปดาห์แจ้งซ่อม],"1")=0,"-",COUNTIFS(Table16[ประเภท],P71,Table16[ฝ่าย],A77,Table16[สัปดาห์แจ้งซ่อม],"1"))</f>
        <v>-</v>
      </c>
    </row>
    <row r="78" spans="1:16" ht="15" thickBot="1">
      <c r="A78" s="176" t="s">
        <v>75</v>
      </c>
      <c r="B78" s="177">
        <f>COUNTIFS(Table16[ฝ่าย],A78,Table16[สัปดาห์แจ้งซ่อม],1)</f>
        <v>0</v>
      </c>
      <c r="C78" s="178">
        <f>B78/B86</f>
        <v>0</v>
      </c>
      <c r="D78" s="416" t="str">
        <f>IF(COUNTIFS(Table16[ประเภท],D71,Table16[ฝ่าย],A78,Table16[สัปดาห์แจ้งซ่อม],"1")=0,"-",COUNTIFS(Table16[ประเภท],D71,Table16[ฝ่าย],A78,Table16[สัปดาห์แจ้งซ่อม],"1"))</f>
        <v>-</v>
      </c>
      <c r="E78" s="416" t="str">
        <f>IF(COUNTIFS(Table16[ประเภท],E71,Table16[ฝ่าย],A78,Table16[สัปดาห์แจ้งซ่อม],"1")=0,"-",COUNTIFS(Table16[ประเภท],E71,Table16[ฝ่าย],A78,Table16[สัปดาห์แจ้งซ่อม],"1"))</f>
        <v>-</v>
      </c>
      <c r="F78" s="416" t="str">
        <f>IF(COUNTIFS(Table16[ประเภท],F71,Table16[ฝ่าย],A78,Table16[สัปดาห์แจ้งซ่อม],"1")=0,"-",COUNTIFS(Table16[ประเภท],F71,Table16[ฝ่าย],A78,Table16[สัปดาห์แจ้งซ่อม],"1"))</f>
        <v>-</v>
      </c>
      <c r="G78" s="416" t="str">
        <f>IF(COUNTIFS(Table16[ประเภท],G71,Table16[ฝ่าย],A78,Table16[สัปดาห์แจ้งซ่อม],"1")=0,"-",COUNTIFS(Table16[ประเภท],G71,Table16[ฝ่าย],A78,Table16[สัปดาห์แจ้งซ่อม],"1"))</f>
        <v>-</v>
      </c>
      <c r="H78" s="416" t="str">
        <f>IF(COUNTIFS(Table16[ประเภท],H71,Table16[ฝ่าย],A78,Table16[สัปดาห์แจ้งซ่อม],"1")=0,"-",COUNTIFS(Table16[ประเภท],H71,Table16[ฝ่าย],A78,Table16[สัปดาห์แจ้งซ่อม],"1"))</f>
        <v>-</v>
      </c>
      <c r="I78" s="416" t="str">
        <f>IF(COUNTIFS(Table16[ประเภท],I71,Table16[ฝ่าย],A78,Table16[สัปดาห์แจ้งซ่อม],"1")=0,"-",COUNTIFS(Table16[ประเภท],I71,Table16[ฝ่าย],A78,Table16[สัปดาห์แจ้งซ่อม],"1"))</f>
        <v>-</v>
      </c>
      <c r="J78" s="416" t="str">
        <f>IF(COUNTIFS(Table16[ประเภท],J71,Table16[ฝ่าย],A78,Table16[สัปดาห์แจ้งซ่อม],"1")=0,"-",COUNTIFS(Table16[ประเภท],J71,Table16[ฝ่าย],A78,Table16[สัปดาห์แจ้งซ่อม],"1"))</f>
        <v>-</v>
      </c>
      <c r="K78" s="416" t="str">
        <f>IF(COUNTIFS(Table16[ประเภท],K71,Table16[ฝ่าย],A78,Table16[สัปดาห์แจ้งซ่อม],"1")=0,"-",COUNTIFS(Table16[ประเภท],K71,Table16[ฝ่าย],A78,Table16[สัปดาห์แจ้งซ่อม],"1"))</f>
        <v>-</v>
      </c>
      <c r="L78" s="416" t="str">
        <f>IF(COUNTIFS(Table16[ประเภท],L71,Table16[ฝ่าย],A78,Table16[สัปดาห์แจ้งซ่อม],"1")=0,"-",COUNTIFS(Table16[ประเภท],L71,Table16[ฝ่าย],A78,Table16[สัปดาห์แจ้งซ่อม],"1"))</f>
        <v>-</v>
      </c>
      <c r="M78" s="416" t="str">
        <f>IF(COUNTIFS(Table16[ประเภท],M71,Table16[ฝ่าย],A78,Table16[สัปดาห์แจ้งซ่อม],"1")=0,"-",COUNTIFS(Table16[ประเภท],M71,Table16[ฝ่าย],A78,Table16[สัปดาห์แจ้งซ่อม],"1"))</f>
        <v>-</v>
      </c>
      <c r="N78" s="416" t="str">
        <f>IF(COUNTIFS(Table16[ประเภท],N71,Table16[ฝ่าย],A78,Table16[สัปดาห์แจ้งซ่อม],"1")=0,"-",COUNTIFS(Table16[ประเภท],N71,Table16[ฝ่าย],A78,Table16[สัปดาห์แจ้งซ่อม],"1"))</f>
        <v>-</v>
      </c>
      <c r="O78" s="416"/>
      <c r="P78" s="458" t="str">
        <f>IF(COUNTIFS(Table16[ประเภท],P71,Table16[ฝ่าย],A78,Table16[สัปดาห์แจ้งซ่อม],"1")=0,"-",COUNTIFS(Table16[ประเภท],P71,Table16[ฝ่าย],A78,Table16[สัปดาห์แจ้งซ่อม],"1"))</f>
        <v>-</v>
      </c>
    </row>
    <row r="79" spans="1:16" ht="15" thickBot="1">
      <c r="A79" s="176" t="s">
        <v>76</v>
      </c>
      <c r="B79" s="177">
        <f>COUNTIFS(Table16[ฝ่าย],A79,Table16[สัปดาห์แจ้งซ่อม],1)</f>
        <v>1</v>
      </c>
      <c r="C79" s="178">
        <f>B79/B86</f>
        <v>0.04</v>
      </c>
      <c r="D79" s="416" t="str">
        <f>IF(COUNTIFS(Table16[ประเภท],D71,Table16[ฝ่าย],A79,Table16[สัปดาห์แจ้งซ่อม],"1")=0,"-",COUNTIFS(Table16[ประเภท],D71,Table16[ฝ่าย],A79,Table16[สัปดาห์แจ้งซ่อม],"1"))</f>
        <v>-</v>
      </c>
      <c r="E79" s="416" t="str">
        <f>IF(COUNTIFS(Table16[ประเภท],E71,Table16[ฝ่าย],A79,Table16[สัปดาห์แจ้งซ่อม],"1")=0,"-",COUNTIFS(Table16[ประเภท],E71,Table16[ฝ่าย],A79,Table16[สัปดาห์แจ้งซ่อม],"1"))</f>
        <v>-</v>
      </c>
      <c r="F79" s="416" t="str">
        <f>IF(COUNTIFS(Table16[ประเภท],F71,Table16[ฝ่าย],A79,Table16[สัปดาห์แจ้งซ่อม],"1")=0,"-",COUNTIFS(Table16[ประเภท],F71,Table16[ฝ่าย],A79,Table16[สัปดาห์แจ้งซ่อม],"1"))</f>
        <v>-</v>
      </c>
      <c r="G79" s="416" t="str">
        <f>IF(COUNTIFS(Table16[ประเภท],G71,Table16[ฝ่าย],A79,Table16[สัปดาห์แจ้งซ่อม],"1")=0,"-",COUNTIFS(Table16[ประเภท],G71,Table16[ฝ่าย],A79,Table16[สัปดาห์แจ้งซ่อม],"1"))</f>
        <v>-</v>
      </c>
      <c r="H79" s="416" t="str">
        <f>IF(COUNTIFS(Table16[ประเภท],H71,Table16[ฝ่าย],A79,Table16[สัปดาห์แจ้งซ่อม],"1")=0,"-",COUNTIFS(Table16[ประเภท],H71,Table16[ฝ่าย],A79,Table16[สัปดาห์แจ้งซ่อม],"1"))</f>
        <v>-</v>
      </c>
      <c r="I79" s="416" t="str">
        <f>IF(COUNTIFS(Table16[ประเภท],I71,Table16[ฝ่าย],A79,Table16[สัปดาห์แจ้งซ่อม],"1")=0,"-",COUNTIFS(Table16[ประเภท],I71,Table16[ฝ่าย],A79,Table16[สัปดาห์แจ้งซ่อม],"1"))</f>
        <v>-</v>
      </c>
      <c r="J79" s="416">
        <f>IF(COUNTIFS(Table16[ประเภท],J71,Table16[ฝ่าย],A79,Table16[สัปดาห์แจ้งซ่อม],"1")=0,"-",COUNTIFS(Table16[ประเภท],J71,Table16[ฝ่าย],A79,Table16[สัปดาห์แจ้งซ่อม],"1"))</f>
        <v>1</v>
      </c>
      <c r="K79" s="416" t="str">
        <f>IF(COUNTIFS(Table16[ประเภท],K71,Table16[ฝ่าย],A79,Table16[สัปดาห์แจ้งซ่อม],"1")=0,"-",COUNTIFS(Table16[ประเภท],K71,Table16[ฝ่าย],A79,Table16[สัปดาห์แจ้งซ่อม],"1"))</f>
        <v>-</v>
      </c>
      <c r="L79" s="416" t="str">
        <f>IF(COUNTIFS(Table16[ประเภท],L71,Table16[ฝ่าย],A79,Table16[สัปดาห์แจ้งซ่อม],"1")=0,"-",COUNTIFS(Table16[ประเภท],L71,Table16[ฝ่าย],A79,Table16[สัปดาห์แจ้งซ่อม],"1"))</f>
        <v>-</v>
      </c>
      <c r="M79" s="416" t="str">
        <f>IF(COUNTIFS(Table16[ประเภท],M71,Table16[ฝ่าย],A79,Table16[สัปดาห์แจ้งซ่อม],"1")=0,"-",COUNTIFS(Table16[ประเภท],M71,Table16[ฝ่าย],A79,Table16[สัปดาห์แจ้งซ่อม],"1"))</f>
        <v>-</v>
      </c>
      <c r="N79" s="416" t="str">
        <f>IF(COUNTIFS(Table16[ประเภท],N71,Table16[ฝ่าย],A79,Table16[สัปดาห์แจ้งซ่อม],"1")=0,"-",COUNTIFS(Table16[ประเภท],N71,Table16[ฝ่าย],A79,Table16[สัปดาห์แจ้งซ่อม],"1"))</f>
        <v>-</v>
      </c>
      <c r="O79" s="416"/>
      <c r="P79" s="458" t="str">
        <f>IF(COUNTIFS(Table16[ประเภท],P71,Table16[ฝ่าย],A79,Table16[สัปดาห์แจ้งซ่อม],"1")=0,"-",COUNTIFS(Table16[ประเภท],P71,Table16[ฝ่าย],A79,Table16[สัปดาห์แจ้งซ่อม],"1"))</f>
        <v>-</v>
      </c>
    </row>
    <row r="80" spans="1:16" ht="15" thickBot="1">
      <c r="A80" s="176" t="s">
        <v>77</v>
      </c>
      <c r="B80" s="177">
        <f>COUNTIFS(Table16[ฝ่าย],A80,Table16[สัปดาห์แจ้งซ่อม],1)</f>
        <v>0</v>
      </c>
      <c r="C80" s="178">
        <f>B80/B86</f>
        <v>0</v>
      </c>
      <c r="D80" s="416" t="str">
        <f>IF(COUNTIFS(Table16[ประเภท],D71,Table16[ฝ่าย],A80,Table16[สัปดาห์แจ้งซ่อม],"1")=0,"-",COUNTIFS(Table16[ประเภท],D71,Table16[ฝ่าย],A80,Table16[สัปดาห์แจ้งซ่อม],"1"))</f>
        <v>-</v>
      </c>
      <c r="E80" s="416" t="str">
        <f>IF(COUNTIFS(Table16[ประเภท],E71,Table16[ฝ่าย],A80,Table16[สัปดาห์แจ้งซ่อม],"1")=0,"-",COUNTIFS(Table16[ประเภท],E71,Table16[ฝ่าย],A80,Table16[สัปดาห์แจ้งซ่อม],"1"))</f>
        <v>-</v>
      </c>
      <c r="F80" s="416" t="str">
        <f>IF(COUNTIFS(Table16[ประเภท],F71,Table16[ฝ่าย],A80,Table16[สัปดาห์แจ้งซ่อม],"1")=0,"-",COUNTIFS(Table16[ประเภท],F71,Table16[ฝ่าย],A80,Table16[สัปดาห์แจ้งซ่อม],"1"))</f>
        <v>-</v>
      </c>
      <c r="G80" s="416" t="str">
        <f>IF(COUNTIFS(Table16[ประเภท],G71,Table16[ฝ่าย],A80,Table16[สัปดาห์แจ้งซ่อม],"1")=0,"-",COUNTIFS(Table16[ประเภท],G71,Table16[ฝ่าย],A80,Table16[สัปดาห์แจ้งซ่อม],"1"))</f>
        <v>-</v>
      </c>
      <c r="H80" s="416" t="str">
        <f>IF(COUNTIFS(Table16[ประเภท],H71,Table16[ฝ่าย],A80,Table16[สัปดาห์แจ้งซ่อม],"1")=0,"-",COUNTIFS(Table16[ประเภท],H71,Table16[ฝ่าย],A80,Table16[สัปดาห์แจ้งซ่อม],"1"))</f>
        <v>-</v>
      </c>
      <c r="I80" s="416" t="str">
        <f>IF(COUNTIFS(Table16[ประเภท],I71,Table16[ฝ่าย],A80,Table16[สัปดาห์แจ้งซ่อม],"1")=0,"-",COUNTIFS(Table16[ประเภท],I71,Table16[ฝ่าย],A80,Table16[สัปดาห์แจ้งซ่อม],"1"))</f>
        <v>-</v>
      </c>
      <c r="J80" s="416" t="str">
        <f>IF(COUNTIFS(Table16[ประเภท],J71,Table16[ฝ่าย],A80,Table16[สัปดาห์แจ้งซ่อม],"1")=0,"-",COUNTIFS(Table16[ประเภท],J71,Table16[ฝ่าย],A80,Table16[สัปดาห์แจ้งซ่อม],"1"))</f>
        <v>-</v>
      </c>
      <c r="K80" s="416" t="str">
        <f>IF(COUNTIFS(Table16[ประเภท],K71,Table16[ฝ่าย],A80,Table16[สัปดาห์แจ้งซ่อม],"1")=0,"-",COUNTIFS(Table16[ประเภท],K71,Table16[ฝ่าย],A80,Table16[สัปดาห์แจ้งซ่อม],"1"))</f>
        <v>-</v>
      </c>
      <c r="L80" s="416" t="str">
        <f>IF(COUNTIFS(Table16[ประเภท],L71,Table16[ฝ่าย],A80,Table16[สัปดาห์แจ้งซ่อม],"1")=0,"-",COUNTIFS(Table16[ประเภท],L71,Table16[ฝ่าย],A80,Table16[สัปดาห์แจ้งซ่อม],"1"))</f>
        <v>-</v>
      </c>
      <c r="M80" s="416" t="str">
        <f>IF(COUNTIFS(Table16[ประเภท],M71,Table16[ฝ่าย],A80,Table16[สัปดาห์แจ้งซ่อม],"1")=0,"-",COUNTIFS(Table16[ประเภท],M71,Table16[ฝ่าย],A80,Table16[สัปดาห์แจ้งซ่อม],"1"))</f>
        <v>-</v>
      </c>
      <c r="N80" s="416" t="str">
        <f>IF(COUNTIFS(Table16[ประเภท],N71,Table16[ฝ่าย],A80,Table16[สัปดาห์แจ้งซ่อม],"1")=0,"-",COUNTIFS(Table16[ประเภท],N71,Table16[ฝ่าย],A80,Table16[สัปดาห์แจ้งซ่อม],"1"))</f>
        <v>-</v>
      </c>
      <c r="O80" s="416"/>
      <c r="P80" s="458" t="str">
        <f>IF(COUNTIFS(Table16[ประเภท],P71,Table16[ฝ่าย],A80,Table16[สัปดาห์แจ้งซ่อม],"1")=0,"-",COUNTIFS(Table16[ประเภท],P71,Table16[ฝ่าย],A80,Table16[สัปดาห์แจ้งซ่อม],"1"))</f>
        <v>-</v>
      </c>
    </row>
    <row r="81" spans="1:16" ht="15" thickBot="1">
      <c r="A81" s="176" t="s">
        <v>78</v>
      </c>
      <c r="B81" s="177">
        <f>COUNTIFS(Table16[ฝ่าย],A81,Table16[สัปดาห์แจ้งซ่อม],1)</f>
        <v>0</v>
      </c>
      <c r="C81" s="179">
        <f>B81/B86</f>
        <v>0</v>
      </c>
      <c r="D81" s="416" t="str">
        <f>IF(COUNTIFS(Table16[ประเภท],D71,Table16[ฝ่าย],A81,Table16[สัปดาห์แจ้งซ่อม],"1")=0,"-",COUNTIFS(Table16[ประเภท],D71,Table16[ฝ่าย],A81,Table16[สัปดาห์แจ้งซ่อม],"1"))</f>
        <v>-</v>
      </c>
      <c r="E81" s="416" t="str">
        <f>IF(COUNTIFS(Table16[ประเภท],E71,Table16[ฝ่าย],A81,Table16[สัปดาห์แจ้งซ่อม],"1")=0,"-",COUNTIFS(Table16[ประเภท],E71,Table16[ฝ่าย],A81,Table16[สัปดาห์แจ้งซ่อม],"1"))</f>
        <v>-</v>
      </c>
      <c r="F81" s="416" t="str">
        <f>IF(COUNTIFS(Table16[ประเภท],F71,Table16[ฝ่าย],A81,Table16[สัปดาห์แจ้งซ่อม],"1")=0,"-",COUNTIFS(Table16[ประเภท],F71,Table16[ฝ่าย],A81,Table16[สัปดาห์แจ้งซ่อม],"1"))</f>
        <v>-</v>
      </c>
      <c r="G81" s="416" t="str">
        <f>IF(COUNTIFS(Table16[ประเภท],G71,Table16[ฝ่าย],A81,Table16[สัปดาห์แจ้งซ่อม],"1")=0,"-",COUNTIFS(Table16[ประเภท],G71,Table16[ฝ่าย],A81,Table16[สัปดาห์แจ้งซ่อม],"1"))</f>
        <v>-</v>
      </c>
      <c r="H81" s="416" t="str">
        <f>IF(COUNTIFS(Table16[ประเภท],H71,Table16[ฝ่าย],A81,Table16[สัปดาห์แจ้งซ่อม],"1")=0,"-",COUNTIFS(Table16[ประเภท],H71,Table16[ฝ่าย],A81,Table16[สัปดาห์แจ้งซ่อม],"1"))</f>
        <v>-</v>
      </c>
      <c r="I81" s="416" t="str">
        <f>IF(COUNTIFS(Table16[ประเภท],I71,Table16[ฝ่าย],A81,Table16[สัปดาห์แจ้งซ่อม],"1")=0,"-",COUNTIFS(Table16[ประเภท],I71,Table16[ฝ่าย],A81,Table16[สัปดาห์แจ้งซ่อม],"1"))</f>
        <v>-</v>
      </c>
      <c r="J81" s="416" t="str">
        <f>IF(COUNTIFS(Table16[ประเภท],J71,Table16[ฝ่าย],A81,Table16[สัปดาห์แจ้งซ่อม],"1")=0,"-",COUNTIFS(Table16[ประเภท],J71,Table16[ฝ่าย],A81,Table16[สัปดาห์แจ้งซ่อม],"1"))</f>
        <v>-</v>
      </c>
      <c r="K81" s="416" t="str">
        <f>IF(COUNTIFS(Table16[ประเภท],K71,Table16[ฝ่าย],A81,Table16[สัปดาห์แจ้งซ่อม],"1")=0,"-",COUNTIFS(Table16[ประเภท],K71,Table16[ฝ่าย],A81,Table16[สัปดาห์แจ้งซ่อม],"1"))</f>
        <v>-</v>
      </c>
      <c r="L81" s="416" t="str">
        <f>IF(COUNTIFS(Table16[ประเภท],L71,Table16[ฝ่าย],A81,Table16[สัปดาห์แจ้งซ่อม],"1")=0,"-",COUNTIFS(Table16[ประเภท],L71,Table16[ฝ่าย],A81,Table16[สัปดาห์แจ้งซ่อม],"1"))</f>
        <v>-</v>
      </c>
      <c r="M81" s="416" t="str">
        <f>IF(COUNTIFS(Table16[ประเภท],M71,Table16[ฝ่าย],A81,Table16[สัปดาห์แจ้งซ่อม],"1")=0,"-",COUNTIFS(Table16[ประเภท],M71,Table16[ฝ่าย],A81,Table16[สัปดาห์แจ้งซ่อม],"1"))</f>
        <v>-</v>
      </c>
      <c r="N81" s="416" t="str">
        <f>IF(COUNTIFS(Table16[ประเภท],N71,Table16[ฝ่าย],A81,Table16[สัปดาห์แจ้งซ่อม],"1")=0,"-",COUNTIFS(Table16[ประเภท],N71,Table16[ฝ่าย],A81,Table16[สัปดาห์แจ้งซ่อม],"1"))</f>
        <v>-</v>
      </c>
      <c r="O81" s="416"/>
      <c r="P81" s="458" t="str">
        <f>IF(COUNTIFS(Table16[ประเภท],P71,Table16[ฝ่าย],A81,Table16[สัปดาห์แจ้งซ่อม],"1")=0,"-",COUNTIFS(Table16[ประเภท],P71,Table16[ฝ่าย],A81,Table16[สัปดาห์แจ้งซ่อม],"1"))</f>
        <v>-</v>
      </c>
    </row>
    <row r="82" spans="1:16" ht="15" thickBot="1">
      <c r="A82" s="176" t="s">
        <v>79</v>
      </c>
      <c r="B82" s="177">
        <f>COUNTIFS(Table16[ฝ่าย],A82,Table16[สัปดาห์แจ้งซ่อม],1)</f>
        <v>0</v>
      </c>
      <c r="C82" s="179">
        <f>B82/B86</f>
        <v>0</v>
      </c>
      <c r="D82" s="416" t="str">
        <f>IF(COUNTIFS(Table16[ประเภท],D71,Table16[ฝ่าย],A82,Table16[สัปดาห์แจ้งซ่อม],"1")=0,"-",COUNTIFS(Table16[ประเภท],D71,Table16[ฝ่าย],A82,Table16[สัปดาห์แจ้งซ่อม],"1"))</f>
        <v>-</v>
      </c>
      <c r="E82" s="416" t="str">
        <f>IF(COUNTIFS(Table16[ประเภท],E71,Table16[ฝ่าย],A82,Table16[สัปดาห์แจ้งซ่อม],"1")=0,"-",COUNTIFS(Table16[ประเภท],E71,Table16[ฝ่าย],A82,Table16[สัปดาห์แจ้งซ่อม],"1"))</f>
        <v>-</v>
      </c>
      <c r="F82" s="416" t="str">
        <f>IF(COUNTIFS(Table16[ประเภท],F71,Table16[ฝ่าย],A82,Table16[สัปดาห์แจ้งซ่อม],"1")=0,"-",COUNTIFS(Table16[ประเภท],F71,Table16[ฝ่าย],A82,Table16[สัปดาห์แจ้งซ่อม],"1"))</f>
        <v>-</v>
      </c>
      <c r="G82" s="416" t="str">
        <f>IF(COUNTIFS(Table16[ประเภท],G71,Table16[ฝ่าย],A82,Table16[สัปดาห์แจ้งซ่อม],"1")=0,"-",COUNTIFS(Table16[ประเภท],G71,Table16[ฝ่าย],A82,Table16[สัปดาห์แจ้งซ่อม],"1"))</f>
        <v>-</v>
      </c>
      <c r="H82" s="416" t="str">
        <f>IF(COUNTIFS(Table16[ประเภท],H71,Table16[ฝ่าย],A82,Table16[สัปดาห์แจ้งซ่อม],"1")=0,"-",COUNTIFS(Table16[ประเภท],H71,Table16[ฝ่าย],A82,Table16[สัปดาห์แจ้งซ่อม],"1"))</f>
        <v>-</v>
      </c>
      <c r="I82" s="416" t="str">
        <f>IF(COUNTIFS(Table16[ประเภท],I71,Table16[ฝ่าย],A82,Table16[สัปดาห์แจ้งซ่อม],"1")=0,"-",COUNTIFS(Table16[ประเภท],I71,Table16[ฝ่าย],A82,Table16[สัปดาห์แจ้งซ่อม],"1"))</f>
        <v>-</v>
      </c>
      <c r="J82" s="416" t="str">
        <f>IF(COUNTIFS(Table16[ประเภท],J71,Table16[ฝ่าย],A82,Table16[สัปดาห์แจ้งซ่อม],"1")=0,"-",COUNTIFS(Table16[ประเภท],J71,Table16[ฝ่าย],A82,Table16[สัปดาห์แจ้งซ่อม],"1"))</f>
        <v>-</v>
      </c>
      <c r="K82" s="416" t="str">
        <f>IF(COUNTIFS(Table16[ประเภท],K71,Table16[ฝ่าย],A82,Table16[สัปดาห์แจ้งซ่อม],"1")=0,"-",COUNTIFS(Table16[ประเภท],K71,Table16[ฝ่าย],A82,Table16[สัปดาห์แจ้งซ่อม],"1"))</f>
        <v>-</v>
      </c>
      <c r="L82" s="416" t="str">
        <f>IF(COUNTIFS(Table16[ประเภท],L71,Table16[ฝ่าย],A82,Table16[สัปดาห์แจ้งซ่อม],"1")=0,"-",COUNTIFS(Table16[ประเภท],L71,Table16[ฝ่าย],A82,Table16[สัปดาห์แจ้งซ่อม],"1"))</f>
        <v>-</v>
      </c>
      <c r="M82" s="416" t="str">
        <f>IF(COUNTIFS(Table16[ประเภท],M71,Table16[ฝ่าย],A82,Table16[สัปดาห์แจ้งซ่อม],"1")=0,"-",COUNTIFS(Table16[ประเภท],M71,Table16[ฝ่าย],A82,Table16[สัปดาห์แจ้งซ่อม],"1"))</f>
        <v>-</v>
      </c>
      <c r="N82" s="416" t="str">
        <f>IF(COUNTIFS(Table16[ประเภท],N71,Table16[ฝ่าย],A82,Table16[สัปดาห์แจ้งซ่อม],"1")=0,"-",COUNTIFS(Table16[ประเภท],N71,Table16[ฝ่าย],A82,Table16[สัปดาห์แจ้งซ่อม],"1"))</f>
        <v>-</v>
      </c>
      <c r="O82" s="416"/>
      <c r="P82" s="458" t="str">
        <f>IF(COUNTIFS(Table16[ประเภท],P71,Table16[ฝ่าย],A82,Table16[สัปดาห์แจ้งซ่อม],"1")=0,"-",COUNTIFS(Table16[ประเภท],P71,Table16[ฝ่าย],A82,Table16[สัปดาห์แจ้งซ่อม],"1"))</f>
        <v>-</v>
      </c>
    </row>
    <row r="83" spans="1:16" ht="15" thickBot="1">
      <c r="A83" s="176" t="s">
        <v>80</v>
      </c>
      <c r="B83" s="177">
        <f>COUNTIFS(Table16[ฝ่าย],A83,Table16[สัปดาห์แจ้งซ่อม],1)</f>
        <v>0</v>
      </c>
      <c r="C83" s="179">
        <f>B83/B86</f>
        <v>0</v>
      </c>
      <c r="D83" s="416" t="str">
        <f>IF(COUNTIFS(Table16[ประเภท],D71,Table16[ฝ่าย],A83,Table16[สัปดาห์แจ้งซ่อม],"1")=0,"-",COUNTIFS(Table16[ประเภท],D71,Table16[ฝ่าย],A83,Table16[สัปดาห์แจ้งซ่อม],"1"))</f>
        <v>-</v>
      </c>
      <c r="E83" s="416" t="str">
        <f>IF(COUNTIFS(Table16[ประเภท],E71,Table16[ฝ่าย],A83,Table16[สัปดาห์แจ้งซ่อม],"1")=0,"-",COUNTIFS(Table16[ประเภท],E71,Table16[ฝ่าย],A83,Table16[สัปดาห์แจ้งซ่อม],"1"))</f>
        <v>-</v>
      </c>
      <c r="F83" s="416" t="str">
        <f>IF(COUNTIFS(Table16[ประเภท],F71,Table16[ฝ่าย],A83,Table16[สัปดาห์แจ้งซ่อม],"1")=0,"-",COUNTIFS(Table16[ประเภท],F71,Table16[ฝ่าย],A83,Table16[สัปดาห์แจ้งซ่อม],"1"))</f>
        <v>-</v>
      </c>
      <c r="G83" s="416" t="str">
        <f>IF(COUNTIFS(Table16[ประเภท],G71,Table16[ฝ่าย],A83,Table16[สัปดาห์แจ้งซ่อม],"1")=0,"-",COUNTIFS(Table16[ประเภท],G71,Table16[ฝ่าย],A83,Table16[สัปดาห์แจ้งซ่อม],"1"))</f>
        <v>-</v>
      </c>
      <c r="H83" s="416" t="str">
        <f>IF(COUNTIFS(Table16[ประเภท],H71,Table16[ฝ่าย],A83,Table16[สัปดาห์แจ้งซ่อม],"1")=0,"-",COUNTIFS(Table16[ประเภท],H71,Table16[ฝ่าย],A83,Table16[สัปดาห์แจ้งซ่อม],"1"))</f>
        <v>-</v>
      </c>
      <c r="I83" s="416" t="str">
        <f>IF(COUNTIFS(Table16[ประเภท],I71,Table16[ฝ่าย],A83,Table16[สัปดาห์แจ้งซ่อม],"1")=0,"-",COUNTIFS(Table16[ประเภท],I71,Table16[ฝ่าย],A83,Table16[สัปดาห์แจ้งซ่อม],"1"))</f>
        <v>-</v>
      </c>
      <c r="J83" s="416" t="str">
        <f>IF(COUNTIFS(Table16[ประเภท],J71,Table16[ฝ่าย],A83,Table16[สัปดาห์แจ้งซ่อม],"1")=0,"-",COUNTIFS(Table16[ประเภท],J71,Table16[ฝ่าย],A83,Table16[สัปดาห์แจ้งซ่อม],"1"))</f>
        <v>-</v>
      </c>
      <c r="K83" s="416" t="str">
        <f>IF(COUNTIFS(Table16[ประเภท],K71,Table16[ฝ่าย],A83,Table16[สัปดาห์แจ้งซ่อม],"1")=0,"-",COUNTIFS(Table16[ประเภท],K71,Table16[ฝ่าย],A83,Table16[สัปดาห์แจ้งซ่อม],"1"))</f>
        <v>-</v>
      </c>
      <c r="L83" s="416" t="str">
        <f>IF(COUNTIFS(Table16[ประเภท],L71,Table16[ฝ่าย],A83,Table16[สัปดาห์แจ้งซ่อม],"1")=0,"-",COUNTIFS(Table16[ประเภท],L71,Table16[ฝ่าย],A83,Table16[สัปดาห์แจ้งซ่อม],"1"))</f>
        <v>-</v>
      </c>
      <c r="M83" s="416" t="str">
        <f>IF(COUNTIFS(Table16[ประเภท],M71,Table16[ฝ่าย],A83,Table16[สัปดาห์แจ้งซ่อม],"1")=0,"-",COUNTIFS(Table16[ประเภท],M71,Table16[ฝ่าย],A83,Table16[สัปดาห์แจ้งซ่อม],"1"))</f>
        <v>-</v>
      </c>
      <c r="N83" s="416" t="str">
        <f>IF(COUNTIFS(Table16[ประเภท],N71,Table16[ฝ่าย],A83,Table16[สัปดาห์แจ้งซ่อม],"1")=0,"-",COUNTIFS(Table16[ประเภท],N71,Table16[ฝ่าย],A83,Table16[สัปดาห์แจ้งซ่อม],"1"))</f>
        <v>-</v>
      </c>
      <c r="O83" s="416"/>
      <c r="P83" s="458" t="str">
        <f>IF(COUNTIFS(Table16[ประเภท],P71,Table16[ฝ่าย],A83,Table16[สัปดาห์แจ้งซ่อม],"1")=0,"-",COUNTIFS(Table16[ประเภท],P71,Table16[ฝ่าย],A83,Table16[สัปดาห์แจ้งซ่อม],"1"))</f>
        <v>-</v>
      </c>
    </row>
    <row r="84" spans="1:16" ht="15" thickBot="1">
      <c r="A84" s="176" t="s">
        <v>81</v>
      </c>
      <c r="B84" s="177">
        <f>COUNTIFS(Table16[ฝ่าย],A84,Table16[สัปดาห์แจ้งซ่อม],1)</f>
        <v>0</v>
      </c>
      <c r="C84" s="179">
        <f>B84/B86</f>
        <v>0</v>
      </c>
      <c r="D84" s="416" t="str">
        <f>IF(COUNTIFS(Table16[ประเภท],D71,Table16[ฝ่าย],A84,Table16[สัปดาห์แจ้งซ่อม],"1")=0,"-",COUNTIFS(Table16[ประเภท],D71,Table16[ฝ่าย],A81,Table16[สัปดาห์แจ้งซ่อม],"1"))</f>
        <v>-</v>
      </c>
      <c r="E84" s="416" t="str">
        <f>IF(COUNTIFS(Table16[ประเภท],E71,Table16[ฝ่าย],A84,Table16[สัปดาห์แจ้งซ่อม],"1")=0,"-",COUNTIFS(Table16[ประเภท],E71,Table16[ฝ่าย],A81,Table16[สัปดาห์แจ้งซ่อม],"1"))</f>
        <v>-</v>
      </c>
      <c r="F84" s="416" t="str">
        <f>IF(COUNTIFS(Table16[ประเภท],F71,Table16[ฝ่าย],A84,Table16[สัปดาห์แจ้งซ่อม],"1")=0,"-",COUNTIFS(Table16[ประเภท],F71,Table16[ฝ่าย],A84,Table16[สัปดาห์แจ้งซ่อม],"1"))</f>
        <v>-</v>
      </c>
      <c r="G84" s="416" t="str">
        <f>IF(COUNTIFS(Table16[ประเภท],G71,Table16[ฝ่าย],A84,Table16[สัปดาห์แจ้งซ่อม],"1")=0,"-",COUNTIFS(Table16[ประเภท],G71,Table16[ฝ่าย],A84,Table16[สัปดาห์แจ้งซ่อม],"1"))</f>
        <v>-</v>
      </c>
      <c r="H84" s="416" t="str">
        <f>IF(COUNTIFS(Table16[ประเภท],H71,Table16[ฝ่าย],A84,Table16[สัปดาห์แจ้งซ่อม],"1")=0,"-",COUNTIFS(Table16[ประเภท],H71,Table16[ฝ่าย],A84,Table16[สัปดาห์แจ้งซ่อม],"1"))</f>
        <v>-</v>
      </c>
      <c r="I84" s="416" t="str">
        <f>IF(COUNTIFS(Table16[ประเภท],I71,Table16[ฝ่าย],A84,Table16[สัปดาห์แจ้งซ่อม],"1")=0,"-",COUNTIFS(Table16[ประเภท],I71,Table16[ฝ่าย],A84,Table16[สัปดาห์แจ้งซ่อม],"1"))</f>
        <v>-</v>
      </c>
      <c r="J84" s="416" t="str">
        <f>IF(COUNTIFS(Table16[ประเภท],J71,Table16[ฝ่าย],A84,Table16[สัปดาห์แจ้งซ่อม],"1")=0,"-",COUNTIFS(Table16[ประเภท],J71,Table16[ฝ่าย],A84,Table16[สัปดาห์แจ้งซ่อม],"1"))</f>
        <v>-</v>
      </c>
      <c r="K84" s="416" t="str">
        <f>IF(COUNTIFS(Table16[ประเภท],K71,Table16[ฝ่าย],A84,Table16[สัปดาห์แจ้งซ่อม],"1")=0,"-",COUNTIFS(Table16[ประเภท],K71,Table16[ฝ่าย],A84,Table16[สัปดาห์แจ้งซ่อม],"1"))</f>
        <v>-</v>
      </c>
      <c r="L84" s="416" t="str">
        <f>IF(COUNTIFS(Table16[ประเภท],L71,Table16[ฝ่าย],A84,Table16[สัปดาห์แจ้งซ่อม],"1")=0,"-",COUNTIFS(Table16[ประเภท],L71,Table16[ฝ่าย],A84,Table16[สัปดาห์แจ้งซ่อม],"1"))</f>
        <v>-</v>
      </c>
      <c r="M84" s="416" t="str">
        <f>IF(COUNTIFS(Table16[ประเภท],M71,Table16[ฝ่าย],A84,Table16[สัปดาห์แจ้งซ่อม],"1")=0,"-",COUNTIFS(Table16[ประเภท],M71,Table16[ฝ่าย],A84,Table16[สัปดาห์แจ้งซ่อม],"1"))</f>
        <v>-</v>
      </c>
      <c r="N84" s="416" t="str">
        <f>IF(COUNTIFS(Table16[ประเภท],N71,Table16[ฝ่าย],A84,Table16[สัปดาห์แจ้งซ่อม],"1")=0,"-",COUNTIFS(Table16[ประเภท],N71,Table16[ฝ่าย],A84,Table16[สัปดาห์แจ้งซ่อม],"1"))</f>
        <v>-</v>
      </c>
      <c r="O84" s="416"/>
      <c r="P84" s="458" t="str">
        <f>IF(COUNTIFS(Table16[ประเภท],P71,Table16[ฝ่าย],A84,Table16[สัปดาห์แจ้งซ่อม],"1")=0,"-",COUNTIFS(Table16[ประเภท],P71,Table16[ฝ่าย],A84,Table16[สัปดาห์แจ้งซ่อม],"1"))</f>
        <v>-</v>
      </c>
    </row>
    <row r="85" spans="1:16" ht="15" thickBot="1">
      <c r="A85" s="176" t="s">
        <v>171</v>
      </c>
      <c r="B85" s="177">
        <f>COUNTIFS(Table16[ฝ่าย],A85,Table16[สัปดาห์แจ้งซ่อม],1)</f>
        <v>0</v>
      </c>
      <c r="C85" s="179">
        <f>B85/B87</f>
        <v>0</v>
      </c>
      <c r="D85" s="416" t="str">
        <f>IF(COUNTIFS(Table16[ประเภท],D71,Table16[ฝ่าย],A85,Table16[สัปดาห์แจ้งซ่อม],"1")=0,"-",COUNTIFS(Table16[ประเภท],D71,Table16[ฝ่าย],A85,Table16[สัปดาห์แจ้งซ่อม],"1"))</f>
        <v>-</v>
      </c>
      <c r="E85" s="416" t="str">
        <f>IF(COUNTIFS(Table16[ประเภท],E71,Table16[ฝ่าย],A85,Table16[สัปดาห์แจ้งซ่อม],"1")=0,"-",COUNTIFS(Table16[ประเภท],E71,Table16[ฝ่าย],A85,Table16[สัปดาห์แจ้งซ่อม],"1"))</f>
        <v>-</v>
      </c>
      <c r="F85" s="416" t="str">
        <f>IF(COUNTIFS(Table16[ประเภท],F71,Table16[ฝ่าย],A85,Table16[สัปดาห์แจ้งซ่อม],"1")=0,"-",COUNTIFS(Table16[ประเภท],F71,Table16[ฝ่าย],A85,Table16[สัปดาห์แจ้งซ่อม],"1"))</f>
        <v>-</v>
      </c>
      <c r="G85" s="416" t="str">
        <f>IF(COUNTIFS(Table16[ประเภท],G71,Table16[ฝ่าย],A85,Table16[สัปดาห์แจ้งซ่อม],"1")=0,"-",COUNTIFS(Table16[ประเภท],G71,Table16[ฝ่าย],A85,Table16[สัปดาห์แจ้งซ่อม],"1"))</f>
        <v>-</v>
      </c>
      <c r="H85" s="416" t="str">
        <f>IF(COUNTIFS(Table16[ประเภท],H71,Table16[ฝ่าย],A85,Table16[สัปดาห์แจ้งซ่อม],"1")=0,"-",COUNTIFS(Table16[ประเภท],H71,Table16[ฝ่าย],A85,Table16[สัปดาห์แจ้งซ่อม],"1"))</f>
        <v>-</v>
      </c>
      <c r="I85" s="416" t="str">
        <f>IF(COUNTIFS(Table16[ประเภท],I71,Table16[ฝ่าย],A85,Table16[สัปดาห์แจ้งซ่อม],"1")=0,"-",COUNTIFS(Table16[ประเภท],I71,Table16[ฝ่าย],A85,Table16[สัปดาห์แจ้งซ่อม],"1"))</f>
        <v>-</v>
      </c>
      <c r="J85" s="416" t="str">
        <f>IF(COUNTIFS(Table16[ประเภท],J71,Table16[ฝ่าย],A85,Table16[สัปดาห์แจ้งซ่อม],"1")=0,"-",COUNTIFS(Table16[ประเภท],J71,Table16[ฝ่าย],A85,Table16[สัปดาห์แจ้งซ่อม],"1"))</f>
        <v>-</v>
      </c>
      <c r="K85" s="416" t="str">
        <f>IF(COUNTIFS(Table16[ประเภท],K71,Table16[ฝ่าย],A85,Table16[สัปดาห์แจ้งซ่อม],"1")=0,"-",COUNTIFS(Table16[ประเภท],K71,Table16[ฝ่าย],A85,Table16[สัปดาห์แจ้งซ่อม],"1"))</f>
        <v>-</v>
      </c>
      <c r="L85" s="416" t="str">
        <f>IF(COUNTIFS(Table16[ประเภท],L71,Table16[ฝ่าย],A85,Table16[สัปดาห์แจ้งซ่อม],"1")=0,"-",COUNTIFS(Table16[ประเภท],L71,Table16[ฝ่าย],A85,Table16[สัปดาห์แจ้งซ่อม],"1"))</f>
        <v>-</v>
      </c>
      <c r="M85" s="416" t="str">
        <f>IF(COUNTIFS(Table16[ประเภท],M71,Table16[ฝ่าย],A85,Table16[สัปดาห์แจ้งซ่อม],"1")=0,"-",COUNTIFS(Table16[ประเภท],M71,Table16[ฝ่าย],A85,Table16[สัปดาห์แจ้งซ่อม],"1"))</f>
        <v>-</v>
      </c>
      <c r="N85" s="416" t="str">
        <f>IF(COUNTIFS(Table16[ประเภท],N71,Table16[ฝ่าย],A85,Table16[สัปดาห์แจ้งซ่อม],"1")=0,"-",COUNTIFS(Table16[ประเภท],N71,Table16[ฝ่าย],A85,Table16[สัปดาห์แจ้งซ่อม],"1"))</f>
        <v>-</v>
      </c>
      <c r="O85" s="416"/>
      <c r="P85" s="458" t="str">
        <f>IF(COUNTIFS(Table16[ประเภท],P71,Table16[ฝ่าย],A85,Table16[สัปดาห์แจ้งซ่อม],"1")=0,"-",COUNTIFS(Table16[ประเภท],P71,Table16[ฝ่าย],A85,Table16[สัปดาห์แจ้งซ่อม],"1"))</f>
        <v>-</v>
      </c>
    </row>
    <row r="86" spans="1:16" ht="15" thickBot="1">
      <c r="A86" s="180" t="s">
        <v>82</v>
      </c>
      <c r="B86" s="181">
        <f>SUM(B72:B85)</f>
        <v>25</v>
      </c>
      <c r="C86" s="182">
        <f t="shared" ref="C86" si="3">SUM(C72:C84)</f>
        <v>1</v>
      </c>
      <c r="D86" s="417">
        <f>SUM(D72:D85)</f>
        <v>4</v>
      </c>
      <c r="E86" s="417">
        <f t="shared" ref="E86:P86" si="4">SUM(E72:E85)</f>
        <v>6</v>
      </c>
      <c r="F86" s="417">
        <f t="shared" si="4"/>
        <v>1</v>
      </c>
      <c r="G86" s="417">
        <f t="shared" si="4"/>
        <v>0</v>
      </c>
      <c r="H86" s="417">
        <f t="shared" si="4"/>
        <v>0</v>
      </c>
      <c r="I86" s="417">
        <f t="shared" si="4"/>
        <v>0</v>
      </c>
      <c r="J86" s="417">
        <f t="shared" si="4"/>
        <v>3</v>
      </c>
      <c r="K86" s="417">
        <f t="shared" si="4"/>
        <v>4</v>
      </c>
      <c r="L86" s="417">
        <f t="shared" si="4"/>
        <v>2</v>
      </c>
      <c r="M86" s="417">
        <f t="shared" si="4"/>
        <v>2</v>
      </c>
      <c r="N86" s="417">
        <f t="shared" si="4"/>
        <v>1</v>
      </c>
      <c r="O86" s="417">
        <f t="shared" si="4"/>
        <v>2</v>
      </c>
      <c r="P86" s="417">
        <f t="shared" si="4"/>
        <v>0</v>
      </c>
    </row>
    <row r="87" spans="1:16" ht="15" thickBot="1">
      <c r="A87" s="183" t="s">
        <v>83</v>
      </c>
      <c r="B87" s="184">
        <f>COUNTIFS(Table16[สถานะ],"เรียบร้อย",Table16[สัปดาห์แจ้งซ่อม],1)</f>
        <v>11</v>
      </c>
      <c r="C87" s="185"/>
      <c r="D87" s="76"/>
      <c r="E87" s="76"/>
      <c r="F87" s="76"/>
      <c r="G87" s="76"/>
      <c r="H87" s="76"/>
      <c r="I87" s="76"/>
      <c r="J87" s="76"/>
      <c r="K87" s="76"/>
      <c r="L87" s="76"/>
    </row>
    <row r="88" spans="1:16" ht="15" thickBot="1">
      <c r="A88" s="186" t="s">
        <v>84</v>
      </c>
      <c r="B88" s="187">
        <f>COUNTIFS(Table16[สถานะ],"กำลังดำเนินการ",Table16[สัปดาห์แจ้งซ่อม],1)</f>
        <v>2</v>
      </c>
      <c r="C88" s="185"/>
      <c r="D88" s="76"/>
      <c r="E88" s="76"/>
      <c r="F88" s="76"/>
      <c r="G88" s="76"/>
      <c r="H88" s="76"/>
      <c r="I88" s="76"/>
      <c r="J88" s="76"/>
      <c r="K88" s="76"/>
      <c r="L88" s="76"/>
    </row>
    <row r="89" spans="1:16" ht="15" thickBot="1">
      <c r="A89" s="188" t="s">
        <v>3</v>
      </c>
      <c r="B89" s="189">
        <f>COUNTIFS(Table16[สถานะ],"รอดำเนินการ",Table16[สัปดาห์แจ้งซ่อม],1)</f>
        <v>12</v>
      </c>
      <c r="C89" s="185"/>
      <c r="D89" s="76"/>
      <c r="E89" s="76"/>
      <c r="F89" s="76"/>
      <c r="G89" s="76"/>
      <c r="H89" s="76"/>
      <c r="I89" s="76"/>
      <c r="J89" s="76"/>
      <c r="K89" s="76"/>
      <c r="L89" s="76"/>
    </row>
    <row r="90" spans="1:16" ht="16.2" thickBot="1">
      <c r="A90" s="190" t="s">
        <v>85</v>
      </c>
      <c r="B90" s="191">
        <f>COUNTIFS(Table16[สถานะ],"โอนย้าย",Table16[สัปดาห์แจ้งซ่อม],1)</f>
        <v>0</v>
      </c>
    </row>
    <row r="91" spans="1:16" ht="30" customHeight="1" thickBot="1">
      <c r="A91" s="528" t="s">
        <v>657</v>
      </c>
      <c r="B91" s="529"/>
      <c r="C91" s="529"/>
      <c r="D91" s="529"/>
      <c r="E91" s="529"/>
      <c r="F91" s="529"/>
      <c r="G91" s="529"/>
      <c r="H91" s="529"/>
      <c r="I91" s="529"/>
      <c r="J91" s="529"/>
      <c r="K91" s="529"/>
      <c r="L91" s="529"/>
      <c r="M91" s="529"/>
      <c r="N91" s="529"/>
      <c r="O91" s="529"/>
      <c r="P91" s="529"/>
    </row>
    <row r="92" spans="1:16" ht="18.600000000000001" thickBot="1">
      <c r="A92" s="522" t="s">
        <v>656</v>
      </c>
      <c r="B92" s="522" t="s">
        <v>57</v>
      </c>
      <c r="C92" s="524" t="s">
        <v>58</v>
      </c>
      <c r="D92" s="526" t="s">
        <v>59</v>
      </c>
      <c r="E92" s="527"/>
      <c r="F92" s="527"/>
      <c r="G92" s="527"/>
      <c r="H92" s="527"/>
      <c r="I92" s="527"/>
      <c r="J92" s="527"/>
      <c r="K92" s="527"/>
      <c r="L92" s="527"/>
      <c r="M92" s="527"/>
      <c r="N92" s="527"/>
      <c r="O92" s="527"/>
      <c r="P92" s="527"/>
    </row>
    <row r="93" spans="1:16" ht="15" thickBot="1">
      <c r="A93" s="523"/>
      <c r="B93" s="523"/>
      <c r="C93" s="525"/>
      <c r="D93" s="172" t="s">
        <v>60</v>
      </c>
      <c r="E93" s="172" t="s">
        <v>61</v>
      </c>
      <c r="F93" s="173" t="s">
        <v>62</v>
      </c>
      <c r="G93" s="173" t="s">
        <v>63</v>
      </c>
      <c r="H93" s="173" t="s">
        <v>64</v>
      </c>
      <c r="I93" s="173" t="s">
        <v>65</v>
      </c>
      <c r="J93" s="173" t="s">
        <v>66</v>
      </c>
      <c r="K93" s="173" t="s">
        <v>67</v>
      </c>
      <c r="L93" s="174" t="s">
        <v>68</v>
      </c>
      <c r="M93" s="175" t="s">
        <v>87</v>
      </c>
      <c r="N93" s="175" t="s">
        <v>166</v>
      </c>
      <c r="O93" s="457" t="s">
        <v>780</v>
      </c>
      <c r="P93" s="457" t="s">
        <v>645</v>
      </c>
    </row>
    <row r="94" spans="1:16" ht="15" thickBot="1">
      <c r="A94" s="176" t="s">
        <v>69</v>
      </c>
      <c r="B94" s="177">
        <f>COUNTIFS(Table16[ฝ่าย],A94,Table16[สัปดาห์แจ้งซ่อม],2)</f>
        <v>9</v>
      </c>
      <c r="C94" s="178">
        <f>B94/B108</f>
        <v>0.75</v>
      </c>
      <c r="D94" s="173" t="str">
        <f>IF(COUNTIFS(Table16[ประเภท],D93,Table16[ฝ่าย],A94,Table16[สัปดาห์แจ้งซ่อม],"2")=0,"-",COUNTIFS(Table16[ประเภท],D93,Table16[ฝ่าย],A94,Table16[สัปดาห์แจ้งซ่อม],"2"))</f>
        <v>-</v>
      </c>
      <c r="E94" s="173">
        <f>IF(COUNTIFS(Table16[ประเภท],E93,Table16[ฝ่าย],A94,Table16[สัปดาห์แจ้งซ่อม],"2")=0,"-",COUNTIFS(Table16[ประเภท],E93,Table16[ฝ่าย],A94,Table16[สัปดาห์แจ้งซ่อม],"2"))</f>
        <v>1</v>
      </c>
      <c r="F94" s="173">
        <f>IF(COUNTIFS(Table16[ประเภท],F93,Table16[ฝ่าย],A94,Table16[สัปดาห์แจ้งซ่อม],"2")=0,"-",COUNTIFS(Table16[ประเภท],F93,Table16[ฝ่าย],A94,Table16[สัปดาห์แจ้งซ่อม],"2"))</f>
        <v>3</v>
      </c>
      <c r="G94" s="173">
        <f>IF(COUNTIFS(Table16[ประเภท],G93,Table16[ฝ่าย],A94,Table16[สัปดาห์แจ้งซ่อม],"2")=0,"-",COUNTIFS(Table16[ประเภท],G93,Table16[ฝ่าย],A94,Table16[สัปดาห์แจ้งซ่อม],"2"))</f>
        <v>1</v>
      </c>
      <c r="H94" s="173" t="str">
        <f>IF(COUNTIFS(Table16[ประเภท],H93,Table16[ฝ่าย],A94,Table16[สัปดาห์แจ้งซ่อม],"2")=0,"-",COUNTIFS(Table16[ประเภท],H93,Table16[ฝ่าย],A94,Table16[สัปดาห์แจ้งซ่อม],"2"))</f>
        <v>-</v>
      </c>
      <c r="I94" s="173" t="str">
        <f>IF(COUNTIFS(Table16[ประเภท],I93,Table16[ฝ่าย],A94,Table16[สัปดาห์แจ้งซ่อม],"2")=0,"-",COUNTIFS(Table16[ประเภท],I93,Table16[ฝ่าย],A94,Table16[สัปดาห์แจ้งซ่อม],"2"))</f>
        <v>-</v>
      </c>
      <c r="J94" s="173">
        <f>IF(COUNTIFS(Table16[ประเภท],J93,Table16[ฝ่าย],A94,Table16[สัปดาห์แจ้งซ่อม],"2")=0,"-",COUNTIFS(Table16[ประเภท],J93,Table16[ฝ่าย],A94,Table16[สัปดาห์แจ้งซ่อม],"2"))</f>
        <v>2</v>
      </c>
      <c r="K94" s="173">
        <f>IF(COUNTIFS(Table16[ประเภท],K93,Table16[ฝ่าย],A94,Table16[สัปดาห์แจ้งซ่อม],"2")=0,"-",COUNTIFS(Table16[ประเภท],K93,Table16[ฝ่าย],A94,Table16[สัปดาห์แจ้งซ่อม],"2"))</f>
        <v>2</v>
      </c>
      <c r="L94" s="173" t="str">
        <f>IF(COUNTIFS(Table16[ประเภท],L93,Table16[ฝ่าย],A94,Table16[สัปดาห์แจ้งซ่อม],"2")=0,"-",COUNTIFS(Table16[ประเภท],L93,Table16[ฝ่าย],A94,Table16[สัปดาห์แจ้งซ่อม],"2"))</f>
        <v>-</v>
      </c>
      <c r="M94" s="173" t="str">
        <f>IF(COUNTIFS(Table16[ประเภท],M93,Table16[ฝ่าย],A94,Table16[สัปดาห์แจ้งซ่อม],"2")=0,"-",COUNTIFS(Table16[ประเภท],M93,Table16[ฝ่าย],A94,Table16[สัปดาห์แจ้งซ่อม],"2"))</f>
        <v>-</v>
      </c>
      <c r="N94" s="173" t="str">
        <f>IF(COUNTIFS(Table16[ประเภท],N93,Table16[ฝ่าย],A94,Table16[สัปดาห์แจ้งซ่อม],"2")=0,"-",COUNTIFS(Table16[ประเภท],N93,Table16[ฝ่าย],A94,Table16[สัปดาห์แจ้งซ่อม],"2"))</f>
        <v>-</v>
      </c>
      <c r="O94" s="416" t="str">
        <f>IF(COUNTIFS(Table16[ประเภท],O93,Table16[ฝ่าย],A94,Table16[สัปดาห์แจ้งซ่อม],"2")=0,"-",COUNTIFS(Table16[ประเภท],O93,Table16[ฝ่าย],A94,Table16[สัปดาห์แจ้งซ่อม],"2"))</f>
        <v>-</v>
      </c>
      <c r="P94" s="458" t="str">
        <f>IF(COUNTIFS(Table16[ประเภท],P93,Table16[ฝ่าย],A94,Table16[สัปดาห์แจ้งซ่อม],"2")=0,"-",COUNTIFS(Table16[ประเภท],P93,Table16[ฝ่าย],A94,Table16[สัปดาห์แจ้งซ่อม],"2"))</f>
        <v>-</v>
      </c>
    </row>
    <row r="95" spans="1:16" ht="15" thickBot="1">
      <c r="A95" s="176" t="s">
        <v>70</v>
      </c>
      <c r="B95" s="177">
        <f>COUNTIFS(Table16[ฝ่าย],A95,Table16[สัปดาห์แจ้งซ่อม],2)</f>
        <v>1</v>
      </c>
      <c r="C95" s="178">
        <f>B95/B108</f>
        <v>8.3333333333333329E-2</v>
      </c>
      <c r="D95" s="173" t="str">
        <f>IF(COUNTIFS(Table16[ประเภท],D93,Table16[ฝ่าย],A95,Table16[สัปดาห์แจ้งซ่อม],"2")=0,"-",COUNTIFS(Table16[ประเภท],D93,Table16[ฝ่าย],A95,Table16[สัปดาห์แจ้งซ่อม],"2"))</f>
        <v>-</v>
      </c>
      <c r="E95" s="173">
        <f>IF(COUNTIFS(Table16[ประเภท],E93,Table16[ฝ่าย],A95,Table16[สัปดาห์แจ้งซ่อม],"2")=0,"-",COUNTIFS(Table16[ประเภท],E93,Table16[ฝ่าย],A95,Table16[สัปดาห์แจ้งซ่อม],"2"))</f>
        <v>1</v>
      </c>
      <c r="F95" s="173" t="str">
        <f>IF(COUNTIFS(Table16[ประเภท],F93,Table16[ฝ่าย],A95,Table16[สัปดาห์แจ้งซ่อม],"2")=0,"-",COUNTIFS(Table16[ประเภท],F93,Table16[ฝ่าย],A95,Table16[สัปดาห์แจ้งซ่อม],"2"))</f>
        <v>-</v>
      </c>
      <c r="G95" s="173" t="str">
        <f>IF(COUNTIFS(Table16[ประเภท],G93,Table16[ฝ่าย],A95,Table16[สัปดาห์แจ้งซ่อม],"2")=0,"-",COUNTIFS(Table16[ประเภท],G93,Table16[ฝ่าย],A95,Table16[สัปดาห์แจ้งซ่อม],"2"))</f>
        <v>-</v>
      </c>
      <c r="H95" s="173" t="str">
        <f>IF(COUNTIFS(Table16[ประเภท],H93,Table16[ฝ่าย],A95,Table16[สัปดาห์แจ้งซ่อม],"2")=0,"-",COUNTIFS(Table16[ประเภท],H93,Table16[ฝ่าย],A95,Table16[สัปดาห์แจ้งซ่อม],"2"))</f>
        <v>-</v>
      </c>
      <c r="I95" s="173" t="str">
        <f>IF(COUNTIFS(Table16[ประเภท],I93,Table16[ฝ่าย],A95,Table16[สัปดาห์แจ้งซ่อม],"2")=0,"-",COUNTIFS(Table16[ประเภท],I93,Table16[ฝ่าย],A95,Table16[สัปดาห์แจ้งซ่อม],"2"))</f>
        <v>-</v>
      </c>
      <c r="J95" s="173" t="str">
        <f>IF(COUNTIFS(Table16[ประเภท],J93,Table16[ฝ่าย],A95,Table16[สัปดาห์แจ้งซ่อม],"2")=0,"-",COUNTIFS(Table16[ประเภท],J93,Table16[ฝ่าย],A95,Table16[สัปดาห์แจ้งซ่อม],"2"))</f>
        <v>-</v>
      </c>
      <c r="K95" s="173" t="str">
        <f>IF(COUNTIFS(Table16[ประเภท],K93,Table16[ฝ่าย],A95,Table16[สัปดาห์แจ้งซ่อม],"2")=0,"-",COUNTIFS(Table16[ประเภท],K93,Table16[ฝ่าย],A95,Table16[สัปดาห์แจ้งซ่อม],"2"))</f>
        <v>-</v>
      </c>
      <c r="L95" s="173" t="str">
        <f>IF(COUNTIFS(Table16[ประเภท],L93,Table16[ฝ่าย],A95,Table16[สัปดาห์แจ้งซ่อม],"2")=0,"-",COUNTIFS(Table16[ประเภท],L93,Table16[ฝ่าย],A95,Table16[สัปดาห์แจ้งซ่อม],"2"))</f>
        <v>-</v>
      </c>
      <c r="M95" s="173" t="str">
        <f>IF(COUNTIFS(Table16[ประเภท],M93,Table16[ฝ่าย],A95,Table16[สัปดาห์แจ้งซ่อม],"2")=0,"-",COUNTIFS(Table16[ประเภท],M93,Table16[ฝ่าย],A95,Table16[สัปดาห์แจ้งซ่อม],"2"))</f>
        <v>-</v>
      </c>
      <c r="N95" s="173" t="str">
        <f>IF(COUNTIFS(Table16[ประเภท],N93,Table16[ฝ่าย],A95,Table16[สัปดาห์แจ้งซ่อม],"2")=0,"-",COUNTIFS(Table16[ประเภท],N93,Table16[ฝ่าย],A95,Table16[สัปดาห์แจ้งซ่อม],"2"))</f>
        <v>-</v>
      </c>
      <c r="O95" s="416"/>
      <c r="P95" s="458" t="str">
        <f>IF(COUNTIFS(Table16[ประเภท],P93,Table16[ฝ่าย],A95,Table16[สัปดาห์แจ้งซ่อม],"2")=0,"-",COUNTIFS(Table16[ประเภท],P93,Table16[ฝ่าย],A95,Table16[สัปดาห์แจ้งซ่อม],"2"))</f>
        <v>-</v>
      </c>
    </row>
    <row r="96" spans="1:16" ht="15" thickBot="1">
      <c r="A96" s="176" t="s">
        <v>71</v>
      </c>
      <c r="B96" s="177">
        <f>COUNTIFS(Table16[ฝ่าย],A96,Table16[สัปดาห์แจ้งซ่อม],2)</f>
        <v>0</v>
      </c>
      <c r="C96" s="178">
        <f>B96/B108</f>
        <v>0</v>
      </c>
      <c r="D96" s="173" t="str">
        <f>IF(COUNTIFS(Table16[ประเภท],D93,Table16[ฝ่าย],A96,Table16[สัปดาห์แจ้งซ่อม],"2")=0,"-",COUNTIFS(Table16[ประเภท],D93,Table16[ฝ่าย],A96,Table16[สัปดาห์แจ้งซ่อม],"2"))</f>
        <v>-</v>
      </c>
      <c r="E96" s="173" t="str">
        <f>IF(COUNTIFS(Table16[ประเภท],E93,Table16[ฝ่าย],A96,Table16[สัปดาห์แจ้งซ่อม],"2")=0,"-",COUNTIFS(Table16[ประเภท],E93,Table16[ฝ่าย],A96,Table16[สัปดาห์แจ้งซ่อม],"2"))</f>
        <v>-</v>
      </c>
      <c r="F96" s="173" t="str">
        <f>IF(COUNTIFS(Table16[ประเภท],F93,Table16[ฝ่าย],A96,Table16[สัปดาห์แจ้งซ่อม],"2")=0,"-",COUNTIFS(Table16[ประเภท],F93,Table16[ฝ่าย],A96,Table16[สัปดาห์แจ้งซ่อม],"2"))</f>
        <v>-</v>
      </c>
      <c r="G96" s="173" t="str">
        <f>IF(COUNTIFS(Table16[ประเภท],G93,Table16[ฝ่าย],A96,Table16[สัปดาห์แจ้งซ่อม],"2")=0,"-",COUNTIFS(Table16[ประเภท],G93,Table16[ฝ่าย],A96,Table16[สัปดาห์แจ้งซ่อม],"2"))</f>
        <v>-</v>
      </c>
      <c r="H96" s="173" t="str">
        <f>IF(COUNTIFS(Table16[ประเภท],H93,Table16[ฝ่าย],A96,Table16[สัปดาห์แจ้งซ่อม],"2")=0,"-",COUNTIFS(Table16[ประเภท],H93,Table16[ฝ่าย],A96,Table16[สัปดาห์แจ้งซ่อม],"2"))</f>
        <v>-</v>
      </c>
      <c r="I96" s="173" t="str">
        <f>IF(COUNTIFS(Table16[ประเภท],I93,Table16[ฝ่าย],A96,Table16[สัปดาห์แจ้งซ่อม],"2")=0,"-",COUNTIFS(Table16[ประเภท],I93,Table16[ฝ่าย],A96,Table16[สัปดาห์แจ้งซ่อม],"2"))</f>
        <v>-</v>
      </c>
      <c r="J96" s="173" t="str">
        <f>IF(COUNTIFS(Table16[ประเภท],J93,Table16[ฝ่าย],A96,Table16[สัปดาห์แจ้งซ่อม],"2")=0,"-",COUNTIFS(Table16[ประเภท],J93,Table16[ฝ่าย],A96,Table16[สัปดาห์แจ้งซ่อม],"2"))</f>
        <v>-</v>
      </c>
      <c r="K96" s="173" t="str">
        <f>IF(COUNTIFS(Table16[ประเภท],K93,Table16[ฝ่าย],A96,Table16[สัปดาห์แจ้งซ่อม],"2")=0,"-",COUNTIFS(Table16[ประเภท],K93,Table16[ฝ่าย],A96,Table16[สัปดาห์แจ้งซ่อม],"2"))</f>
        <v>-</v>
      </c>
      <c r="L96" s="173" t="str">
        <f>IF(COUNTIFS(Table16[ประเภท],L93,Table16[ฝ่าย],A96,Table16[สัปดาห์แจ้งซ่อม],"2")=0,"-",COUNTIFS(Table16[ประเภท],L93,Table16[ฝ่าย],A96,Table16[สัปดาห์แจ้งซ่อม],"2"))</f>
        <v>-</v>
      </c>
      <c r="M96" s="173" t="str">
        <f>IF(COUNTIFS(Table16[ประเภท],M93,Table16[ฝ่าย],A96,Table16[สัปดาห์แจ้งซ่อม],"2")=0,"-",COUNTIFS(Table16[ประเภท],M93,Table16[ฝ่าย],A96,Table16[สัปดาห์แจ้งซ่อม],"2"))</f>
        <v>-</v>
      </c>
      <c r="N96" s="173" t="str">
        <f>IF(COUNTIFS(Table16[ประเภท],N93,Table16[ฝ่าย],A96,Table16[สัปดาห์แจ้งซ่อม],"2")=0,"-",COUNTIFS(Table16[ประเภท],N93,Table16[ฝ่าย],A96,Table16[สัปดาห์แจ้งซ่อม],"2"))</f>
        <v>-</v>
      </c>
      <c r="O96" s="416"/>
      <c r="P96" s="458" t="str">
        <f>IF(COUNTIFS(Table16[ประเภท],P93,Table16[ฝ่าย],A96,Table16[สัปดาห์แจ้งซ่อม],"2")=0,"-",COUNTIFS(Table16[ประเภท],P93,Table16[ฝ่าย],A96,Table16[สัปดาห์แจ้งซ่อม],"2"))</f>
        <v>-</v>
      </c>
    </row>
    <row r="97" spans="1:16" ht="15" thickBot="1">
      <c r="A97" s="176" t="s">
        <v>72</v>
      </c>
      <c r="B97" s="177">
        <f>COUNTIFS(Table16[ฝ่าย],A97,Table16[สัปดาห์แจ้งซ่อม],2)</f>
        <v>0</v>
      </c>
      <c r="C97" s="193">
        <f>B97/B108</f>
        <v>0</v>
      </c>
      <c r="D97" s="173" t="str">
        <f>IF(COUNTIFS(Table16[ประเภท],D93,Table16[ฝ่าย],A97,Table16[สัปดาห์แจ้งซ่อม],"2")=0,"-",COUNTIFS(Table16[ประเภท],D93,Table16[ฝ่าย],A97,Table16[สัปดาห์แจ้งซ่อม],"2"))</f>
        <v>-</v>
      </c>
      <c r="E97" s="173" t="str">
        <f>IF(COUNTIFS(Table16[ประเภท],E93,Table16[ฝ่าย],A97,Table16[สัปดาห์แจ้งซ่อม],"2")=0,"-",COUNTIFS(Table16[ประเภท],E93,Table16[ฝ่าย],A97,Table16[สัปดาห์แจ้งซ่อม],"2"))</f>
        <v>-</v>
      </c>
      <c r="F97" s="173" t="str">
        <f>IF(COUNTIFS(Table16[ประเภท],F93,Table16[ฝ่าย],A97,Table16[สัปดาห์แจ้งซ่อม],"2")=0,"-",COUNTIFS(Table16[ประเภท],F93,Table16[ฝ่าย],A97,Table16[สัปดาห์แจ้งซ่อม],"2"))</f>
        <v>-</v>
      </c>
      <c r="G97" s="173" t="str">
        <f>IF(COUNTIFS(Table16[ประเภท],G93,Table16[ฝ่าย],A97,Table16[สัปดาห์แจ้งซ่อม],"2")=0,"-",COUNTIFS(Table16[ประเภท],G93,Table16[ฝ่าย],A97,Table16[สัปดาห์แจ้งซ่อม],"2"))</f>
        <v>-</v>
      </c>
      <c r="H97" s="173" t="str">
        <f>IF(COUNTIFS(Table16[ประเภท],H93,Table16[ฝ่าย],A97,Table16[สัปดาห์แจ้งซ่อม],"2")=0,"-",COUNTIFS(Table16[ประเภท],H93,Table16[ฝ่าย],A97,Table16[สัปดาห์แจ้งซ่อม],"2"))</f>
        <v>-</v>
      </c>
      <c r="I97" s="173" t="str">
        <f>IF(COUNTIFS(Table16[ประเภท],I93,Table16[ฝ่าย],A97,Table16[สัปดาห์แจ้งซ่อม],"2")=0,"-",COUNTIFS(Table16[ประเภท],I93,Table16[ฝ่าย],A97,Table16[สัปดาห์แจ้งซ่อม],"2"))</f>
        <v>-</v>
      </c>
      <c r="J97" s="173" t="str">
        <f>IF(COUNTIFS(Table16[ประเภท],J93,Table16[ฝ่าย],A97,Table16[สัปดาห์แจ้งซ่อม],"2")=0,"-",COUNTIFS(Table16[ประเภท],J93,Table16[ฝ่าย],A97,Table16[สัปดาห์แจ้งซ่อม],"2"))</f>
        <v>-</v>
      </c>
      <c r="K97" s="173" t="str">
        <f>IF(COUNTIFS(Table16[ประเภท],K93,Table16[ฝ่าย],A97,Table16[สัปดาห์แจ้งซ่อม],"2")=0,"-",COUNTIFS(Table16[ประเภท],K93,Table16[ฝ่าย],A97,Table16[สัปดาห์แจ้งซ่อม],"2"))</f>
        <v>-</v>
      </c>
      <c r="L97" s="173" t="str">
        <f>IF(COUNTIFS(Table16[ประเภท],L93,Table16[ฝ่าย],A97,Table16[สัปดาห์แจ้งซ่อม],"2")=0,"-",COUNTIFS(Table16[ประเภท],L93,Table16[ฝ่าย],A97,Table16[สัปดาห์แจ้งซ่อม],"2"))</f>
        <v>-</v>
      </c>
      <c r="M97" s="173" t="str">
        <f>IF(COUNTIFS(Table16[ประเภท],M93,Table16[ฝ่าย],A97,Table16[สัปดาห์แจ้งซ่อม],"2")=0,"-",COUNTIFS(Table16[ประเภท],M93,Table16[ฝ่าย],A97,Table16[สัปดาห์แจ้งซ่อม],"2"))</f>
        <v>-</v>
      </c>
      <c r="N97" s="173" t="str">
        <f>IF(COUNTIFS(Table16[ประเภท],N93,Table16[ฝ่าย],A97,Table16[สัปดาห์แจ้งซ่อม],"2")=0,"-",COUNTIFS(Table16[ประเภท],N93,Table16[ฝ่าย],A97,Table16[สัปดาห์แจ้งซ่อม],"2"))</f>
        <v>-</v>
      </c>
      <c r="O97" s="416"/>
      <c r="P97" s="458" t="str">
        <f>IF(COUNTIFS(Table16[ประเภท],P93,Table16[ฝ่าย],A97,Table16[สัปดาห์แจ้งซ่อม],"2")=0,"-",COUNTIFS(Table16[ประเภท],P93,Table16[ฝ่าย],A97,Table16[สัปดาห์แจ้งซ่อม],"2"))</f>
        <v>-</v>
      </c>
    </row>
    <row r="98" spans="1:16" ht="15" thickBot="1">
      <c r="A98" s="176" t="s">
        <v>73</v>
      </c>
      <c r="B98" s="177">
        <f>COUNTIFS(Table16[ฝ่าย],A98,Table16[สัปดาห์แจ้งซ่อม],2)</f>
        <v>0</v>
      </c>
      <c r="C98" s="178">
        <f>B98/B108</f>
        <v>0</v>
      </c>
      <c r="D98" s="173" t="str">
        <f>IF(COUNTIFS(Table16[ประเภท],D93,Table16[ฝ่าย],A98,Table16[สัปดาห์แจ้งซ่อม],"2")=0,"-",COUNTIFS(Table16[ประเภท],D93,Table16[ฝ่าย],A98,Table16[สัปดาห์แจ้งซ่อม],"2"))</f>
        <v>-</v>
      </c>
      <c r="E98" s="173" t="str">
        <f>IF(COUNTIFS(Table16[ประเภท],E93,Table16[ฝ่าย],A98,Table16[สัปดาห์แจ้งซ่อม],"2")=0,"-",COUNTIFS(Table16[ประเภท],E93,Table16[ฝ่าย],A98,Table16[สัปดาห์แจ้งซ่อม],"2"))</f>
        <v>-</v>
      </c>
      <c r="F98" s="173" t="str">
        <f>IF(COUNTIFS(Table16[ประเภท],F93,Table16[ฝ่าย],A98,Table16[สัปดาห์แจ้งซ่อม],"2")=0,"-",COUNTIFS(Table16[ประเภท],F93,Table16[ฝ่าย],A98,Table16[สัปดาห์แจ้งซ่อม],"2"))</f>
        <v>-</v>
      </c>
      <c r="G98" s="173" t="str">
        <f>IF(COUNTIFS(Table16[ประเภท],G93,Table16[ฝ่าย],A98,Table16[สัปดาห์แจ้งซ่อม],"2")=0,"-",COUNTIFS(Table16[ประเภท],G93,Table16[ฝ่าย],A98,Table16[สัปดาห์แจ้งซ่อม],"2"))</f>
        <v>-</v>
      </c>
      <c r="H98" s="173" t="str">
        <f>IF(COUNTIFS(Table16[ประเภท],H93,Table16[ฝ่าย],A98,Table16[สัปดาห์แจ้งซ่อม],"2")=0,"-",COUNTIFS(Table16[ประเภท],H93,Table16[ฝ่าย],A98,Table16[สัปดาห์แจ้งซ่อม],"2"))</f>
        <v>-</v>
      </c>
      <c r="I98" s="173" t="str">
        <f>IF(COUNTIFS(Table16[ประเภท],I93,Table16[ฝ่าย],A98,Table16[สัปดาห์แจ้งซ่อม],"2")=0,"-",COUNTIFS(Table16[ประเภท],I93,Table16[ฝ่าย],A98,Table16[สัปดาห์แจ้งซ่อม],"2"))</f>
        <v>-</v>
      </c>
      <c r="J98" s="173" t="str">
        <f>IF(COUNTIFS(Table16[ประเภท],J93,Table16[ฝ่าย],A98,Table16[สัปดาห์แจ้งซ่อม],"2")=0,"-",COUNTIFS(Table16[ประเภท],J93,Table16[ฝ่าย],A98,Table16[สัปดาห์แจ้งซ่อม],"2"))</f>
        <v>-</v>
      </c>
      <c r="K98" s="173" t="str">
        <f>IF(COUNTIFS(Table16[ประเภท],K93,Table16[ฝ่าย],A98,Table16[สัปดาห์แจ้งซ่อม],"2")=0,"-",COUNTIFS(Table16[ประเภท],K93,Table16[ฝ่าย],A98,Table16[สัปดาห์แจ้งซ่อม],"2"))</f>
        <v>-</v>
      </c>
      <c r="L98" s="173" t="str">
        <f>IF(COUNTIFS(Table16[ประเภท],L93,Table16[ฝ่าย],A98,Table16[สัปดาห์แจ้งซ่อม],"2")=0,"-",COUNTIFS(Table16[ประเภท],L93,Table16[ฝ่าย],A98,Table16[สัปดาห์แจ้งซ่อม],"2"))</f>
        <v>-</v>
      </c>
      <c r="M98" s="173" t="str">
        <f>IF(COUNTIFS(Table16[ประเภท],M93,Table16[ฝ่าย],A98,Table16[สัปดาห์แจ้งซ่อม],"2")=0,"-",COUNTIFS(Table16[ประเภท],M93,Table16[ฝ่าย],A98,Table16[สัปดาห์แจ้งซ่อม],"2"))</f>
        <v>-</v>
      </c>
      <c r="N98" s="173" t="str">
        <f>IF(COUNTIFS(Table16[ประเภท],N93,Table16[ฝ่าย],A98,Table16[สัปดาห์แจ้งซ่อม],"2")=0,"-",COUNTIFS(Table16[ประเภท],N93,Table16[ฝ่าย],A98,Table16[สัปดาห์แจ้งซ่อม],"2"))</f>
        <v>-</v>
      </c>
      <c r="O98" s="416"/>
      <c r="P98" s="458" t="str">
        <f>IF(COUNTIFS(Table16[ประเภท],P93,Table16[ฝ่าย],A98,Table16[สัปดาห์แจ้งซ่อม],"2")=0,"-",COUNTIFS(Table16[ประเภท],P93,Table16[ฝ่าย],A98,Table16[สัปดาห์แจ้งซ่อม],"2"))</f>
        <v>-</v>
      </c>
    </row>
    <row r="99" spans="1:16" ht="15" thickBot="1">
      <c r="A99" s="176" t="s">
        <v>74</v>
      </c>
      <c r="B99" s="177">
        <f>COUNTIFS(Table16[ฝ่าย],A99,Table16[สัปดาห์แจ้งซ่อม],2)</f>
        <v>0</v>
      </c>
      <c r="C99" s="178">
        <f>B99/B108</f>
        <v>0</v>
      </c>
      <c r="D99" s="173" t="str">
        <f>IF(COUNTIFS(Table16[ประเภท],D93,Table16[ฝ่าย],A99,Table16[สัปดาห์แจ้งซ่อม],"2")=0,"-",COUNTIFS(Table16[ประเภท],D93,Table16[ฝ่าย],A99,Table16[สัปดาห์แจ้งซ่อม],"2"))</f>
        <v>-</v>
      </c>
      <c r="E99" s="173" t="str">
        <f>IF(COUNTIFS(Table16[ประเภท],E93,Table16[ฝ่าย],A99,Table16[สัปดาห์แจ้งซ่อม],"2")=0,"-",COUNTIFS(Table16[ประเภท],E93,Table16[ฝ่าย],A99,Table16[สัปดาห์แจ้งซ่อม],"2"))</f>
        <v>-</v>
      </c>
      <c r="F99" s="173" t="str">
        <f>IF(COUNTIFS(Table16[ประเภท],F93,Table16[ฝ่าย],A99,Table16[สัปดาห์แจ้งซ่อม],"2")=0,"-",COUNTIFS(Table16[ประเภท],F93,Table16[ฝ่าย],A99,Table16[สัปดาห์แจ้งซ่อม],"2"))</f>
        <v>-</v>
      </c>
      <c r="G99" s="173" t="str">
        <f>IF(COUNTIFS(Table16[ประเภท],G93,Table16[ฝ่าย],A99,Table16[สัปดาห์แจ้งซ่อม],"2")=0,"-",COUNTIFS(Table16[ประเภท],G93,Table16[ฝ่าย],A99,Table16[สัปดาห์แจ้งซ่อม],"2"))</f>
        <v>-</v>
      </c>
      <c r="H99" s="173" t="str">
        <f>IF(COUNTIFS(Table16[ประเภท],H93,Table16[ฝ่าย],A99,Table16[สัปดาห์แจ้งซ่อม],"2")=0,"-",COUNTIFS(Table16[ประเภท],H93,Table16[ฝ่าย],A99,Table16[สัปดาห์แจ้งซ่อม],"2"))</f>
        <v>-</v>
      </c>
      <c r="I99" s="173" t="str">
        <f>IF(COUNTIFS(Table16[ประเภท],I93,Table16[ฝ่าย],A99,Table16[สัปดาห์แจ้งซ่อม],"2")=0,"-",COUNTIFS(Table16[ประเภท],I93,Table16[ฝ่าย],A99,Table16[สัปดาห์แจ้งซ่อม],"2"))</f>
        <v>-</v>
      </c>
      <c r="J99" s="173" t="str">
        <f>IF(COUNTIFS(Table16[ประเภท],J93,Table16[ฝ่าย],A99,Table16[สัปดาห์แจ้งซ่อม],"2")=0,"-",COUNTIFS(Table16[ประเภท],J93,Table16[ฝ่าย],A99,Table16[สัปดาห์แจ้งซ่อม],"2"))</f>
        <v>-</v>
      </c>
      <c r="K99" s="173" t="str">
        <f>IF(COUNTIFS(Table16[ประเภท],K93,Table16[ฝ่าย],A99,Table16[สัปดาห์แจ้งซ่อม],"2")=0,"-",COUNTIFS(Table16[ประเภท],K93,Table16[ฝ่าย],A99,Table16[สัปดาห์แจ้งซ่อม],"2"))</f>
        <v>-</v>
      </c>
      <c r="L99" s="173" t="str">
        <f>IF(COUNTIFS(Table16[ประเภท],L93,Table16[ฝ่าย],A99,Table16[สัปดาห์แจ้งซ่อม],"2")=0,"-",COUNTIFS(Table16[ประเภท],L93,Table16[ฝ่าย],A99,Table16[สัปดาห์แจ้งซ่อม],"2"))</f>
        <v>-</v>
      </c>
      <c r="M99" s="173" t="str">
        <f>IF(COUNTIFS(Table16[ประเภท],M93,Table16[ฝ่าย],A99,Table16[สัปดาห์แจ้งซ่อม],"2")=0,"-",COUNTIFS(Table16[ประเภท],M93,Table16[ฝ่าย],A99,Table16[สัปดาห์แจ้งซ่อม],"2"))</f>
        <v>-</v>
      </c>
      <c r="N99" s="173" t="str">
        <f>IF(COUNTIFS(Table16[ประเภท],N93,Table16[ฝ่าย],A99,Table16[สัปดาห์แจ้งซ่อม],"2")=0,"-",COUNTIFS(Table16[ประเภท],N93,Table16[ฝ่าย],A99,Table16[สัปดาห์แจ้งซ่อม],"2"))</f>
        <v>-</v>
      </c>
      <c r="O99" s="416"/>
      <c r="P99" s="458" t="str">
        <f>IF(COUNTIFS(Table16[ประเภท],P93,Table16[ฝ่าย],A99,Table16[สัปดาห์แจ้งซ่อม],"2")=0,"-",COUNTIFS(Table16[ประเภท],P93,Table16[ฝ่าย],A99,Table16[สัปดาห์แจ้งซ่อม],"2"))</f>
        <v>-</v>
      </c>
    </row>
    <row r="100" spans="1:16" ht="15" thickBot="1">
      <c r="A100" s="176" t="s">
        <v>75</v>
      </c>
      <c r="B100" s="177">
        <f>COUNTIFS(Table16[ฝ่าย],A100,Table16[สัปดาห์แจ้งซ่อม],2)</f>
        <v>0</v>
      </c>
      <c r="C100" s="178">
        <f>B100/B108</f>
        <v>0</v>
      </c>
      <c r="D100" s="173" t="str">
        <f>IF(COUNTIFS(Table16[ประเภท],D93,Table16[ฝ่าย],A100,Table16[สัปดาห์แจ้งซ่อม],"2")=0,"-",COUNTIFS(Table16[ประเภท],D93,Table16[ฝ่าย],A100,Table16[สัปดาห์แจ้งซ่อม],"2"))</f>
        <v>-</v>
      </c>
      <c r="E100" s="173" t="str">
        <f>IF(COUNTIFS(Table16[ประเภท],E93,Table16[ฝ่าย],A100,Table16[สัปดาห์แจ้งซ่อม],"2")=0,"-",COUNTIFS(Table16[ประเภท],E93,Table16[ฝ่าย],A100,Table16[สัปดาห์แจ้งซ่อม],"2"))</f>
        <v>-</v>
      </c>
      <c r="F100" s="173" t="str">
        <f>IF(COUNTIFS(Table16[ประเภท],F93,Table16[ฝ่าย],A100,Table16[สัปดาห์แจ้งซ่อม],"2")=0,"-",COUNTIFS(Table16[ประเภท],F93,Table16[ฝ่าย],A100,Table16[สัปดาห์แจ้งซ่อม],"2"))</f>
        <v>-</v>
      </c>
      <c r="G100" s="173" t="str">
        <f>IF(COUNTIFS(Table16[ประเภท],G93,Table16[ฝ่าย],A100,Table16[สัปดาห์แจ้งซ่อม],"2")=0,"-",COUNTIFS(Table16[ประเภท],G93,Table16[ฝ่าย],A100,Table16[สัปดาห์แจ้งซ่อม],"2"))</f>
        <v>-</v>
      </c>
      <c r="H100" s="173" t="str">
        <f>IF(COUNTIFS(Table16[ประเภท],H93,Table16[ฝ่าย],A100,Table16[สัปดาห์แจ้งซ่อม],"2")=0,"-",COUNTIFS(Table16[ประเภท],H93,Table16[ฝ่าย],A100,Table16[สัปดาห์แจ้งซ่อม],"2"))</f>
        <v>-</v>
      </c>
      <c r="I100" s="173" t="str">
        <f>IF(COUNTIFS(Table16[ประเภท],I93,Table16[ฝ่าย],A100,Table16[สัปดาห์แจ้งซ่อม],"2")=0,"-",COUNTIFS(Table16[ประเภท],I93,Table16[ฝ่าย],A100,Table16[สัปดาห์แจ้งซ่อม],"2"))</f>
        <v>-</v>
      </c>
      <c r="J100" s="173" t="str">
        <f>IF(COUNTIFS(Table16[ประเภท],J93,Table16[ฝ่าย],A100,Table16[สัปดาห์แจ้งซ่อม],"2")=0,"-",COUNTIFS(Table16[ประเภท],J93,Table16[ฝ่าย],A100,Table16[สัปดาห์แจ้งซ่อม],"2"))</f>
        <v>-</v>
      </c>
      <c r="K100" s="173" t="str">
        <f>IF(COUNTIFS(Table16[ประเภท],K93,Table16[ฝ่าย],A100,Table16[สัปดาห์แจ้งซ่อม],"2")=0,"-",COUNTIFS(Table16[ประเภท],K93,Table16[ฝ่าย],A100,Table16[สัปดาห์แจ้งซ่อม],"2"))</f>
        <v>-</v>
      </c>
      <c r="L100" s="173" t="str">
        <f>IF(COUNTIFS(Table16[ประเภท],L93,Table16[ฝ่าย],A100,Table16[สัปดาห์แจ้งซ่อม],"2")=0,"-",COUNTIFS(Table16[ประเภท],L93,Table16[ฝ่าย],A100,Table16[สัปดาห์แจ้งซ่อม],"2"))</f>
        <v>-</v>
      </c>
      <c r="M100" s="173" t="str">
        <f>IF(COUNTIFS(Table16[ประเภท],M93,Table16[ฝ่าย],A100,Table16[สัปดาห์แจ้งซ่อม],"2")=0,"-",COUNTIFS(Table16[ประเภท],M93,Table16[ฝ่าย],A100,Table16[สัปดาห์แจ้งซ่อม],"2"))</f>
        <v>-</v>
      </c>
      <c r="N100" s="173" t="str">
        <f>IF(COUNTIFS(Table16[ประเภท],N93,Table16[ฝ่าย],A100,Table16[สัปดาห์แจ้งซ่อม],"2")=0,"-",COUNTIFS(Table16[ประเภท],N93,Table16[ฝ่าย],A100,Table16[สัปดาห์แจ้งซ่อม],"2"))</f>
        <v>-</v>
      </c>
      <c r="O100" s="416"/>
      <c r="P100" s="458" t="str">
        <f>IF(COUNTIFS(Table16[ประเภท],P93,Table16[ฝ่าย],A100,Table16[สัปดาห์แจ้งซ่อม],"2")=0,"-",COUNTIFS(Table16[ประเภท],P93,Table16[ฝ่าย],A100,Table16[สัปดาห์แจ้งซ่อม],"2"))</f>
        <v>-</v>
      </c>
    </row>
    <row r="101" spans="1:16" ht="15" thickBot="1">
      <c r="A101" s="176" t="s">
        <v>76</v>
      </c>
      <c r="B101" s="177">
        <f>COUNTIFS(Table16[ฝ่าย],A101,Table16[สัปดาห์แจ้งซ่อม],2)</f>
        <v>0</v>
      </c>
      <c r="C101" s="178">
        <f>B101/B108</f>
        <v>0</v>
      </c>
      <c r="D101" s="173" t="str">
        <f>IF(COUNTIFS(Table16[ประเภท],D93,Table16[ฝ่าย],A101,Table16[สัปดาห์แจ้งซ่อม],"2")=0,"-",COUNTIFS(Table16[ประเภท],D93,Table16[ฝ่าย],A101,Table16[สัปดาห์แจ้งซ่อม],"2"))</f>
        <v>-</v>
      </c>
      <c r="E101" s="173" t="str">
        <f>IF(COUNTIFS(Table16[ประเภท],E93,Table16[ฝ่าย],A101,Table16[สัปดาห์แจ้งซ่อม],"2")=0,"-",COUNTIFS(Table16[ประเภท],E93,Table16[ฝ่าย],A101,Table16[สัปดาห์แจ้งซ่อม],"2"))</f>
        <v>-</v>
      </c>
      <c r="F101" s="173" t="str">
        <f>IF(COUNTIFS(Table16[ประเภท],F93,Table16[ฝ่าย],A101,Table16[สัปดาห์แจ้งซ่อม],"2")=0,"-",COUNTIFS(Table16[ประเภท],F93,Table16[ฝ่าย],A101,Table16[สัปดาห์แจ้งซ่อม],"2"))</f>
        <v>-</v>
      </c>
      <c r="G101" s="173" t="str">
        <f>IF(COUNTIFS(Table16[ประเภท],G93,Table16[ฝ่าย],A101,Table16[สัปดาห์แจ้งซ่อม],"2")=0,"-",COUNTIFS(Table16[ประเภท],G93,Table16[ฝ่าย],A101,Table16[สัปดาห์แจ้งซ่อม],"2"))</f>
        <v>-</v>
      </c>
      <c r="H101" s="173" t="str">
        <f>IF(COUNTIFS(Table16[ประเภท],H93,Table16[ฝ่าย],A101,Table16[สัปดาห์แจ้งซ่อม],"2")=0,"-",COUNTIFS(Table16[ประเภท],H93,Table16[ฝ่าย],A101,Table16[สัปดาห์แจ้งซ่อม],"2"))</f>
        <v>-</v>
      </c>
      <c r="I101" s="173" t="str">
        <f>IF(COUNTIFS(Table16[ประเภท],I93,Table16[ฝ่าย],A101,Table16[สัปดาห์แจ้งซ่อม],"2")=0,"-",COUNTIFS(Table16[ประเภท],I93,Table16[ฝ่าย],A101,Table16[สัปดาห์แจ้งซ่อม],"2"))</f>
        <v>-</v>
      </c>
      <c r="J101" s="173" t="str">
        <f>IF(COUNTIFS(Table16[ประเภท],J93,Table16[ฝ่าย],A101,Table16[สัปดาห์แจ้งซ่อม],"2")=0,"-",COUNTIFS(Table16[ประเภท],J93,Table16[ฝ่าย],A101,Table16[สัปดาห์แจ้งซ่อม],"2"))</f>
        <v>-</v>
      </c>
      <c r="K101" s="173" t="str">
        <f>IF(COUNTIFS(Table16[ประเภท],K93,Table16[ฝ่าย],A101,Table16[สัปดาห์แจ้งซ่อม],"2")=0,"-",COUNTIFS(Table16[ประเภท],K93,Table16[ฝ่าย],A101,Table16[สัปดาห์แจ้งซ่อม],"2"))</f>
        <v>-</v>
      </c>
      <c r="L101" s="173" t="str">
        <f>IF(COUNTIFS(Table16[ประเภท],L93,Table16[ฝ่าย],A101,Table16[สัปดาห์แจ้งซ่อม],"2")=0,"-",COUNTIFS(Table16[ประเภท],L93,Table16[ฝ่าย],A101,Table16[สัปดาห์แจ้งซ่อม],"2"))</f>
        <v>-</v>
      </c>
      <c r="M101" s="173" t="str">
        <f>IF(COUNTIFS(Table16[ประเภท],M93,Table16[ฝ่าย],A101,Table16[สัปดาห์แจ้งซ่อม],"2")=0,"-",COUNTIFS(Table16[ประเภท],M93,Table16[ฝ่าย],A101,Table16[สัปดาห์แจ้งซ่อม],"2"))</f>
        <v>-</v>
      </c>
      <c r="N101" s="173" t="str">
        <f>IF(COUNTIFS(Table16[ประเภท],N93,Table16[ฝ่าย],A101,Table16[สัปดาห์แจ้งซ่อม],"2")=0,"-",COUNTIFS(Table16[ประเภท],N93,Table16[ฝ่าย],A101,Table16[สัปดาห์แจ้งซ่อม],"2"))</f>
        <v>-</v>
      </c>
      <c r="O101" s="416"/>
      <c r="P101" s="458" t="str">
        <f>IF(COUNTIFS(Table16[ประเภท],P93,Table16[ฝ่าย],A101,Table16[สัปดาห์แจ้งซ่อม],"2")=0,"-",COUNTIFS(Table16[ประเภท],P93,Table16[ฝ่าย],A101,Table16[สัปดาห์แจ้งซ่อม],"2"))</f>
        <v>-</v>
      </c>
    </row>
    <row r="102" spans="1:16" ht="15" thickBot="1">
      <c r="A102" s="176" t="s">
        <v>77</v>
      </c>
      <c r="B102" s="177">
        <f>COUNTIFS(Table16[ฝ่าย],A102,Table16[สัปดาห์แจ้งซ่อม],2)</f>
        <v>0</v>
      </c>
      <c r="C102" s="178">
        <f>B102/B108</f>
        <v>0</v>
      </c>
      <c r="D102" s="173" t="str">
        <f>IF(COUNTIFS(Table16[ประเภท],D93,Table16[ฝ่าย],A102,Table16[สัปดาห์แจ้งซ่อม],"2")=0,"-",COUNTIFS(Table16[ประเภท],D93,Table16[ฝ่าย],A102,Table16[สัปดาห์แจ้งซ่อม],"2"))</f>
        <v>-</v>
      </c>
      <c r="E102" s="173" t="str">
        <f>IF(COUNTIFS(Table16[ประเภท],E93,Table16[ฝ่าย],A102,Table16[สัปดาห์แจ้งซ่อม],"2")=0,"-",COUNTIFS(Table16[ประเภท],E93,Table16[ฝ่าย],A102,Table16[สัปดาห์แจ้งซ่อม],"2"))</f>
        <v>-</v>
      </c>
      <c r="F102" s="173" t="str">
        <f>IF(COUNTIFS(Table16[ประเภท],F93,Table16[ฝ่าย],A102,Table16[สัปดาห์แจ้งซ่อม],"2")=0,"-",COUNTIFS(Table16[ประเภท],F93,Table16[ฝ่าย],A102,Table16[สัปดาห์แจ้งซ่อม],"2"))</f>
        <v>-</v>
      </c>
      <c r="G102" s="173" t="str">
        <f>IF(COUNTIFS(Table16[ประเภท],G93,Table16[ฝ่าย],A102,Table16[สัปดาห์แจ้งซ่อม],"2")=0,"-",COUNTIFS(Table16[ประเภท],G93,Table16[ฝ่าย],A102,Table16[สัปดาห์แจ้งซ่อม],"2"))</f>
        <v>-</v>
      </c>
      <c r="H102" s="173" t="str">
        <f>IF(COUNTIFS(Table16[ประเภท],H93,Table16[ฝ่าย],A102,Table16[สัปดาห์แจ้งซ่อม],"2")=0,"-",COUNTIFS(Table16[ประเภท],H93,Table16[ฝ่าย],A102,Table16[สัปดาห์แจ้งซ่อม],"2"))</f>
        <v>-</v>
      </c>
      <c r="I102" s="173" t="str">
        <f>IF(COUNTIFS(Table16[ประเภท],I93,Table16[ฝ่าย],A102,Table16[สัปดาห์แจ้งซ่อม],"2")=0,"-",COUNTIFS(Table16[ประเภท],I93,Table16[ฝ่าย],A102,Table16[สัปดาห์แจ้งซ่อม],"2"))</f>
        <v>-</v>
      </c>
      <c r="J102" s="173" t="str">
        <f>IF(COUNTIFS(Table16[ประเภท],J93,Table16[ฝ่าย],A102,Table16[สัปดาห์แจ้งซ่อม],"2")=0,"-",COUNTIFS(Table16[ประเภท],J93,Table16[ฝ่าย],A102,Table16[สัปดาห์แจ้งซ่อม],"2"))</f>
        <v>-</v>
      </c>
      <c r="K102" s="173" t="str">
        <f>IF(COUNTIFS(Table16[ประเภท],K93,Table16[ฝ่าย],A102,Table16[สัปดาห์แจ้งซ่อม],"2")=0,"-",COUNTIFS(Table16[ประเภท],K93,Table16[ฝ่าย],A102,Table16[สัปดาห์แจ้งซ่อม],"2"))</f>
        <v>-</v>
      </c>
      <c r="L102" s="173" t="str">
        <f>IF(COUNTIFS(Table16[ประเภท],L93,Table16[ฝ่าย],A102,Table16[สัปดาห์แจ้งซ่อม],"2")=0,"-",COUNTIFS(Table16[ประเภท],L93,Table16[ฝ่าย],A102,Table16[สัปดาห์แจ้งซ่อม],"2"))</f>
        <v>-</v>
      </c>
      <c r="M102" s="173" t="str">
        <f>IF(COUNTIFS(Table16[ประเภท],M93,Table16[ฝ่าย],A102,Table16[สัปดาห์แจ้งซ่อม],"2")=0,"-",COUNTIFS(Table16[ประเภท],M93,Table16[ฝ่าย],A102,Table16[สัปดาห์แจ้งซ่อม],"2"))</f>
        <v>-</v>
      </c>
      <c r="N102" s="173" t="str">
        <f>IF(COUNTIFS(Table16[ประเภท],N93,Table16[ฝ่าย],A102,Table16[สัปดาห์แจ้งซ่อม],"2")=0,"-",COUNTIFS(Table16[ประเภท],N93,Table16[ฝ่าย],A102,Table16[สัปดาห์แจ้งซ่อม],"2"))</f>
        <v>-</v>
      </c>
      <c r="O102" s="416"/>
      <c r="P102" s="458" t="str">
        <f>IF(COUNTIFS(Table16[ประเภท],P93,Table16[ฝ่าย],A102,Table16[สัปดาห์แจ้งซ่อม],"2")=0,"-",COUNTIFS(Table16[ประเภท],P93,Table16[ฝ่าย],A102,Table16[สัปดาห์แจ้งซ่อม],"2"))</f>
        <v>-</v>
      </c>
    </row>
    <row r="103" spans="1:16" ht="15" thickBot="1">
      <c r="A103" s="176" t="s">
        <v>78</v>
      </c>
      <c r="B103" s="177">
        <f>COUNTIFS(Table16[ฝ่าย],A103,Table16[สัปดาห์แจ้งซ่อม],2)</f>
        <v>0</v>
      </c>
      <c r="C103" s="179">
        <f>B103/B108</f>
        <v>0</v>
      </c>
      <c r="D103" s="173" t="str">
        <f>IF(COUNTIFS(Table16[ประเภท],D93,Table16[ฝ่าย],A103,Table16[สัปดาห์แจ้งซ่อม],"2")=0,"-",COUNTIFS(Table16[ประเภท],D93,Table16[ฝ่าย],A103,Table16[สัปดาห์แจ้งซ่อม],"2"))</f>
        <v>-</v>
      </c>
      <c r="E103" s="173" t="str">
        <f>IF(COUNTIFS(Table16[ประเภท],E93,Table16[ฝ่าย],A103,Table16[สัปดาห์แจ้งซ่อม],"2")=0,"-",COUNTIFS(Table16[ประเภท],E93,Table16[ฝ่าย],A103,Table16[สัปดาห์แจ้งซ่อม],"2"))</f>
        <v>-</v>
      </c>
      <c r="F103" s="173" t="str">
        <f>IF(COUNTIFS(Table16[ประเภท],F93,Table16[ฝ่าย],A103,Table16[สัปดาห์แจ้งซ่อม],"2")=0,"-",COUNTIFS(Table16[ประเภท],F93,Table16[ฝ่าย],A103,Table16[สัปดาห์แจ้งซ่อม],"2"))</f>
        <v>-</v>
      </c>
      <c r="G103" s="173" t="str">
        <f>IF(COUNTIFS(Table16[ประเภท],G93,Table16[ฝ่าย],A103,Table16[สัปดาห์แจ้งซ่อม],"2")=0,"-",COUNTIFS(Table16[ประเภท],G93,Table16[ฝ่าย],A103,Table16[สัปดาห์แจ้งซ่อม],"2"))</f>
        <v>-</v>
      </c>
      <c r="H103" s="173" t="str">
        <f>IF(COUNTIFS(Table16[ประเภท],H93,Table16[ฝ่าย],A103,Table16[สัปดาห์แจ้งซ่อม],"2")=0,"-",COUNTIFS(Table16[ประเภท],H93,Table16[ฝ่าย],A103,Table16[สัปดาห์แจ้งซ่อม],"2"))</f>
        <v>-</v>
      </c>
      <c r="I103" s="173" t="str">
        <f>IF(COUNTIFS(Table16[ประเภท],I93,Table16[ฝ่าย],A103,Table16[สัปดาห์แจ้งซ่อม],"2")=0,"-",COUNTIFS(Table16[ประเภท],I93,Table16[ฝ่าย],A103,Table16[สัปดาห์แจ้งซ่อม],"2"))</f>
        <v>-</v>
      </c>
      <c r="J103" s="173" t="str">
        <f>IF(COUNTIFS(Table16[ประเภท],J93,Table16[ฝ่าย],A103,Table16[สัปดาห์แจ้งซ่อม],"2")=0,"-",COUNTIFS(Table16[ประเภท],J93,Table16[ฝ่าย],A103,Table16[สัปดาห์แจ้งซ่อม],"2"))</f>
        <v>-</v>
      </c>
      <c r="K103" s="173" t="str">
        <f>IF(COUNTIFS(Table16[ประเภท],K93,Table16[ฝ่าย],A103,Table16[สัปดาห์แจ้งซ่อม],"2")=0,"-",COUNTIFS(Table16[ประเภท],K93,Table16[ฝ่าย],A103,Table16[สัปดาห์แจ้งซ่อม],"2"))</f>
        <v>-</v>
      </c>
      <c r="L103" s="173" t="str">
        <f>IF(COUNTIFS(Table16[ประเภท],L93,Table16[ฝ่าย],A103,Table16[สัปดาห์แจ้งซ่อม],"2")=0,"-",COUNTIFS(Table16[ประเภท],L93,Table16[ฝ่าย],A103,Table16[สัปดาห์แจ้งซ่อม],"2"))</f>
        <v>-</v>
      </c>
      <c r="M103" s="173" t="str">
        <f>IF(COUNTIFS(Table16[ประเภท],M93,Table16[ฝ่าย],A103,Table16[สัปดาห์แจ้งซ่อม],"2")=0,"-",COUNTIFS(Table16[ประเภท],M93,Table16[ฝ่าย],A103,Table16[สัปดาห์แจ้งซ่อม],"2"))</f>
        <v>-</v>
      </c>
      <c r="N103" s="173" t="str">
        <f>IF(COUNTIFS(Table16[ประเภท],N93,Table16[ฝ่าย],A103,Table16[สัปดาห์แจ้งซ่อม],"2")=0,"-",COUNTIFS(Table16[ประเภท],N93,Table16[ฝ่าย],A103,Table16[สัปดาห์แจ้งซ่อม],"2"))</f>
        <v>-</v>
      </c>
      <c r="O103" s="416"/>
      <c r="P103" s="458" t="str">
        <f>IF(COUNTIFS(Table16[ประเภท],P93,Table16[ฝ่าย],A103,Table16[สัปดาห์แจ้งซ่อม],"2")=0,"-",COUNTIFS(Table16[ประเภท],P93,Table16[ฝ่าย],A103,Table16[สัปดาห์แจ้งซ่อม],"2"))</f>
        <v>-</v>
      </c>
    </row>
    <row r="104" spans="1:16" ht="15" thickBot="1">
      <c r="A104" s="176" t="s">
        <v>79</v>
      </c>
      <c r="B104" s="177">
        <f>COUNTIFS(Table16[ฝ่าย],A104,Table16[สัปดาห์แจ้งซ่อม],2)</f>
        <v>0</v>
      </c>
      <c r="C104" s="179">
        <f>B104/B108</f>
        <v>0</v>
      </c>
      <c r="D104" s="173" t="str">
        <f>IF(COUNTIFS(Table16[ประเภท],D93,Table16[ฝ่าย],A104,Table16[สัปดาห์แจ้งซ่อม],"2")=0,"-",COUNTIFS(Table16[ประเภท],D93,Table16[ฝ่าย],A104,Table16[สัปดาห์แจ้งซ่อม],"2"))</f>
        <v>-</v>
      </c>
      <c r="E104" s="173" t="str">
        <f>IF(COUNTIFS(Table16[ประเภท],E93,Table16[ฝ่าย],A104,Table16[สัปดาห์แจ้งซ่อม],"2")=0,"-",COUNTIFS(Table16[ประเภท],E93,Table16[ฝ่าย],A104,Table16[สัปดาห์แจ้งซ่อม],"2"))</f>
        <v>-</v>
      </c>
      <c r="F104" s="173" t="str">
        <f>IF(COUNTIFS(Table16[ประเภท],F93,Table16[ฝ่าย],A104,Table16[สัปดาห์แจ้งซ่อม],"2")=0,"-",COUNTIFS(Table16[ประเภท],F93,Table16[ฝ่าย],A104,Table16[สัปดาห์แจ้งซ่อม],"2"))</f>
        <v>-</v>
      </c>
      <c r="G104" s="173" t="str">
        <f>IF(COUNTIFS(Table16[ประเภท],G93,Table16[ฝ่าย],A104,Table16[สัปดาห์แจ้งซ่อม],"2")=0,"-",COUNTIFS(Table16[ประเภท],G93,Table16[ฝ่าย],A104,Table16[สัปดาห์แจ้งซ่อม],"2"))</f>
        <v>-</v>
      </c>
      <c r="H104" s="173" t="str">
        <f>IF(COUNTIFS(Table16[ประเภท],H93,Table16[ฝ่าย],A104,Table16[สัปดาห์แจ้งซ่อม],"2")=0,"-",COUNTIFS(Table16[ประเภท],H93,Table16[ฝ่าย],A104,Table16[สัปดาห์แจ้งซ่อม],"2"))</f>
        <v>-</v>
      </c>
      <c r="I104" s="173" t="str">
        <f>IF(COUNTIFS(Table16[ประเภท],I93,Table16[ฝ่าย],A104,Table16[สัปดาห์แจ้งซ่อม],"2")=0,"-",COUNTIFS(Table16[ประเภท],I93,Table16[ฝ่าย],A104,Table16[สัปดาห์แจ้งซ่อม],"2"))</f>
        <v>-</v>
      </c>
      <c r="J104" s="173" t="str">
        <f>IF(COUNTIFS(Table16[ประเภท],J93,Table16[ฝ่าย],A104,Table16[สัปดาห์แจ้งซ่อม],"2")=0,"-",COUNTIFS(Table16[ประเภท],J93,Table16[ฝ่าย],A104,Table16[สัปดาห์แจ้งซ่อม],"2"))</f>
        <v>-</v>
      </c>
      <c r="K104" s="173" t="str">
        <f>IF(COUNTIFS(Table16[ประเภท],K93,Table16[ฝ่าย],A104,Table16[สัปดาห์แจ้งซ่อม],"2")=0,"-",COUNTIFS(Table16[ประเภท],K93,Table16[ฝ่าย],A104,Table16[สัปดาห์แจ้งซ่อม],"2"))</f>
        <v>-</v>
      </c>
      <c r="L104" s="173" t="str">
        <f>IF(COUNTIFS(Table16[ประเภท],L93,Table16[ฝ่าย],A104,Table16[สัปดาห์แจ้งซ่อม],"2")=0,"-",COUNTIFS(Table16[ประเภท],L93,Table16[ฝ่าย],A104,Table16[สัปดาห์แจ้งซ่อม],"2"))</f>
        <v>-</v>
      </c>
      <c r="M104" s="173" t="str">
        <f>IF(COUNTIFS(Table16[ประเภท],M93,Table16[ฝ่าย],A104,Table16[สัปดาห์แจ้งซ่อม],"2")=0,"-",COUNTIFS(Table16[ประเภท],M93,Table16[ฝ่าย],A104,Table16[สัปดาห์แจ้งซ่อม],"2"))</f>
        <v>-</v>
      </c>
      <c r="N104" s="173" t="str">
        <f>IF(COUNTIFS(Table16[ประเภท],N93,Table16[ฝ่าย],A104,Table16[สัปดาห์แจ้งซ่อม],"2")=0,"-",COUNTIFS(Table16[ประเภท],N93,Table16[ฝ่าย],A104,Table16[สัปดาห์แจ้งซ่อม],"2"))</f>
        <v>-</v>
      </c>
      <c r="O104" s="416"/>
      <c r="P104" s="458" t="str">
        <f>IF(COUNTIFS(Table16[ประเภท],P93,Table16[ฝ่าย],A104,Table16[สัปดาห์แจ้งซ่อม],"2")=0,"-",COUNTIFS(Table16[ประเภท],P93,Table16[ฝ่าย],A104,Table16[สัปดาห์แจ้งซ่อม],"2"))</f>
        <v>-</v>
      </c>
    </row>
    <row r="105" spans="1:16" ht="15" thickBot="1">
      <c r="A105" s="176" t="s">
        <v>80</v>
      </c>
      <c r="B105" s="177">
        <f>COUNTIFS(Table16[ฝ่าย],A105,Table16[สัปดาห์แจ้งซ่อม],2)</f>
        <v>0</v>
      </c>
      <c r="C105" s="179">
        <f>B105/B108</f>
        <v>0</v>
      </c>
      <c r="D105" s="173" t="str">
        <f>IF(COUNTIFS(Table16[ประเภท],D93,Table16[ฝ่าย],A105,Table16[สัปดาห์แจ้งซ่อม],"2")=0,"-",COUNTIFS(Table16[ประเภท],D93,Table16[ฝ่าย],A105,Table16[สัปดาห์แจ้งซ่อม],"2"))</f>
        <v>-</v>
      </c>
      <c r="E105" s="173" t="str">
        <f>IF(COUNTIFS(Table16[ประเภท],E93,Table16[ฝ่าย],A105,Table16[สัปดาห์แจ้งซ่อม],"2")=0,"-",COUNTIFS(Table16[ประเภท],E93,Table16[ฝ่าย],A105,Table16[สัปดาห์แจ้งซ่อม],"2"))</f>
        <v>-</v>
      </c>
      <c r="F105" s="173" t="str">
        <f>IF(COUNTIFS(Table16[ประเภท],F93,Table16[ฝ่าย],A105,Table16[สัปดาห์แจ้งซ่อม],"2")=0,"-",COUNTIFS(Table16[ประเภท],F93,Table16[ฝ่าย],A105,Table16[สัปดาห์แจ้งซ่อม],"2"))</f>
        <v>-</v>
      </c>
      <c r="G105" s="173" t="str">
        <f>IF(COUNTIFS(Table16[ประเภท],G93,Table16[ฝ่าย],A105,Table16[สัปดาห์แจ้งซ่อม],"2")=0,"-",COUNTIFS(Table16[ประเภท],G93,Table16[ฝ่าย],A105,Table16[สัปดาห์แจ้งซ่อม],"2"))</f>
        <v>-</v>
      </c>
      <c r="H105" s="173" t="str">
        <f>IF(COUNTIFS(Table16[ประเภท],H93,Table16[ฝ่าย],A105,Table16[สัปดาห์แจ้งซ่อม],"2")=0,"-",COUNTIFS(Table16[ประเภท],H93,Table16[ฝ่าย],A105,Table16[สัปดาห์แจ้งซ่อม],"2"))</f>
        <v>-</v>
      </c>
      <c r="I105" s="173" t="str">
        <f>IF(COUNTIFS(Table16[ประเภท],I93,Table16[ฝ่าย],A105,Table16[สัปดาห์แจ้งซ่อม],"2")=0,"-",COUNTIFS(Table16[ประเภท],I93,Table16[ฝ่าย],A105,Table16[สัปดาห์แจ้งซ่อม],"2"))</f>
        <v>-</v>
      </c>
      <c r="J105" s="173" t="str">
        <f>IF(COUNTIFS(Table16[ประเภท],J93,Table16[ฝ่าย],A105,Table16[สัปดาห์แจ้งซ่อม],"2")=0,"-",COUNTIFS(Table16[ประเภท],J93,Table16[ฝ่าย],A105,Table16[สัปดาห์แจ้งซ่อม],"2"))</f>
        <v>-</v>
      </c>
      <c r="K105" s="173" t="str">
        <f>IF(COUNTIFS(Table16[ประเภท],K93,Table16[ฝ่าย],A105,Table16[สัปดาห์แจ้งซ่อม],"2")=0,"-",COUNTIFS(Table16[ประเภท],K93,Table16[ฝ่าย],A105,Table16[สัปดาห์แจ้งซ่อม],"2"))</f>
        <v>-</v>
      </c>
      <c r="L105" s="173" t="str">
        <f>IF(COUNTIFS(Table16[ประเภท],L93,Table16[ฝ่าย],A105,Table16[สัปดาห์แจ้งซ่อม],"2")=0,"-",COUNTIFS(Table16[ประเภท],L93,Table16[ฝ่าย],A105,Table16[สัปดาห์แจ้งซ่อม],"2"))</f>
        <v>-</v>
      </c>
      <c r="M105" s="173" t="str">
        <f>IF(COUNTIFS(Table16[ประเภท],M93,Table16[ฝ่าย],A105,Table16[สัปดาห์แจ้งซ่อม],"2")=0,"-",COUNTIFS(Table16[ประเภท],M93,Table16[ฝ่าย],A105,Table16[สัปดาห์แจ้งซ่อม],"2"))</f>
        <v>-</v>
      </c>
      <c r="N105" s="173" t="str">
        <f>IF(COUNTIFS(Table16[ประเภท],N93,Table16[ฝ่าย],A105,Table16[สัปดาห์แจ้งซ่อม],"2")=0,"-",COUNTIFS(Table16[ประเภท],N93,Table16[ฝ่าย],A105,Table16[สัปดาห์แจ้งซ่อม],"2"))</f>
        <v>-</v>
      </c>
      <c r="O105" s="416"/>
      <c r="P105" s="458" t="str">
        <f>IF(COUNTIFS(Table16[ประเภท],P93,Table16[ฝ่าย],A105,Table16[สัปดาห์แจ้งซ่อม],"2")=0,"-",COUNTIFS(Table16[ประเภท],P93,Table16[ฝ่าย],A105,Table16[สัปดาห์แจ้งซ่อม],"2"))</f>
        <v>-</v>
      </c>
    </row>
    <row r="106" spans="1:16" ht="15" thickBot="1">
      <c r="A106" s="176" t="s">
        <v>81</v>
      </c>
      <c r="B106" s="177">
        <f>COUNTIFS(Table16[ฝ่าย],A106,Table16[สัปดาห์แจ้งซ่อม],2)</f>
        <v>0</v>
      </c>
      <c r="C106" s="179">
        <f>B106/B108</f>
        <v>0</v>
      </c>
      <c r="D106" s="173" t="str">
        <f>IF(COUNTIFS(Table16[ประเภท],D93,Table16[ฝ่าย],A106,Table16[สัปดาห์แจ้งซ่อม],"2")=0,"-",COUNTIFS(Table16[ประเภท],D93,Table16[ฝ่าย],A103,Table16[สัปดาห์แจ้งซ่อม],"2"))</f>
        <v>-</v>
      </c>
      <c r="E106" s="173" t="str">
        <f>IF(COUNTIFS(Table16[ประเภท],E93,Table16[ฝ่าย],A106,Table16[สัปดาห์แจ้งซ่อม],"2")=0,"-",COUNTIFS(Table16[ประเภท],E93,Table16[ฝ่าย],A103,Table16[สัปดาห์แจ้งซ่อม],"2"))</f>
        <v>-</v>
      </c>
      <c r="F106" s="173" t="str">
        <f>IF(COUNTIFS(Table16[ประเภท],F93,Table16[ฝ่าย],A106,Table16[สัปดาห์แจ้งซ่อม],"2")=0,"-",COUNTIFS(Table16[ประเภท],F93,Table16[ฝ่าย],A106,Table16[สัปดาห์แจ้งซ่อม],"2"))</f>
        <v>-</v>
      </c>
      <c r="G106" s="173" t="str">
        <f>IF(COUNTIFS(Table16[ประเภท],G93,Table16[ฝ่าย],A106,Table16[สัปดาห์แจ้งซ่อม],"2")=0,"-",COUNTIFS(Table16[ประเภท],G93,Table16[ฝ่าย],A106,Table16[สัปดาห์แจ้งซ่อม],"2"))</f>
        <v>-</v>
      </c>
      <c r="H106" s="173" t="str">
        <f>IF(COUNTIFS(Table16[ประเภท],H93,Table16[ฝ่าย],A106,Table16[สัปดาห์แจ้งซ่อม],"2")=0,"-",COUNTIFS(Table16[ประเภท],H93,Table16[ฝ่าย],A106,Table16[สัปดาห์แจ้งซ่อม],"2"))</f>
        <v>-</v>
      </c>
      <c r="I106" s="173" t="str">
        <f>IF(COUNTIFS(Table16[ประเภท],I93,Table16[ฝ่าย],A106,Table16[สัปดาห์แจ้งซ่อม],"2")=0,"-",COUNTIFS(Table16[ประเภท],I93,Table16[ฝ่าย],A106,Table16[สัปดาห์แจ้งซ่อม],"2"))</f>
        <v>-</v>
      </c>
      <c r="J106" s="173" t="str">
        <f>IF(COUNTIFS(Table16[ประเภท],J93,Table16[ฝ่าย],A106,Table16[สัปดาห์แจ้งซ่อม],"2")=0,"-",COUNTIFS(Table16[ประเภท],J93,Table16[ฝ่าย],A106,Table16[สัปดาห์แจ้งซ่อม],"2"))</f>
        <v>-</v>
      </c>
      <c r="K106" s="173" t="str">
        <f>IF(COUNTIFS(Table16[ประเภท],K93,Table16[ฝ่าย],A106,Table16[สัปดาห์แจ้งซ่อม],"2")=0,"-",COUNTIFS(Table16[ประเภท],K93,Table16[ฝ่าย],A106,Table16[สัปดาห์แจ้งซ่อม],"2"))</f>
        <v>-</v>
      </c>
      <c r="L106" s="173" t="str">
        <f>IF(COUNTIFS(Table16[ประเภท],L93,Table16[ฝ่าย],A106,Table16[สัปดาห์แจ้งซ่อม],"2")=0,"-",COUNTIFS(Table16[ประเภท],L93,Table16[ฝ่าย],A106,Table16[สัปดาห์แจ้งซ่อม],"2"))</f>
        <v>-</v>
      </c>
      <c r="M106" s="173" t="str">
        <f>IF(COUNTIFS(Table16[ประเภท],M93,Table16[ฝ่าย],A106,Table16[สัปดาห์แจ้งซ่อม],"2")=0,"-",COUNTIFS(Table16[ประเภท],M93,Table16[ฝ่าย],A106,Table16[สัปดาห์แจ้งซ่อม],"2"))</f>
        <v>-</v>
      </c>
      <c r="N106" s="173" t="str">
        <f>IF(COUNTIFS(Table16[ประเภท],N93,Table16[ฝ่าย],A106,Table16[สัปดาห์แจ้งซ่อม],"2")=0,"-",COUNTIFS(Table16[ประเภท],N93,Table16[ฝ่าย],A106,Table16[สัปดาห์แจ้งซ่อม],"2"))</f>
        <v>-</v>
      </c>
      <c r="O106" s="416"/>
      <c r="P106" s="458" t="str">
        <f>IF(COUNTIFS(Table16[ประเภท],P93,Table16[ฝ่าย],A106,Table16[สัปดาห์แจ้งซ่อม],"2")=0,"-",COUNTIFS(Table16[ประเภท],P93,Table16[ฝ่าย],A106,Table16[สัปดาห์แจ้งซ่อม],"2"))</f>
        <v>-</v>
      </c>
    </row>
    <row r="107" spans="1:16" ht="15" thickBot="1">
      <c r="A107" s="176" t="s">
        <v>171</v>
      </c>
      <c r="B107" s="177">
        <f>COUNTIFS(Table16[ฝ่าย],A107,Table16[สัปดาห์แจ้งซ่อม],2)</f>
        <v>2</v>
      </c>
      <c r="C107" s="179">
        <f>B107/B108</f>
        <v>0.16666666666666666</v>
      </c>
      <c r="D107" s="173" t="str">
        <f>IF(COUNTIFS(Table16[ประเภท],D93,Table16[ฝ่าย],A107,Table16[สัปดาห์แจ้งซ่อม],"2")=0,"-",COUNTIFS(Table16[ประเภท],D93,Table16[ฝ่าย],A107,Table16[สัปดาห์แจ้งซ่อม],"2"))</f>
        <v>-</v>
      </c>
      <c r="E107" s="173" t="str">
        <f>IF(COUNTIFS(Table16[ประเภท],E93,Table16[ฝ่าย],A107,Table16[สัปดาห์แจ้งซ่อม],"2")=0,"-",COUNTIFS(Table16[ประเภท],E93,Table16[ฝ่าย],A107,Table16[สัปดาห์แจ้งซ่อม],"2"))</f>
        <v>-</v>
      </c>
      <c r="F107" s="173" t="str">
        <f>IF(COUNTIFS(Table16[ประเภท],F93,Table16[ฝ่าย],A107,Table16[สัปดาห์แจ้งซ่อม],"2")=0,"-",COUNTIFS(Table16[ประเภท],F93,Table16[ฝ่าย],A107,Table16[สัปดาห์แจ้งซ่อม],"2"))</f>
        <v>-</v>
      </c>
      <c r="G107" s="173" t="str">
        <f>IF(COUNTIFS(Table16[ประเภท],G93,Table16[ฝ่าย],A107,Table16[สัปดาห์แจ้งซ่อม],"2")=0,"-",COUNTIFS(Table16[ประเภท],G93,Table16[ฝ่าย],A107,Table16[สัปดาห์แจ้งซ่อม],"2"))</f>
        <v>-</v>
      </c>
      <c r="H107" s="173">
        <f>IF(COUNTIFS(Table16[ประเภท],H93,Table16[ฝ่าย],A107,Table16[สัปดาห์แจ้งซ่อม],"2")=0,"-",COUNTIFS(Table16[ประเภท],H93,Table16[ฝ่าย],A107,Table16[สัปดาห์แจ้งซ่อม],"2"))</f>
        <v>1</v>
      </c>
      <c r="I107" s="173" t="str">
        <f>IF(COUNTIFS(Table16[ประเภท],I93,Table16[ฝ่าย],A107,Table16[สัปดาห์แจ้งซ่อม],"2")=0,"-",COUNTIFS(Table16[ประเภท],I93,Table16[ฝ่าย],A107,Table16[สัปดาห์แจ้งซ่อม],"2"))</f>
        <v>-</v>
      </c>
      <c r="J107" s="173" t="str">
        <f>IF(COUNTIFS(Table16[ประเภท],J93,Table16[ฝ่าย],A107,Table16[สัปดาห์แจ้งซ่อม],"2")=0,"-",COUNTIFS(Table16[ประเภท],J93,Table16[ฝ่าย],A107,Table16[สัปดาห์แจ้งซ่อม],"2"))</f>
        <v>-</v>
      </c>
      <c r="K107" s="173" t="str">
        <f>IF(COUNTIFS(Table16[ประเภท],K93,Table16[ฝ่าย],A107,Table16[สัปดาห์แจ้งซ่อม],"2")=0,"-",COUNTIFS(Table16[ประเภท],K93,Table16[ฝ่าย],A107,Table16[สัปดาห์แจ้งซ่อม],"2"))</f>
        <v>-</v>
      </c>
      <c r="L107" s="173" t="str">
        <f>IF(COUNTIFS(Table16[ประเภท],L93,Table16[ฝ่าย],A107,Table16[สัปดาห์แจ้งซ่อม],"2")=0,"-",COUNTIFS(Table16[ประเภท],L93,Table16[ฝ่าย],A107,Table16[สัปดาห์แจ้งซ่อม],"2"))</f>
        <v>-</v>
      </c>
      <c r="M107" s="173" t="str">
        <f>IF(COUNTIFS(Table16[ประเภท],M93,Table16[ฝ่าย],A107,Table16[สัปดาห์แจ้งซ่อม],"2")=0,"-",COUNTIFS(Table16[ประเภท],M93,Table16[ฝ่าย],A107,Table16[สัปดาห์แจ้งซ่อม],"2"))</f>
        <v>-</v>
      </c>
      <c r="N107" s="173">
        <f>IF(COUNTIFS(Table16[ประเภท],N93,Table16[ฝ่าย],A107,Table16[สัปดาห์แจ้งซ่อม],"2")=0,"-",COUNTIFS(Table16[ประเภท],N93,Table16[ฝ่าย],A107,Table16[สัปดาห์แจ้งซ่อม],"2"))</f>
        <v>1</v>
      </c>
      <c r="O107" s="416"/>
      <c r="P107" s="458" t="str">
        <f>IF(COUNTIFS(Table16[ประเภท],P93,Table16[ฝ่าย],A107,Table16[สัปดาห์แจ้งซ่อม],"2")=0,"-",COUNTIFS(Table16[ประเภท],P93,Table16[ฝ่าย],A107,Table16[สัปดาห์แจ้งซ่อม],"2"))</f>
        <v>-</v>
      </c>
    </row>
    <row r="108" spans="1:16" ht="15" thickBot="1">
      <c r="A108" s="180" t="s">
        <v>82</v>
      </c>
      <c r="B108" s="181">
        <f>SUM(B94:B107)</f>
        <v>12</v>
      </c>
      <c r="C108" s="182">
        <f t="shared" ref="C108" si="5">SUM(C94:C106)</f>
        <v>0.83333333333333337</v>
      </c>
      <c r="D108" s="181">
        <f>SUM(D94:D107)</f>
        <v>0</v>
      </c>
      <c r="E108" s="181">
        <f t="shared" ref="E108:P108" si="6">SUM(E94:E107)</f>
        <v>2</v>
      </c>
      <c r="F108" s="181">
        <f t="shared" si="6"/>
        <v>3</v>
      </c>
      <c r="G108" s="181">
        <f t="shared" si="6"/>
        <v>1</v>
      </c>
      <c r="H108" s="181">
        <f t="shared" si="6"/>
        <v>1</v>
      </c>
      <c r="I108" s="181">
        <f t="shared" si="6"/>
        <v>0</v>
      </c>
      <c r="J108" s="181">
        <f t="shared" si="6"/>
        <v>2</v>
      </c>
      <c r="K108" s="181">
        <f t="shared" si="6"/>
        <v>2</v>
      </c>
      <c r="L108" s="181">
        <f t="shared" si="6"/>
        <v>0</v>
      </c>
      <c r="M108" s="181">
        <f t="shared" si="6"/>
        <v>0</v>
      </c>
      <c r="N108" s="181">
        <f t="shared" si="6"/>
        <v>1</v>
      </c>
      <c r="O108" s="417">
        <f t="shared" si="6"/>
        <v>0</v>
      </c>
      <c r="P108" s="417">
        <f t="shared" si="6"/>
        <v>0</v>
      </c>
    </row>
    <row r="109" spans="1:16" ht="15" thickBot="1">
      <c r="A109" s="183" t="s">
        <v>83</v>
      </c>
      <c r="B109" s="184">
        <f>COUNTIFS(Table16[สถานะ],"เรียบร้อย",Table16[สัปดาห์แจ้งซ่อม],2)</f>
        <v>4</v>
      </c>
      <c r="C109" s="185"/>
      <c r="D109" s="76"/>
      <c r="E109" s="76"/>
      <c r="F109" s="76"/>
      <c r="G109" s="76"/>
      <c r="H109" s="76"/>
      <c r="I109" s="76"/>
      <c r="J109" s="76"/>
      <c r="K109" s="76"/>
      <c r="L109" s="76"/>
    </row>
    <row r="110" spans="1:16" ht="15" thickBot="1">
      <c r="A110" s="186" t="s">
        <v>84</v>
      </c>
      <c r="B110" s="187">
        <f>COUNTIFS(Table16[สถานะ],"กำลังดำเนินการ",Table16[สัปดาห์แจ้งซ่อม],2)</f>
        <v>4</v>
      </c>
      <c r="C110" s="185"/>
      <c r="D110" s="76"/>
      <c r="E110" s="76"/>
      <c r="F110" s="76"/>
      <c r="G110" s="76"/>
      <c r="H110" s="76"/>
      <c r="I110" s="76"/>
      <c r="J110" s="76"/>
      <c r="K110" s="76"/>
      <c r="L110" s="76"/>
    </row>
    <row r="111" spans="1:16" ht="15" thickBot="1">
      <c r="A111" s="188" t="s">
        <v>3</v>
      </c>
      <c r="B111" s="189">
        <f>COUNTIFS(Table16[สถานะ],"รอดำเนินการ",Table16[สัปดาห์แจ้งซ่อม],2)</f>
        <v>4</v>
      </c>
      <c r="C111" s="185"/>
      <c r="D111" s="76"/>
      <c r="E111" s="76"/>
      <c r="F111" s="76"/>
      <c r="G111" s="76"/>
      <c r="H111" s="76"/>
      <c r="I111" s="76"/>
      <c r="J111" s="76"/>
      <c r="K111" s="76"/>
      <c r="L111" s="76"/>
    </row>
    <row r="112" spans="1:16" ht="16.2" thickBot="1">
      <c r="A112" s="190" t="s">
        <v>85</v>
      </c>
      <c r="B112" s="191">
        <f>COUNTIFS(Table16[สถานะ],"โอนย้าย",Table16[สัปดาห์แจ้งซ่อม],2)</f>
        <v>0</v>
      </c>
    </row>
    <row r="113" spans="1:16" ht="30" customHeight="1" thickBot="1">
      <c r="A113" s="528" t="s">
        <v>658</v>
      </c>
      <c r="B113" s="529"/>
      <c r="C113" s="529"/>
      <c r="D113" s="529"/>
      <c r="E113" s="529"/>
      <c r="F113" s="529"/>
      <c r="G113" s="529"/>
      <c r="H113" s="529"/>
      <c r="I113" s="529"/>
      <c r="J113" s="529"/>
      <c r="K113" s="529"/>
      <c r="L113" s="529"/>
      <c r="M113" s="529"/>
      <c r="N113" s="529"/>
      <c r="O113" s="529"/>
      <c r="P113" s="529"/>
    </row>
    <row r="114" spans="1:16" ht="18.600000000000001" thickBot="1">
      <c r="A114" s="522" t="s">
        <v>656</v>
      </c>
      <c r="B114" s="522" t="s">
        <v>57</v>
      </c>
      <c r="C114" s="524" t="s">
        <v>58</v>
      </c>
      <c r="D114" s="526" t="s">
        <v>59</v>
      </c>
      <c r="E114" s="527"/>
      <c r="F114" s="527"/>
      <c r="G114" s="527"/>
      <c r="H114" s="527"/>
      <c r="I114" s="527"/>
      <c r="J114" s="527"/>
      <c r="K114" s="527"/>
      <c r="L114" s="527"/>
      <c r="M114" s="527"/>
      <c r="N114" s="527"/>
      <c r="O114" s="527"/>
      <c r="P114" s="527"/>
    </row>
    <row r="115" spans="1:16" ht="15" thickBot="1">
      <c r="A115" s="523"/>
      <c r="B115" s="523"/>
      <c r="C115" s="525"/>
      <c r="D115" s="172" t="s">
        <v>60</v>
      </c>
      <c r="E115" s="172" t="s">
        <v>61</v>
      </c>
      <c r="F115" s="173" t="s">
        <v>62</v>
      </c>
      <c r="G115" s="173" t="s">
        <v>63</v>
      </c>
      <c r="H115" s="173" t="s">
        <v>64</v>
      </c>
      <c r="I115" s="173" t="s">
        <v>65</v>
      </c>
      <c r="J115" s="173" t="s">
        <v>66</v>
      </c>
      <c r="K115" s="173" t="s">
        <v>67</v>
      </c>
      <c r="L115" s="174" t="s">
        <v>68</v>
      </c>
      <c r="M115" s="175" t="s">
        <v>87</v>
      </c>
      <c r="N115" s="175" t="s">
        <v>166</v>
      </c>
      <c r="O115" s="415" t="s">
        <v>780</v>
      </c>
      <c r="P115" s="457" t="s">
        <v>645</v>
      </c>
    </row>
    <row r="116" spans="1:16" ht="15" thickBot="1">
      <c r="A116" s="176" t="s">
        <v>69</v>
      </c>
      <c r="B116" s="194">
        <f>COUNTIFS(Table16[ฝ่าย],A116,Table16[สัปดาห์แจ้งซ่อม],3)</f>
        <v>32</v>
      </c>
      <c r="C116" s="178">
        <f>B116/B130</f>
        <v>0.7441860465116279</v>
      </c>
      <c r="D116" s="421">
        <f>IF(COUNTIFS(Table16[ประเภท],D115,Table16[ฝ่าย],A116,Table16[สัปดาห์แจ้งซ่อม],"3")=0,"-",COUNTIFS(Table16[ประเภท],D115,Table16[ฝ่าย],A116,Table16[สัปดาห์แจ้งซ่อม],"3"))</f>
        <v>6</v>
      </c>
      <c r="E116" s="421">
        <f>IF(COUNTIFS(Table16[ประเภท],E115,Table16[ฝ่าย],A116,Table16[สัปดาห์แจ้งซ่อม],"3")=0,"-",COUNTIFS(Table16[ประเภท],E115,Table16[ฝ่าย],A116,Table16[สัปดาห์แจ้งซ่อม],"3"))</f>
        <v>1</v>
      </c>
      <c r="F116" s="421">
        <f>IF(COUNTIFS(Table16[ประเภท],F115,Table16[ฝ่าย],A116,Table16[สัปดาห์แจ้งซ่อม],"3")=0,"-",COUNTIFS(Table16[ประเภท],F115,Table16[ฝ่าย],A116,Table16[สัปดาห์แจ้งซ่อม],"3"))</f>
        <v>2</v>
      </c>
      <c r="G116" s="421" t="str">
        <f>IF(COUNTIFS(Table16[ประเภท],G115,Table16[ฝ่าย],A116,Table16[สัปดาห์แจ้งซ่อม],"3")=0,"-",COUNTIFS(Table16[ประเภท],G115,Table16[ฝ่าย],A116,Table16[สัปดาห์แจ้งซ่อม],"3"))</f>
        <v>-</v>
      </c>
      <c r="H116" s="421">
        <f>IF(COUNTIFS(Table16[ประเภท],H115,Table16[ฝ่าย],A116,Table16[สัปดาห์แจ้งซ่อม],"3")=0,"-",COUNTIFS(Table16[ประเภท],H115,Table16[ฝ่าย],A116,Table16[สัปดาห์แจ้งซ่อม],"3"))</f>
        <v>5</v>
      </c>
      <c r="I116" s="421">
        <f>IF(COUNTIFS(Table16[ประเภท],I115,Table16[ฝ่าย],A116,Table16[สัปดาห์แจ้งซ่อม],"3")=0,"-",COUNTIFS(Table16[ประเภท],I115,Table16[ฝ่าย],A116,Table16[สัปดาห์แจ้งซ่อม],"3"))</f>
        <v>1</v>
      </c>
      <c r="J116" s="421">
        <f>IF(COUNTIFS(Table16[ประเภท],J115,Table16[ฝ่าย],A116,Table16[สัปดาห์แจ้งซ่อม],"3")=0,"-",COUNTIFS(Table16[ประเภท],J115,Table16[ฝ่าย],A116,Table16[สัปดาห์แจ้งซ่อม],"3"))</f>
        <v>2</v>
      </c>
      <c r="K116" s="421">
        <f>IF(COUNTIFS(Table16[ประเภท],K115,Table16[ฝ่าย],A116,Table16[สัปดาห์แจ้งซ่อม],"3")=0,"-",COUNTIFS(Table16[ประเภท],K115,Table16[ฝ่าย],A116,Table16[สัปดาห์แจ้งซ่อม],"3"))</f>
        <v>9</v>
      </c>
      <c r="L116" s="421" t="str">
        <f>IF(COUNTIFS(Table16[ประเภท],L115,Table16[ฝ่าย],A116,Table16[สัปดาห์แจ้งซ่อม],"3")=0,"-",COUNTIFS(Table16[ประเภท],L115,Table16[ฝ่าย],A116,Table16[สัปดาห์แจ้งซ่อม],"3"))</f>
        <v>-</v>
      </c>
      <c r="M116" s="421" t="str">
        <f>IF(COUNTIFS(Table16[ประเภท],M115,Table16[ฝ่าย],A116,Table16[สัปดาห์แจ้งซ่อม],"3")=0,"-",COUNTIFS(Table16[ประเภท],M115,Table16[ฝ่าย],A116,Table16[สัปดาห์แจ้งซ่อม],"3"))</f>
        <v>-</v>
      </c>
      <c r="N116" s="421">
        <f>IF(COUNTIFS(Table16[ประเภท],N115,Table16[ฝ่าย],A116,Table16[สัปดาห์แจ้งซ่อม],"3")=0,"-",COUNTIFS(Table16[ประเภท],N115,Table16[ฝ่าย],A116,Table16[สัปดาห์แจ้งซ่อม],"3"))</f>
        <v>2</v>
      </c>
      <c r="O116" s="416" t="str">
        <f>IF(COUNTIFS(Table16[ประเภท],O115,Table16[ฝ่าย],A116,Table16[สัปดาห์แจ้งซ่อม],"3")=0,"-",COUNTIFS(Table16[ประเภท],O115,Table16[ฝ่าย],A116,Table16[สัปดาห์แจ้งซ่อม],"3"))</f>
        <v>-</v>
      </c>
      <c r="P116" s="456">
        <f>IF(COUNTIFS(Table16[ประเภท],P115,Table16[ฝ่าย],A116,Table16[สัปดาห์แจ้งซ่อม],"3")=0,"-",COUNTIFS(Table16[ประเภท],P115,Table16[ฝ่าย],A116,Table16[สัปดาห์แจ้งซ่อม],"3"))</f>
        <v>4</v>
      </c>
    </row>
    <row r="117" spans="1:16" ht="15" thickBot="1">
      <c r="A117" s="176" t="s">
        <v>70</v>
      </c>
      <c r="B117" s="194">
        <f>COUNTIFS(Table16[ฝ่าย],A117,Table16[สัปดาห์แจ้งซ่อม],3)</f>
        <v>2</v>
      </c>
      <c r="C117" s="178">
        <f>B117/B130</f>
        <v>4.6511627906976744E-2</v>
      </c>
      <c r="D117" s="421" t="str">
        <f>IF(COUNTIFS(Table16[ประเภท],D115,Table16[ฝ่าย],A117,Table16[สัปดาห์แจ้งซ่อม],"3")=0,"-",COUNTIFS(Table16[ประเภท],D115,Table16[ฝ่าย],A117,Table16[สัปดาห์แจ้งซ่อม],"3"))</f>
        <v>-</v>
      </c>
      <c r="E117" s="421">
        <f>IF(COUNTIFS(Table16[ประเภท],E115,Table16[ฝ่าย],A117,Table16[สัปดาห์แจ้งซ่อม],"3")=0,"-",COUNTIFS(Table16[ประเภท],E115,Table16[ฝ่าย],A117,Table16[สัปดาห์แจ้งซ่อม],"3"))</f>
        <v>1</v>
      </c>
      <c r="F117" s="421" t="str">
        <f>IF(COUNTIFS(Table16[ประเภท],F115,Table16[ฝ่าย],A117,Table16[สัปดาห์แจ้งซ่อม],"3")=0,"-",COUNTIFS(Table16[ประเภท],F115,Table16[ฝ่าย],A117,Table16[สัปดาห์แจ้งซ่อม],"3"))</f>
        <v>-</v>
      </c>
      <c r="G117" s="421" t="str">
        <f>IF(COUNTIFS(Table16[ประเภท],G115,Table16[ฝ่าย],A117,Table16[สัปดาห์แจ้งซ่อม],"3")=0,"-",COUNTIFS(Table16[ประเภท],G115,Table16[ฝ่าย],A117,Table16[สัปดาห์แจ้งซ่อม],"3"))</f>
        <v>-</v>
      </c>
      <c r="H117" s="421" t="str">
        <f>IF(COUNTIFS(Table16[ประเภท],H115,Table16[ฝ่าย],A117,Table16[สัปดาห์แจ้งซ่อม],"3")=0,"-",COUNTIFS(Table16[ประเภท],H115,Table16[ฝ่าย],A117,Table16[สัปดาห์แจ้งซ่อม],"3"))</f>
        <v>-</v>
      </c>
      <c r="I117" s="421">
        <f>IF(COUNTIFS(Table16[ประเภท],I115,Table16[ฝ่าย],A117,Table16[สัปดาห์แจ้งซ่อม],"3")=0,"-",COUNTIFS(Table16[ประเภท],I115,Table16[ฝ่าย],A117,Table16[สัปดาห์แจ้งซ่อม],"3"))</f>
        <v>1</v>
      </c>
      <c r="J117" s="421" t="str">
        <f>IF(COUNTIFS(Table16[ประเภท],J115,Table16[ฝ่าย],A117,Table16[สัปดาห์แจ้งซ่อม],"3")=0,"-",COUNTIFS(Table16[ประเภท],J115,Table16[ฝ่าย],A117,Table16[สัปดาห์แจ้งซ่อม],"3"))</f>
        <v>-</v>
      </c>
      <c r="K117" s="421" t="str">
        <f>IF(COUNTIFS(Table16[ประเภท],K115,Table16[ฝ่าย],A117,Table16[สัปดาห์แจ้งซ่อม],"3")=0,"-",COUNTIFS(Table16[ประเภท],K115,Table16[ฝ่าย],A117,Table16[สัปดาห์แจ้งซ่อม],"3"))</f>
        <v>-</v>
      </c>
      <c r="L117" s="421" t="str">
        <f>IF(COUNTIFS(Table16[ประเภท],L115,Table16[ฝ่าย],A117,Table16[สัปดาห์แจ้งซ่อม],"3")=0,"-",COUNTIFS(Table16[ประเภท],L115,Table16[ฝ่าย],A117,Table16[สัปดาห์แจ้งซ่อม],"3"))</f>
        <v>-</v>
      </c>
      <c r="M117" s="421" t="str">
        <f>IF(COUNTIFS(Table16[ประเภท],M115,Table16[ฝ่าย],A117,Table16[สัปดาห์แจ้งซ่อม],"3")=0,"-",COUNTIFS(Table16[ประเภท],M115,Table16[ฝ่าย],A117,Table16[สัปดาห์แจ้งซ่อม],"3"))</f>
        <v>-</v>
      </c>
      <c r="N117" s="421" t="str">
        <f>IF(COUNTIFS(Table16[ประเภท],N115,Table16[ฝ่าย],A117,Table16[สัปดาห์แจ้งซ่อม],"3")=0,"-",COUNTIFS(Table16[ประเภท],N115,Table16[ฝ่าย],A117,Table16[สัปดาห์แจ้งซ่อม],"3"))</f>
        <v>-</v>
      </c>
      <c r="O117" s="416"/>
      <c r="P117" s="456" t="str">
        <f>IF(COUNTIFS(Table16[ประเภท],P115,Table16[ฝ่าย],A117,Table16[สัปดาห์แจ้งซ่อม],"3")=0,"-",COUNTIFS(Table16[ประเภท],P115,Table16[ฝ่าย],A117,Table16[สัปดาห์แจ้งซ่อม],"3"))</f>
        <v>-</v>
      </c>
    </row>
    <row r="118" spans="1:16" ht="15" thickBot="1">
      <c r="A118" s="176" t="s">
        <v>71</v>
      </c>
      <c r="B118" s="194">
        <f>COUNTIFS(Table16[ฝ่าย],A118,Table16[สัปดาห์แจ้งซ่อม],3)</f>
        <v>0</v>
      </c>
      <c r="C118" s="178">
        <f>B118/B130</f>
        <v>0</v>
      </c>
      <c r="D118" s="421" t="str">
        <f>IF(COUNTIFS(Table16[ประเภท],D115,Table16[ฝ่าย],A118,Table16[สัปดาห์แจ้งซ่อม],"3")=0,"-",COUNTIFS(Table16[ประเภท],D115,Table16[ฝ่าย],A118,Table16[สัปดาห์แจ้งซ่อม],"3"))</f>
        <v>-</v>
      </c>
      <c r="E118" s="421" t="str">
        <f>IF(COUNTIFS(Table16[ประเภท],E115,Table16[ฝ่าย],A118,Table16[สัปดาห์แจ้งซ่อม],"3")=0,"-",COUNTIFS(Table16[ประเภท],E115,Table16[ฝ่าย],A118,Table16[สัปดาห์แจ้งซ่อม],"3"))</f>
        <v>-</v>
      </c>
      <c r="F118" s="421" t="str">
        <f>IF(COUNTIFS(Table16[ประเภท],F115,Table16[ฝ่าย],A118,Table16[สัปดาห์แจ้งซ่อม],"3")=0,"-",COUNTIFS(Table16[ประเภท],F115,Table16[ฝ่าย],A118,Table16[สัปดาห์แจ้งซ่อม],"3"))</f>
        <v>-</v>
      </c>
      <c r="G118" s="421" t="str">
        <f>IF(COUNTIFS(Table16[ประเภท],G115,Table16[ฝ่าย],A118,Table16[สัปดาห์แจ้งซ่อม],"3")=0,"-",COUNTIFS(Table16[ประเภท],G115,Table16[ฝ่าย],A118,Table16[สัปดาห์แจ้งซ่อม],"3"))</f>
        <v>-</v>
      </c>
      <c r="H118" s="421" t="str">
        <f>IF(COUNTIFS(Table16[ประเภท],H115,Table16[ฝ่าย],A118,Table16[สัปดาห์แจ้งซ่อม],"3")=0,"-",COUNTIFS(Table16[ประเภท],H115,Table16[ฝ่าย],A118,Table16[สัปดาห์แจ้งซ่อม],"3"))</f>
        <v>-</v>
      </c>
      <c r="I118" s="421" t="str">
        <f>IF(COUNTIFS(Table16[ประเภท],I115,Table16[ฝ่าย],A118,Table16[สัปดาห์แจ้งซ่อม],"3")=0,"-",COUNTIFS(Table16[ประเภท],I115,Table16[ฝ่าย],A118,Table16[สัปดาห์แจ้งซ่อม],"3"))</f>
        <v>-</v>
      </c>
      <c r="J118" s="421" t="str">
        <f>IF(COUNTIFS(Table16[ประเภท],J115,Table16[ฝ่าย],A118,Table16[สัปดาห์แจ้งซ่อม],"3")=0,"-",COUNTIFS(Table16[ประเภท],J115,Table16[ฝ่าย],A118,Table16[สัปดาห์แจ้งซ่อม],"3"))</f>
        <v>-</v>
      </c>
      <c r="K118" s="421" t="str">
        <f>IF(COUNTIFS(Table16[ประเภท],K115,Table16[ฝ่าย],A118,Table16[สัปดาห์แจ้งซ่อม],"3")=0,"-",COUNTIFS(Table16[ประเภท],K115,Table16[ฝ่าย],A118,Table16[สัปดาห์แจ้งซ่อม],"3"))</f>
        <v>-</v>
      </c>
      <c r="L118" s="421" t="str">
        <f>IF(COUNTIFS(Table16[ประเภท],L115,Table16[ฝ่าย],A118,Table16[สัปดาห์แจ้งซ่อม],"3")=0,"-",COUNTIFS(Table16[ประเภท],L115,Table16[ฝ่าย],A118,Table16[สัปดาห์แจ้งซ่อม],"3"))</f>
        <v>-</v>
      </c>
      <c r="M118" s="421" t="str">
        <f>IF(COUNTIFS(Table16[ประเภท],M115,Table16[ฝ่าย],A118,Table16[สัปดาห์แจ้งซ่อม],"3")=0,"-",COUNTIFS(Table16[ประเภท],M115,Table16[ฝ่าย],A118,Table16[สัปดาห์แจ้งซ่อม],"3"))</f>
        <v>-</v>
      </c>
      <c r="N118" s="421" t="str">
        <f>IF(COUNTIFS(Table16[ประเภท],N115,Table16[ฝ่าย],A118,Table16[สัปดาห์แจ้งซ่อม],"3")=0,"-",COUNTIFS(Table16[ประเภท],N115,Table16[ฝ่าย],A118,Table16[สัปดาห์แจ้งซ่อม],"3"))</f>
        <v>-</v>
      </c>
      <c r="O118" s="416"/>
      <c r="P118" s="456" t="str">
        <f>IF(COUNTIFS(Table16[ประเภท],P115,Table16[ฝ่าย],A118,Table16[สัปดาห์แจ้งซ่อม],"3")=0,"-",COUNTIFS(Table16[ประเภท],P115,Table16[ฝ่าย],A118,Table16[สัปดาห์แจ้งซ่อม],"3"))</f>
        <v>-</v>
      </c>
    </row>
    <row r="119" spans="1:16" ht="15" thickBot="1">
      <c r="A119" s="176" t="s">
        <v>72</v>
      </c>
      <c r="B119" s="194">
        <f>COUNTIFS(Table16[ฝ่าย],A119,Table16[สัปดาห์แจ้งซ่อม],3)</f>
        <v>0</v>
      </c>
      <c r="C119" s="193">
        <f>B119/B130</f>
        <v>0</v>
      </c>
      <c r="D119" s="421" t="str">
        <f>IF(COUNTIFS(Table16[ประเภท],D115,Table16[ฝ่าย],A119,Table16[สัปดาห์แจ้งซ่อม],"3")=0,"-",COUNTIFS(Table16[ประเภท],D115,Table16[ฝ่าย],A119,Table16[สัปดาห์แจ้งซ่อม],"3"))</f>
        <v>-</v>
      </c>
      <c r="E119" s="421" t="str">
        <f>IF(COUNTIFS(Table16[ประเภท],E115,Table16[ฝ่าย],A119,Table16[สัปดาห์แจ้งซ่อม],"3")=0,"-",COUNTIFS(Table16[ประเภท],E115,Table16[ฝ่าย],A119,Table16[สัปดาห์แจ้งซ่อม],"3"))</f>
        <v>-</v>
      </c>
      <c r="F119" s="421" t="str">
        <f>IF(COUNTIFS(Table16[ประเภท],F115,Table16[ฝ่าย],A119,Table16[สัปดาห์แจ้งซ่อม],"3")=0,"-",COUNTIFS(Table16[ประเภท],F115,Table16[ฝ่าย],A119,Table16[สัปดาห์แจ้งซ่อม],"3"))</f>
        <v>-</v>
      </c>
      <c r="G119" s="421" t="str">
        <f>IF(COUNTIFS(Table16[ประเภท],G115,Table16[ฝ่าย],A119,Table16[สัปดาห์แจ้งซ่อม],"3")=0,"-",COUNTIFS(Table16[ประเภท],G115,Table16[ฝ่าย],A119,Table16[สัปดาห์แจ้งซ่อม],"3"))</f>
        <v>-</v>
      </c>
      <c r="H119" s="421" t="str">
        <f>IF(COUNTIFS(Table16[ประเภท],H115,Table16[ฝ่าย],A119,Table16[สัปดาห์แจ้งซ่อม],"3")=0,"-",COUNTIFS(Table16[ประเภท],H115,Table16[ฝ่าย],A119,Table16[สัปดาห์แจ้งซ่อม],"3"))</f>
        <v>-</v>
      </c>
      <c r="I119" s="421" t="str">
        <f>IF(COUNTIFS(Table16[ประเภท],I115,Table16[ฝ่าย],A119,Table16[สัปดาห์แจ้งซ่อม],"3")=0,"-",COUNTIFS(Table16[ประเภท],I115,Table16[ฝ่าย],A119,Table16[สัปดาห์แจ้งซ่อม],"3"))</f>
        <v>-</v>
      </c>
      <c r="J119" s="421" t="str">
        <f>IF(COUNTIFS(Table16[ประเภท],J115,Table16[ฝ่าย],A119,Table16[สัปดาห์แจ้งซ่อม],"3")=0,"-",COUNTIFS(Table16[ประเภท],J115,Table16[ฝ่าย],A119,Table16[สัปดาห์แจ้งซ่อม],"3"))</f>
        <v>-</v>
      </c>
      <c r="K119" s="421" t="str">
        <f>IF(COUNTIFS(Table16[ประเภท],K115,Table16[ฝ่าย],A119,Table16[สัปดาห์แจ้งซ่อม],"3")=0,"-",COUNTIFS(Table16[ประเภท],K115,Table16[ฝ่าย],A119,Table16[สัปดาห์แจ้งซ่อม],"3"))</f>
        <v>-</v>
      </c>
      <c r="L119" s="421" t="str">
        <f>IF(COUNTIFS(Table16[ประเภท],L115,Table16[ฝ่าย],A119,Table16[สัปดาห์แจ้งซ่อม],"3")=0,"-",COUNTIFS(Table16[ประเภท],L115,Table16[ฝ่าย],A119,Table16[สัปดาห์แจ้งซ่อม],"3"))</f>
        <v>-</v>
      </c>
      <c r="M119" s="421" t="str">
        <f>IF(COUNTIFS(Table16[ประเภท],M115,Table16[ฝ่าย],A119,Table16[สัปดาห์แจ้งซ่อม],"3")=0,"-",COUNTIFS(Table16[ประเภท],M115,Table16[ฝ่าย],A119,Table16[สัปดาห์แจ้งซ่อม],"3"))</f>
        <v>-</v>
      </c>
      <c r="N119" s="421" t="str">
        <f>IF(COUNTIFS(Table16[ประเภท],N115,Table16[ฝ่าย],A119,Table16[สัปดาห์แจ้งซ่อม],"3")=0,"-",COUNTIFS(Table16[ประเภท],N115,Table16[ฝ่าย],A119,Table16[สัปดาห์แจ้งซ่อม],"3"))</f>
        <v>-</v>
      </c>
      <c r="O119" s="416"/>
      <c r="P119" s="456" t="str">
        <f>IF(COUNTIFS(Table16[ประเภท],P115,Table16[ฝ่าย],A119,Table16[สัปดาห์แจ้งซ่อม],"3")=0,"-",COUNTIFS(Table16[ประเภท],P115,Table16[ฝ่าย],A119,Table16[สัปดาห์แจ้งซ่อม],"3"))</f>
        <v>-</v>
      </c>
    </row>
    <row r="120" spans="1:16" ht="15" thickBot="1">
      <c r="A120" s="176" t="s">
        <v>73</v>
      </c>
      <c r="B120" s="194">
        <f>COUNTIFS(Table16[ฝ่าย],A120,Table16[สัปดาห์แจ้งซ่อม],3)</f>
        <v>0</v>
      </c>
      <c r="C120" s="178">
        <f>B120/B130</f>
        <v>0</v>
      </c>
      <c r="D120" s="421" t="str">
        <f>IF(COUNTIFS(Table16[ประเภท],D115,Table16[ฝ่าย],A120,Table16[สัปดาห์แจ้งซ่อม],"3")=0,"-",COUNTIFS(Table16[ประเภท],D115,Table16[ฝ่าย],A120,Table16[สัปดาห์แจ้งซ่อม],"3"))</f>
        <v>-</v>
      </c>
      <c r="E120" s="421" t="str">
        <f>IF(COUNTIFS(Table16[ประเภท],E115,Table16[ฝ่าย],A120,Table16[สัปดาห์แจ้งซ่อม],"3")=0,"-",COUNTIFS(Table16[ประเภท],E115,Table16[ฝ่าย],A120,Table16[สัปดาห์แจ้งซ่อม],"3"))</f>
        <v>-</v>
      </c>
      <c r="F120" s="421" t="str">
        <f>IF(COUNTIFS(Table16[ประเภท],F115,Table16[ฝ่าย],A120,Table16[สัปดาห์แจ้งซ่อม],"3")=0,"-",COUNTIFS(Table16[ประเภท],F115,Table16[ฝ่าย],A120,Table16[สัปดาห์แจ้งซ่อม],"3"))</f>
        <v>-</v>
      </c>
      <c r="G120" s="421" t="str">
        <f>IF(COUNTIFS(Table16[ประเภท],G115,Table16[ฝ่าย],A120,Table16[สัปดาห์แจ้งซ่อม],"3")=0,"-",COUNTIFS(Table16[ประเภท],G115,Table16[ฝ่าย],A120,Table16[สัปดาห์แจ้งซ่อม],"3"))</f>
        <v>-</v>
      </c>
      <c r="H120" s="421" t="str">
        <f>IF(COUNTIFS(Table16[ประเภท],H115,Table16[ฝ่าย],A120,Table16[สัปดาห์แจ้งซ่อม],"3")=0,"-",COUNTIFS(Table16[ประเภท],H115,Table16[ฝ่าย],A120,Table16[สัปดาห์แจ้งซ่อม],"3"))</f>
        <v>-</v>
      </c>
      <c r="I120" s="421" t="str">
        <f>IF(COUNTIFS(Table16[ประเภท],I115,Table16[ฝ่าย],A120,Table16[สัปดาห์แจ้งซ่อม],"3")=0,"-",COUNTIFS(Table16[ประเภท],I115,Table16[ฝ่าย],A120,Table16[สัปดาห์แจ้งซ่อม],"3"))</f>
        <v>-</v>
      </c>
      <c r="J120" s="421" t="str">
        <f>IF(COUNTIFS(Table16[ประเภท],J115,Table16[ฝ่าย],A120,Table16[สัปดาห์แจ้งซ่อม],"3")=0,"-",COUNTIFS(Table16[ประเภท],J115,Table16[ฝ่าย],A120,Table16[สัปดาห์แจ้งซ่อม],"3"))</f>
        <v>-</v>
      </c>
      <c r="K120" s="421" t="str">
        <f>IF(COUNTIFS(Table16[ประเภท],K115,Table16[ฝ่าย],A120,Table16[สัปดาห์แจ้งซ่อม],"3")=0,"-",COUNTIFS(Table16[ประเภท],K115,Table16[ฝ่าย],A120,Table16[สัปดาห์แจ้งซ่อม],"3"))</f>
        <v>-</v>
      </c>
      <c r="L120" s="421" t="str">
        <f>IF(COUNTIFS(Table16[ประเภท],L115,Table16[ฝ่าย],A120,Table16[สัปดาห์แจ้งซ่อม],"3")=0,"-",COUNTIFS(Table16[ประเภท],L115,Table16[ฝ่าย],A120,Table16[สัปดาห์แจ้งซ่อม],"3"))</f>
        <v>-</v>
      </c>
      <c r="M120" s="421" t="str">
        <f>IF(COUNTIFS(Table16[ประเภท],M115,Table16[ฝ่าย],A120,Table16[สัปดาห์แจ้งซ่อม],"3")=0,"-",COUNTIFS(Table16[ประเภท],M115,Table16[ฝ่าย],A120,Table16[สัปดาห์แจ้งซ่อม],"3"))</f>
        <v>-</v>
      </c>
      <c r="N120" s="421" t="str">
        <f>IF(COUNTIFS(Table16[ประเภท],N115,Table16[ฝ่าย],A120,Table16[สัปดาห์แจ้งซ่อม],"3")=0,"-",COUNTIFS(Table16[ประเภท],N115,Table16[ฝ่าย],A120,Table16[สัปดาห์แจ้งซ่อม],"3"))</f>
        <v>-</v>
      </c>
      <c r="O120" s="416"/>
      <c r="P120" s="456" t="str">
        <f>IF(COUNTIFS(Table16[ประเภท],P115,Table16[ฝ่าย],A120,Table16[สัปดาห์แจ้งซ่อม],"3")=0,"-",COUNTIFS(Table16[ประเภท],P115,Table16[ฝ่าย],A120,Table16[สัปดาห์แจ้งซ่อม],"3"))</f>
        <v>-</v>
      </c>
    </row>
    <row r="121" spans="1:16" ht="15" thickBot="1">
      <c r="A121" s="176" t="s">
        <v>74</v>
      </c>
      <c r="B121" s="194">
        <f>COUNTIFS(Table16[ฝ่าย],A121,Table16[สัปดาห์แจ้งซ่อม],3)</f>
        <v>1</v>
      </c>
      <c r="C121" s="178">
        <f>B121/B130</f>
        <v>2.3255813953488372E-2</v>
      </c>
      <c r="D121" s="421" t="str">
        <f>IF(COUNTIFS(Table16[ประเภท],D115,Table16[ฝ่าย],A121,Table16[สัปดาห์แจ้งซ่อม],"3")=0,"-",COUNTIFS(Table16[ประเภท],D115,Table16[ฝ่าย],A121,Table16[สัปดาห์แจ้งซ่อม],"3"))</f>
        <v>-</v>
      </c>
      <c r="E121" s="421" t="str">
        <f>IF(COUNTIFS(Table16[ประเภท],E115,Table16[ฝ่าย],A121,Table16[สัปดาห์แจ้งซ่อม],"3")=0,"-",COUNTIFS(Table16[ประเภท],E115,Table16[ฝ่าย],A121,Table16[สัปดาห์แจ้งซ่อม],"3"))</f>
        <v>-</v>
      </c>
      <c r="F121" s="421" t="str">
        <f>IF(COUNTIFS(Table16[ประเภท],F115,Table16[ฝ่าย],A121,Table16[สัปดาห์แจ้งซ่อม],"3")=0,"-",COUNTIFS(Table16[ประเภท],F115,Table16[ฝ่าย],A121,Table16[สัปดาห์แจ้งซ่อม],"3"))</f>
        <v>-</v>
      </c>
      <c r="G121" s="421" t="str">
        <f>IF(COUNTIFS(Table16[ประเภท],G115,Table16[ฝ่าย],A121,Table16[สัปดาห์แจ้งซ่อม],"3")=0,"-",COUNTIFS(Table16[ประเภท],G115,Table16[ฝ่าย],A121,Table16[สัปดาห์แจ้งซ่อม],"3"))</f>
        <v>-</v>
      </c>
      <c r="H121" s="421" t="str">
        <f>IF(COUNTIFS(Table16[ประเภท],H115,Table16[ฝ่าย],A121,Table16[สัปดาห์แจ้งซ่อม],"3")=0,"-",COUNTIFS(Table16[ประเภท],H115,Table16[ฝ่าย],A121,Table16[สัปดาห์แจ้งซ่อม],"3"))</f>
        <v>-</v>
      </c>
      <c r="I121" s="421" t="str">
        <f>IF(COUNTIFS(Table16[ประเภท],I115,Table16[ฝ่าย],A121,Table16[สัปดาห์แจ้งซ่อม],"3")=0,"-",COUNTIFS(Table16[ประเภท],I115,Table16[ฝ่าย],A121,Table16[สัปดาห์แจ้งซ่อม],"3"))</f>
        <v>-</v>
      </c>
      <c r="J121" s="421">
        <f>IF(COUNTIFS(Table16[ประเภท],J115,Table16[ฝ่าย],A121,Table16[สัปดาห์แจ้งซ่อม],"3")=0,"-",COUNTIFS(Table16[ประเภท],J115,Table16[ฝ่าย],A121,Table16[สัปดาห์แจ้งซ่อม],"3"))</f>
        <v>1</v>
      </c>
      <c r="K121" s="421" t="str">
        <f>IF(COUNTIFS(Table16[ประเภท],K115,Table16[ฝ่าย],A121,Table16[สัปดาห์แจ้งซ่อม],"3")=0,"-",COUNTIFS(Table16[ประเภท],K115,Table16[ฝ่าย],A121,Table16[สัปดาห์แจ้งซ่อม],"3"))</f>
        <v>-</v>
      </c>
      <c r="L121" s="421" t="str">
        <f>IF(COUNTIFS(Table16[ประเภท],L115,Table16[ฝ่าย],A121,Table16[สัปดาห์แจ้งซ่อม],"3")=0,"-",COUNTIFS(Table16[ประเภท],L115,Table16[ฝ่าย],A121,Table16[สัปดาห์แจ้งซ่อม],"3"))</f>
        <v>-</v>
      </c>
      <c r="M121" s="421" t="str">
        <f>IF(COUNTIFS(Table16[ประเภท],M115,Table16[ฝ่าย],A121,Table16[สัปดาห์แจ้งซ่อม],"3")=0,"-",COUNTIFS(Table16[ประเภท],M115,Table16[ฝ่าย],A121,Table16[สัปดาห์แจ้งซ่อม],"3"))</f>
        <v>-</v>
      </c>
      <c r="N121" s="421" t="str">
        <f>IF(COUNTIFS(Table16[ประเภท],N115,Table16[ฝ่าย],A121,Table16[สัปดาห์แจ้งซ่อม],"3")=0,"-",COUNTIFS(Table16[ประเภท],N115,Table16[ฝ่าย],A121,Table16[สัปดาห์แจ้งซ่อม],"3"))</f>
        <v>-</v>
      </c>
      <c r="O121" s="416"/>
      <c r="P121" s="456" t="str">
        <f>IF(COUNTIFS(Table16[ประเภท],P115,Table16[ฝ่าย],A121,Table16[สัปดาห์แจ้งซ่อม],"3")=0,"-",COUNTIFS(Table16[ประเภท],P115,Table16[ฝ่าย],A121,Table16[สัปดาห์แจ้งซ่อม],"3"))</f>
        <v>-</v>
      </c>
    </row>
    <row r="122" spans="1:16" ht="15" thickBot="1">
      <c r="A122" s="176" t="s">
        <v>75</v>
      </c>
      <c r="B122" s="194">
        <f>COUNTIFS(Table16[ฝ่าย],A122,Table16[สัปดาห์แจ้งซ่อม],3)</f>
        <v>0</v>
      </c>
      <c r="C122" s="178">
        <f>B122/B130</f>
        <v>0</v>
      </c>
      <c r="D122" s="421" t="str">
        <f>IF(COUNTIFS(Table16[ประเภท],D115,Table16[ฝ่าย],A122,Table16[สัปดาห์แจ้งซ่อม],"3")=0,"-",COUNTIFS(Table16[ประเภท],D115,Table16[ฝ่าย],A122,Table16[สัปดาห์แจ้งซ่อม],"3"))</f>
        <v>-</v>
      </c>
      <c r="E122" s="421" t="str">
        <f>IF(COUNTIFS(Table16[ประเภท],E115,Table16[ฝ่าย],A122,Table16[สัปดาห์แจ้งซ่อม],"3")=0,"-",COUNTIFS(Table16[ประเภท],E115,Table16[ฝ่าย],A122,Table16[สัปดาห์แจ้งซ่อม],"3"))</f>
        <v>-</v>
      </c>
      <c r="F122" s="421" t="str">
        <f>IF(COUNTIFS(Table16[ประเภท],F115,Table16[ฝ่าย],A122,Table16[สัปดาห์แจ้งซ่อม],"3")=0,"-",COUNTIFS(Table16[ประเภท],F115,Table16[ฝ่าย],A122,Table16[สัปดาห์แจ้งซ่อม],"3"))</f>
        <v>-</v>
      </c>
      <c r="G122" s="421" t="str">
        <f>IF(COUNTIFS(Table16[ประเภท],G115,Table16[ฝ่าย],A122,Table16[สัปดาห์แจ้งซ่อม],"3")=0,"-",COUNTIFS(Table16[ประเภท],G115,Table16[ฝ่าย],A122,Table16[สัปดาห์แจ้งซ่อม],"3"))</f>
        <v>-</v>
      </c>
      <c r="H122" s="421" t="str">
        <f>IF(COUNTIFS(Table16[ประเภท],H115,Table16[ฝ่าย],A122,Table16[สัปดาห์แจ้งซ่อม],"3")=0,"-",COUNTIFS(Table16[ประเภท],H115,Table16[ฝ่าย],A122,Table16[สัปดาห์แจ้งซ่อม],"3"))</f>
        <v>-</v>
      </c>
      <c r="I122" s="421" t="str">
        <f>IF(COUNTIFS(Table16[ประเภท],I115,Table16[ฝ่าย],A122,Table16[สัปดาห์แจ้งซ่อม],"3")=0,"-",COUNTIFS(Table16[ประเภท],I115,Table16[ฝ่าย],A122,Table16[สัปดาห์แจ้งซ่อม],"3"))</f>
        <v>-</v>
      </c>
      <c r="J122" s="421" t="str">
        <f>IF(COUNTIFS(Table16[ประเภท],J115,Table16[ฝ่าย],A122,Table16[สัปดาห์แจ้งซ่อม],"3")=0,"-",COUNTIFS(Table16[ประเภท],J115,Table16[ฝ่าย],A122,Table16[สัปดาห์แจ้งซ่อม],"3"))</f>
        <v>-</v>
      </c>
      <c r="K122" s="421" t="str">
        <f>IF(COUNTIFS(Table16[ประเภท],K115,Table16[ฝ่าย],A122,Table16[สัปดาห์แจ้งซ่อม],"3")=0,"-",COUNTIFS(Table16[ประเภท],K115,Table16[ฝ่าย],A122,Table16[สัปดาห์แจ้งซ่อม],"3"))</f>
        <v>-</v>
      </c>
      <c r="L122" s="421" t="str">
        <f>IF(COUNTIFS(Table16[ประเภท],L115,Table16[ฝ่าย],A122,Table16[สัปดาห์แจ้งซ่อม],"3")=0,"-",COUNTIFS(Table16[ประเภท],L115,Table16[ฝ่าย],A122,Table16[สัปดาห์แจ้งซ่อม],"3"))</f>
        <v>-</v>
      </c>
      <c r="M122" s="421" t="str">
        <f>IF(COUNTIFS(Table16[ประเภท],M115,Table16[ฝ่าย],A122,Table16[สัปดาห์แจ้งซ่อม],"3")=0,"-",COUNTIFS(Table16[ประเภท],M115,Table16[ฝ่าย],A122,Table16[สัปดาห์แจ้งซ่อม],"3"))</f>
        <v>-</v>
      </c>
      <c r="N122" s="421" t="str">
        <f>IF(COUNTIFS(Table16[ประเภท],N115,Table16[ฝ่าย],A122,Table16[สัปดาห์แจ้งซ่อม],"3")=0,"-",COUNTIFS(Table16[ประเภท],N115,Table16[ฝ่าย],A122,Table16[สัปดาห์แจ้งซ่อม],"3"))</f>
        <v>-</v>
      </c>
      <c r="O122" s="416"/>
      <c r="P122" s="456" t="str">
        <f>IF(COUNTIFS(Table16[ประเภท],P115,Table16[ฝ่าย],A122,Table16[สัปดาห์แจ้งซ่อม],"3")=0,"-",COUNTIFS(Table16[ประเภท],P115,Table16[ฝ่าย],A122,Table16[สัปดาห์แจ้งซ่อม],"3"))</f>
        <v>-</v>
      </c>
    </row>
    <row r="123" spans="1:16" ht="15" thickBot="1">
      <c r="A123" s="176" t="s">
        <v>76</v>
      </c>
      <c r="B123" s="194">
        <f>COUNTIFS(Table16[ฝ่าย],A123,Table16[สัปดาห์แจ้งซ่อม],3)</f>
        <v>0</v>
      </c>
      <c r="C123" s="178">
        <f>B123/B130</f>
        <v>0</v>
      </c>
      <c r="D123" s="421" t="str">
        <f>IF(COUNTIFS(Table16[ประเภท],D115,Table16[ฝ่าย],A123,Table16[สัปดาห์แจ้งซ่อม],"3")=0,"-",COUNTIFS(Table16[ประเภท],D115,Table16[ฝ่าย],A123,Table16[สัปดาห์แจ้งซ่อม],"3"))</f>
        <v>-</v>
      </c>
      <c r="E123" s="421" t="str">
        <f>IF(COUNTIFS(Table16[ประเภท],E115,Table16[ฝ่าย],A123,Table16[สัปดาห์แจ้งซ่อม],"3")=0,"-",COUNTIFS(Table16[ประเภท],E115,Table16[ฝ่าย],A123,Table16[สัปดาห์แจ้งซ่อม],"3"))</f>
        <v>-</v>
      </c>
      <c r="F123" s="421" t="str">
        <f>IF(COUNTIFS(Table16[ประเภท],F115,Table16[ฝ่าย],A123,Table16[สัปดาห์แจ้งซ่อม],"3")=0,"-",COUNTIFS(Table16[ประเภท],F115,Table16[ฝ่าย],A123,Table16[สัปดาห์แจ้งซ่อม],"3"))</f>
        <v>-</v>
      </c>
      <c r="G123" s="421" t="str">
        <f>IF(COUNTIFS(Table16[ประเภท],G115,Table16[ฝ่าย],A123,Table16[สัปดาห์แจ้งซ่อม],"3")=0,"-",COUNTIFS(Table16[ประเภท],G115,Table16[ฝ่าย],A123,Table16[สัปดาห์แจ้งซ่อม],"3"))</f>
        <v>-</v>
      </c>
      <c r="H123" s="421" t="str">
        <f>IF(COUNTIFS(Table16[ประเภท],H115,Table16[ฝ่าย],A123,Table16[สัปดาห์แจ้งซ่อม],"3")=0,"-",COUNTIFS(Table16[ประเภท],H115,Table16[ฝ่าย],A123,Table16[สัปดาห์แจ้งซ่อม],"3"))</f>
        <v>-</v>
      </c>
      <c r="I123" s="421" t="str">
        <f>IF(COUNTIFS(Table16[ประเภท],I115,Table16[ฝ่าย],A123,Table16[สัปดาห์แจ้งซ่อม],"3")=0,"-",COUNTIFS(Table16[ประเภท],I115,Table16[ฝ่าย],A123,Table16[สัปดาห์แจ้งซ่อม],"3"))</f>
        <v>-</v>
      </c>
      <c r="J123" s="421" t="str">
        <f>IF(COUNTIFS(Table16[ประเภท],J115,Table16[ฝ่าย],A123,Table16[สัปดาห์แจ้งซ่อม],"3")=0,"-",COUNTIFS(Table16[ประเภท],J115,Table16[ฝ่าย],A123,Table16[สัปดาห์แจ้งซ่อม],"3"))</f>
        <v>-</v>
      </c>
      <c r="K123" s="421" t="str">
        <f>IF(COUNTIFS(Table16[ประเภท],K115,Table16[ฝ่าย],A123,Table16[สัปดาห์แจ้งซ่อม],"3")=0,"-",COUNTIFS(Table16[ประเภท],K115,Table16[ฝ่าย],A123,Table16[สัปดาห์แจ้งซ่อม],"3"))</f>
        <v>-</v>
      </c>
      <c r="L123" s="421" t="str">
        <f>IF(COUNTIFS(Table16[ประเภท],L115,Table16[ฝ่าย],A123,Table16[สัปดาห์แจ้งซ่อม],"3")=0,"-",COUNTIFS(Table16[ประเภท],L115,Table16[ฝ่าย],A123,Table16[สัปดาห์แจ้งซ่อม],"3"))</f>
        <v>-</v>
      </c>
      <c r="M123" s="421" t="str">
        <f>IF(COUNTIFS(Table16[ประเภท],M115,Table16[ฝ่าย],A123,Table16[สัปดาห์แจ้งซ่อม],"3")=0,"-",COUNTIFS(Table16[ประเภท],M115,Table16[ฝ่าย],A123,Table16[สัปดาห์แจ้งซ่อม],"3"))</f>
        <v>-</v>
      </c>
      <c r="N123" s="421" t="str">
        <f>IF(COUNTIFS(Table16[ประเภท],N115,Table16[ฝ่าย],A123,Table16[สัปดาห์แจ้งซ่อม],"3")=0,"-",COUNTIFS(Table16[ประเภท],N115,Table16[ฝ่าย],A123,Table16[สัปดาห์แจ้งซ่อม],"3"))</f>
        <v>-</v>
      </c>
      <c r="O123" s="416"/>
      <c r="P123" s="456" t="str">
        <f>IF(COUNTIFS(Table16[ประเภท],P115,Table16[ฝ่าย],A123,Table16[สัปดาห์แจ้งซ่อม],"3")=0,"-",COUNTIFS(Table16[ประเภท],P115,Table16[ฝ่าย],A123,Table16[สัปดาห์แจ้งซ่อม],"3"))</f>
        <v>-</v>
      </c>
    </row>
    <row r="124" spans="1:16" ht="15" thickBot="1">
      <c r="A124" s="176" t="s">
        <v>77</v>
      </c>
      <c r="B124" s="194">
        <f>COUNTIFS(Table16[ฝ่าย],A124,Table16[สัปดาห์แจ้งซ่อม],3)</f>
        <v>0</v>
      </c>
      <c r="C124" s="178">
        <f>B124/B130</f>
        <v>0</v>
      </c>
      <c r="D124" s="421" t="str">
        <f>IF(COUNTIFS(Table16[ประเภท],D115,Table16[ฝ่าย],A124,Table16[สัปดาห์แจ้งซ่อม],"3")=0,"-",COUNTIFS(Table16[ประเภท],D115,Table16[ฝ่าย],A124,Table16[สัปดาห์แจ้งซ่อม],"3"))</f>
        <v>-</v>
      </c>
      <c r="E124" s="421" t="str">
        <f>IF(COUNTIFS(Table16[ประเภท],E115,Table16[ฝ่าย],A124,Table16[สัปดาห์แจ้งซ่อม],"3")=0,"-",COUNTIFS(Table16[ประเภท],E115,Table16[ฝ่าย],A124,Table16[สัปดาห์แจ้งซ่อม],"3"))</f>
        <v>-</v>
      </c>
      <c r="F124" s="421" t="str">
        <f>IF(COUNTIFS(Table16[ประเภท],F115,Table16[ฝ่าย],A124,Table16[สัปดาห์แจ้งซ่อม],"3")=0,"-",COUNTIFS(Table16[ประเภท],F115,Table16[ฝ่าย],A124,Table16[สัปดาห์แจ้งซ่อม],"3"))</f>
        <v>-</v>
      </c>
      <c r="G124" s="421" t="str">
        <f>IF(COUNTIFS(Table16[ประเภท],G115,Table16[ฝ่าย],A124,Table16[สัปดาห์แจ้งซ่อม],"3")=0,"-",COUNTIFS(Table16[ประเภท],G115,Table16[ฝ่าย],A124,Table16[สัปดาห์แจ้งซ่อม],"3"))</f>
        <v>-</v>
      </c>
      <c r="H124" s="421" t="str">
        <f>IF(COUNTIFS(Table16[ประเภท],H115,Table16[ฝ่าย],A124,Table16[สัปดาห์แจ้งซ่อม],"3")=0,"-",COUNTIFS(Table16[ประเภท],H115,Table16[ฝ่าย],A124,Table16[สัปดาห์แจ้งซ่อม],"3"))</f>
        <v>-</v>
      </c>
      <c r="I124" s="421" t="str">
        <f>IF(COUNTIFS(Table16[ประเภท],I115,Table16[ฝ่าย],A124,Table16[สัปดาห์แจ้งซ่อม],"3")=0,"-",COUNTIFS(Table16[ประเภท],I115,Table16[ฝ่าย],A124,Table16[สัปดาห์แจ้งซ่อม],"3"))</f>
        <v>-</v>
      </c>
      <c r="J124" s="421" t="str">
        <f>IF(COUNTIFS(Table16[ประเภท],J115,Table16[ฝ่าย],A124,Table16[สัปดาห์แจ้งซ่อม],"3")=0,"-",COUNTIFS(Table16[ประเภท],J115,Table16[ฝ่าย],A124,Table16[สัปดาห์แจ้งซ่อม],"3"))</f>
        <v>-</v>
      </c>
      <c r="K124" s="421" t="str">
        <f>IF(COUNTIFS(Table16[ประเภท],K115,Table16[ฝ่าย],A124,Table16[สัปดาห์แจ้งซ่อม],"3")=0,"-",COUNTIFS(Table16[ประเภท],K115,Table16[ฝ่าย],A124,Table16[สัปดาห์แจ้งซ่อม],"3"))</f>
        <v>-</v>
      </c>
      <c r="L124" s="421" t="str">
        <f>IF(COUNTIFS(Table16[ประเภท],L115,Table16[ฝ่าย],A124,Table16[สัปดาห์แจ้งซ่อม],"3")=0,"-",COUNTIFS(Table16[ประเภท],L115,Table16[ฝ่าย],A124,Table16[สัปดาห์แจ้งซ่อม],"3"))</f>
        <v>-</v>
      </c>
      <c r="M124" s="421" t="str">
        <f>IF(COUNTIFS(Table16[ประเภท],M115,Table16[ฝ่าย],A124,Table16[สัปดาห์แจ้งซ่อม],"3")=0,"-",COUNTIFS(Table16[ประเภท],M115,Table16[ฝ่าย],A124,Table16[สัปดาห์แจ้งซ่อม],"3"))</f>
        <v>-</v>
      </c>
      <c r="N124" s="421" t="str">
        <f>IF(COUNTIFS(Table16[ประเภท],N115,Table16[ฝ่าย],A124,Table16[สัปดาห์แจ้งซ่อม],"3")=0,"-",COUNTIFS(Table16[ประเภท],N115,Table16[ฝ่าย],A124,Table16[สัปดาห์แจ้งซ่อม],"3"))</f>
        <v>-</v>
      </c>
      <c r="O124" s="416"/>
      <c r="P124" s="456" t="str">
        <f>IF(COUNTIFS(Table16[ประเภท],P115,Table16[ฝ่าย],A124,Table16[สัปดาห์แจ้งซ่อม],"3")=0,"-",COUNTIFS(Table16[ประเภท],P115,Table16[ฝ่าย],A124,Table16[สัปดาห์แจ้งซ่อม],"3"))</f>
        <v>-</v>
      </c>
    </row>
    <row r="125" spans="1:16" ht="15" thickBot="1">
      <c r="A125" s="176" t="s">
        <v>78</v>
      </c>
      <c r="B125" s="194">
        <f>COUNTIFS(Table16[ฝ่าย],A125,Table16[สัปดาห์แจ้งซ่อม],3)</f>
        <v>0</v>
      </c>
      <c r="C125" s="179">
        <f>B125/B130</f>
        <v>0</v>
      </c>
      <c r="D125" s="421" t="str">
        <f>IF(COUNTIFS(Table16[ประเภท],D115,Table16[ฝ่าย],A125,Table16[สัปดาห์แจ้งซ่อม],"3")=0,"-",COUNTIFS(Table16[ประเภท],D115,Table16[ฝ่าย],A125,Table16[สัปดาห์แจ้งซ่อม],"3"))</f>
        <v>-</v>
      </c>
      <c r="E125" s="421" t="str">
        <f>IF(COUNTIFS(Table16[ประเภท],E115,Table16[ฝ่าย],A125,Table16[สัปดาห์แจ้งซ่อม],"3")=0,"-",COUNTIFS(Table16[ประเภท],E115,Table16[ฝ่าย],A125,Table16[สัปดาห์แจ้งซ่อม],"3"))</f>
        <v>-</v>
      </c>
      <c r="F125" s="421" t="str">
        <f>IF(COUNTIFS(Table16[ประเภท],F115,Table16[ฝ่าย],A125,Table16[สัปดาห์แจ้งซ่อม],"3")=0,"-",COUNTIFS(Table16[ประเภท],F115,Table16[ฝ่าย],A125,Table16[สัปดาห์แจ้งซ่อม],"3"))</f>
        <v>-</v>
      </c>
      <c r="G125" s="421" t="str">
        <f>IF(COUNTIFS(Table16[ประเภท],G115,Table16[ฝ่าย],A125,Table16[สัปดาห์แจ้งซ่อม],"3")=0,"-",COUNTIFS(Table16[ประเภท],G115,Table16[ฝ่าย],A125,Table16[สัปดาห์แจ้งซ่อม],"3"))</f>
        <v>-</v>
      </c>
      <c r="H125" s="421" t="str">
        <f>IF(COUNTIFS(Table16[ประเภท],H115,Table16[ฝ่าย],A125,Table16[สัปดาห์แจ้งซ่อม],"3")=0,"-",COUNTIFS(Table16[ประเภท],H115,Table16[ฝ่าย],A125,Table16[สัปดาห์แจ้งซ่อม],"3"))</f>
        <v>-</v>
      </c>
      <c r="I125" s="421" t="str">
        <f>IF(COUNTIFS(Table16[ประเภท],I115,Table16[ฝ่าย],A125,Table16[สัปดาห์แจ้งซ่อม],"3")=0,"-",COUNTIFS(Table16[ประเภท],I115,Table16[ฝ่าย],A125,Table16[สัปดาห์แจ้งซ่อม],"3"))</f>
        <v>-</v>
      </c>
      <c r="J125" s="421" t="str">
        <f>IF(COUNTIFS(Table16[ประเภท],J115,Table16[ฝ่าย],A125,Table16[สัปดาห์แจ้งซ่อม],"3")=0,"-",COUNTIFS(Table16[ประเภท],J115,Table16[ฝ่าย],A125,Table16[สัปดาห์แจ้งซ่อม],"3"))</f>
        <v>-</v>
      </c>
      <c r="K125" s="421" t="str">
        <f>IF(COUNTIFS(Table16[ประเภท],K115,Table16[ฝ่าย],A125,Table16[สัปดาห์แจ้งซ่อม],"3")=0,"-",COUNTIFS(Table16[ประเภท],K115,Table16[ฝ่าย],A125,Table16[สัปดาห์แจ้งซ่อม],"3"))</f>
        <v>-</v>
      </c>
      <c r="L125" s="421" t="str">
        <f>IF(COUNTIFS(Table16[ประเภท],L115,Table16[ฝ่าย],A125,Table16[สัปดาห์แจ้งซ่อม],"3")=0,"-",COUNTIFS(Table16[ประเภท],L115,Table16[ฝ่าย],A125,Table16[สัปดาห์แจ้งซ่อม],"3"))</f>
        <v>-</v>
      </c>
      <c r="M125" s="421" t="str">
        <f>IF(COUNTIFS(Table16[ประเภท],M115,Table16[ฝ่าย],A125,Table16[สัปดาห์แจ้งซ่อม],"3")=0,"-",COUNTIFS(Table16[ประเภท],M115,Table16[ฝ่าย],A125,Table16[สัปดาห์แจ้งซ่อม],"3"))</f>
        <v>-</v>
      </c>
      <c r="N125" s="421" t="str">
        <f>IF(COUNTIFS(Table16[ประเภท],N115,Table16[ฝ่าย],A125,Table16[สัปดาห์แจ้งซ่อม],"3")=0,"-",COUNTIFS(Table16[ประเภท],N115,Table16[ฝ่าย],A125,Table16[สัปดาห์แจ้งซ่อม],"3"))</f>
        <v>-</v>
      </c>
      <c r="O125" s="416"/>
      <c r="P125" s="456" t="str">
        <f>IF(COUNTIFS(Table16[ประเภท],P115,Table16[ฝ่าย],A125,Table16[สัปดาห์แจ้งซ่อม],"3")=0,"-",COUNTIFS(Table16[ประเภท],P115,Table16[ฝ่าย],A125,Table16[สัปดาห์แจ้งซ่อม],"3"))</f>
        <v>-</v>
      </c>
    </row>
    <row r="126" spans="1:16" ht="15" thickBot="1">
      <c r="A126" s="176" t="s">
        <v>79</v>
      </c>
      <c r="B126" s="194">
        <f>COUNTIFS(Table16[ฝ่าย],A126,Table16[สัปดาห์แจ้งซ่อม],3)</f>
        <v>0</v>
      </c>
      <c r="C126" s="179">
        <f>B126/B130</f>
        <v>0</v>
      </c>
      <c r="D126" s="421" t="str">
        <f>IF(COUNTIFS(Table16[ประเภท],D115,Table16[ฝ่าย],A126,Table16[สัปดาห์แจ้งซ่อม],"3")=0,"-",COUNTIFS(Table16[ประเภท],D115,Table16[ฝ่าย],A126,Table16[สัปดาห์แจ้งซ่อม],"3"))</f>
        <v>-</v>
      </c>
      <c r="E126" s="421" t="str">
        <f>IF(COUNTIFS(Table16[ประเภท],E115,Table16[ฝ่าย],A126,Table16[สัปดาห์แจ้งซ่อม],"3")=0,"-",COUNTIFS(Table16[ประเภท],E115,Table16[ฝ่าย],A126,Table16[สัปดาห์แจ้งซ่อม],"3"))</f>
        <v>-</v>
      </c>
      <c r="F126" s="421" t="str">
        <f>IF(COUNTIFS(Table16[ประเภท],F115,Table16[ฝ่าย],A126,Table16[สัปดาห์แจ้งซ่อม],"3")=0,"-",COUNTIFS(Table16[ประเภท],F115,Table16[ฝ่าย],A126,Table16[สัปดาห์แจ้งซ่อม],"3"))</f>
        <v>-</v>
      </c>
      <c r="G126" s="421" t="str">
        <f>IF(COUNTIFS(Table16[ประเภท],G115,Table16[ฝ่าย],A126,Table16[สัปดาห์แจ้งซ่อม],"3")=0,"-",COUNTIFS(Table16[ประเภท],G115,Table16[ฝ่าย],A126,Table16[สัปดาห์แจ้งซ่อม],"3"))</f>
        <v>-</v>
      </c>
      <c r="H126" s="421" t="str">
        <f>IF(COUNTIFS(Table16[ประเภท],H115,Table16[ฝ่าย],A126,Table16[สัปดาห์แจ้งซ่อม],"3")=0,"-",COUNTIFS(Table16[ประเภท],H115,Table16[ฝ่าย],A126,Table16[สัปดาห์แจ้งซ่อม],"3"))</f>
        <v>-</v>
      </c>
      <c r="I126" s="421" t="str">
        <f>IF(COUNTIFS(Table16[ประเภท],I115,Table16[ฝ่าย],A126,Table16[สัปดาห์แจ้งซ่อม],"3")=0,"-",COUNTIFS(Table16[ประเภท],I115,Table16[ฝ่าย],A126,Table16[สัปดาห์แจ้งซ่อม],"3"))</f>
        <v>-</v>
      </c>
      <c r="J126" s="421" t="str">
        <f>IF(COUNTIFS(Table16[ประเภท],J115,Table16[ฝ่าย],A126,Table16[สัปดาห์แจ้งซ่อม],"3")=0,"-",COUNTIFS(Table16[ประเภท],J115,Table16[ฝ่าย],A126,Table16[สัปดาห์แจ้งซ่อม],"3"))</f>
        <v>-</v>
      </c>
      <c r="K126" s="421" t="str">
        <f>IF(COUNTIFS(Table16[ประเภท],K115,Table16[ฝ่าย],A126,Table16[สัปดาห์แจ้งซ่อม],"3")=0,"-",COUNTIFS(Table16[ประเภท],K115,Table16[ฝ่าย],A126,Table16[สัปดาห์แจ้งซ่อม],"3"))</f>
        <v>-</v>
      </c>
      <c r="L126" s="421" t="str">
        <f>IF(COUNTIFS(Table16[ประเภท],L115,Table16[ฝ่าย],A126,Table16[สัปดาห์แจ้งซ่อม],"3")=0,"-",COUNTIFS(Table16[ประเภท],L115,Table16[ฝ่าย],A126,Table16[สัปดาห์แจ้งซ่อม],"3"))</f>
        <v>-</v>
      </c>
      <c r="M126" s="421" t="str">
        <f>IF(COUNTIFS(Table16[ประเภท],M115,Table16[ฝ่าย],A126,Table16[สัปดาห์แจ้งซ่อม],"3")=0,"-",COUNTIFS(Table16[ประเภท],M115,Table16[ฝ่าย],A126,Table16[สัปดาห์แจ้งซ่อม],"3"))</f>
        <v>-</v>
      </c>
      <c r="N126" s="421" t="str">
        <f>IF(COUNTIFS(Table16[ประเภท],N115,Table16[ฝ่าย],A126,Table16[สัปดาห์แจ้งซ่อม],"3")=0,"-",COUNTIFS(Table16[ประเภท],N115,Table16[ฝ่าย],A126,Table16[สัปดาห์แจ้งซ่อม],"3"))</f>
        <v>-</v>
      </c>
      <c r="O126" s="416"/>
      <c r="P126" s="456" t="str">
        <f>IF(COUNTIFS(Table16[ประเภท],P115,Table16[ฝ่าย],A126,Table16[สัปดาห์แจ้งซ่อม],"3")=0,"-",COUNTIFS(Table16[ประเภท],P115,Table16[ฝ่าย],A126,Table16[สัปดาห์แจ้งซ่อม],"3"))</f>
        <v>-</v>
      </c>
    </row>
    <row r="127" spans="1:16" ht="15" thickBot="1">
      <c r="A127" s="176" t="s">
        <v>80</v>
      </c>
      <c r="B127" s="194">
        <f>COUNTIFS(Table16[ฝ่าย],A127,Table16[สัปดาห์แจ้งซ่อม],3)</f>
        <v>0</v>
      </c>
      <c r="C127" s="179">
        <f>B127/B130</f>
        <v>0</v>
      </c>
      <c r="D127" s="421" t="str">
        <f>IF(COUNTIFS(Table16[ประเภท],D115,Table16[ฝ่าย],A127,Table16[สัปดาห์แจ้งซ่อม],"3")=0,"-",COUNTIFS(Table16[ประเภท],D115,Table16[ฝ่าย],A127,Table16[สัปดาห์แจ้งซ่อม],"3"))</f>
        <v>-</v>
      </c>
      <c r="E127" s="421" t="str">
        <f>IF(COUNTIFS(Table16[ประเภท],E115,Table16[ฝ่าย],A127,Table16[สัปดาห์แจ้งซ่อม],"3")=0,"-",COUNTIFS(Table16[ประเภท],E115,Table16[ฝ่าย],A127,Table16[สัปดาห์แจ้งซ่อม],"3"))</f>
        <v>-</v>
      </c>
      <c r="F127" s="421" t="str">
        <f>IF(COUNTIFS(Table16[ประเภท],F115,Table16[ฝ่าย],A127,Table16[สัปดาห์แจ้งซ่อม],"3")=0,"-",COUNTIFS(Table16[ประเภท],F115,Table16[ฝ่าย],A127,Table16[สัปดาห์แจ้งซ่อม],"3"))</f>
        <v>-</v>
      </c>
      <c r="G127" s="421" t="str">
        <f>IF(COUNTIFS(Table16[ประเภท],G115,Table16[ฝ่าย],A127,Table16[สัปดาห์แจ้งซ่อม],"3")=0,"-",COUNTIFS(Table16[ประเภท],G115,Table16[ฝ่าย],A127,Table16[สัปดาห์แจ้งซ่อม],"3"))</f>
        <v>-</v>
      </c>
      <c r="H127" s="421" t="str">
        <f>IF(COUNTIFS(Table16[ประเภท],H115,Table16[ฝ่าย],A127,Table16[สัปดาห์แจ้งซ่อม],"3")=0,"-",COUNTIFS(Table16[ประเภท],H115,Table16[ฝ่าย],A127,Table16[สัปดาห์แจ้งซ่อม],"3"))</f>
        <v>-</v>
      </c>
      <c r="I127" s="421" t="str">
        <f>IF(COUNTIFS(Table16[ประเภท],I115,Table16[ฝ่าย],A127,Table16[สัปดาห์แจ้งซ่อม],"3")=0,"-",COUNTIFS(Table16[ประเภท],I115,Table16[ฝ่าย],A127,Table16[สัปดาห์แจ้งซ่อม],"3"))</f>
        <v>-</v>
      </c>
      <c r="J127" s="421" t="str">
        <f>IF(COUNTIFS(Table16[ประเภท],J115,Table16[ฝ่าย],A127,Table16[สัปดาห์แจ้งซ่อม],"3")=0,"-",COUNTIFS(Table16[ประเภท],J115,Table16[ฝ่าย],A127,Table16[สัปดาห์แจ้งซ่อม],"3"))</f>
        <v>-</v>
      </c>
      <c r="K127" s="421" t="str">
        <f>IF(COUNTIFS(Table16[ประเภท],K115,Table16[ฝ่าย],A127,Table16[สัปดาห์แจ้งซ่อม],"3")=0,"-",COUNTIFS(Table16[ประเภท],K115,Table16[ฝ่าย],A127,Table16[สัปดาห์แจ้งซ่อม],"3"))</f>
        <v>-</v>
      </c>
      <c r="L127" s="421" t="str">
        <f>IF(COUNTIFS(Table16[ประเภท],L115,Table16[ฝ่าย],A127,Table16[สัปดาห์แจ้งซ่อม],"3")=0,"-",COUNTIFS(Table16[ประเภท],L115,Table16[ฝ่าย],A127,Table16[สัปดาห์แจ้งซ่อม],"3"))</f>
        <v>-</v>
      </c>
      <c r="M127" s="421" t="str">
        <f>IF(COUNTIFS(Table16[ประเภท],M115,Table16[ฝ่าย],A127,Table16[สัปดาห์แจ้งซ่อม],"3")=0,"-",COUNTIFS(Table16[ประเภท],M115,Table16[ฝ่าย],A127,Table16[สัปดาห์แจ้งซ่อม],"3"))</f>
        <v>-</v>
      </c>
      <c r="N127" s="421" t="str">
        <f>IF(COUNTIFS(Table16[ประเภท],N115,Table16[ฝ่าย],A127,Table16[สัปดาห์แจ้งซ่อม],"3")=0,"-",COUNTIFS(Table16[ประเภท],N115,Table16[ฝ่าย],A127,Table16[สัปดาห์แจ้งซ่อม],"3"))</f>
        <v>-</v>
      </c>
      <c r="O127" s="416"/>
      <c r="P127" s="456" t="str">
        <f>IF(COUNTIFS(Table16[ประเภท],P115,Table16[ฝ่าย],A127,Table16[สัปดาห์แจ้งซ่อม],"3")=0,"-",COUNTIFS(Table16[ประเภท],P115,Table16[ฝ่าย],A127,Table16[สัปดาห์แจ้งซ่อม],"3"))</f>
        <v>-</v>
      </c>
    </row>
    <row r="128" spans="1:16" ht="15" thickBot="1">
      <c r="A128" s="176" t="s">
        <v>81</v>
      </c>
      <c r="B128" s="194">
        <f>COUNTIFS(Table16[ฝ่าย],A128,Table16[สัปดาห์แจ้งซ่อม],3)</f>
        <v>0</v>
      </c>
      <c r="C128" s="179">
        <f>B128/B130</f>
        <v>0</v>
      </c>
      <c r="D128" s="421" t="str">
        <f>IF(COUNTIFS(Table16[ประเภท],D115,Table16[ฝ่าย],A128,Table16[สัปดาห์แจ้งซ่อม],"3")=0,"-",COUNTIFS(Table16[ประเภท],D115,Table16[ฝ่าย],A125,Table16[สัปดาห์แจ้งซ่อม],"3"))</f>
        <v>-</v>
      </c>
      <c r="E128" s="421" t="str">
        <f>IF(COUNTIFS(Table16[ประเภท],E115,Table16[ฝ่าย],A128,Table16[สัปดาห์แจ้งซ่อม],"3")=0,"-",COUNTIFS(Table16[ประเภท],E115,Table16[ฝ่าย],A125,Table16[สัปดาห์แจ้งซ่อม],"3"))</f>
        <v>-</v>
      </c>
      <c r="F128" s="421" t="str">
        <f>IF(COUNTIFS(Table16[ประเภท],F115,Table16[ฝ่าย],A128,Table16[สัปดาห์แจ้งซ่อม],"3")=0,"-",COUNTIFS(Table16[ประเภท],F115,Table16[ฝ่าย],A128,Table16[สัปดาห์แจ้งซ่อม],"3"))</f>
        <v>-</v>
      </c>
      <c r="G128" s="421" t="str">
        <f>IF(COUNTIFS(Table16[ประเภท],G115,Table16[ฝ่าย],A128,Table16[สัปดาห์แจ้งซ่อม],"3")=0,"-",COUNTIFS(Table16[ประเภท],G115,Table16[ฝ่าย],A128,Table16[สัปดาห์แจ้งซ่อม],"3"))</f>
        <v>-</v>
      </c>
      <c r="H128" s="421" t="str">
        <f>IF(COUNTIFS(Table16[ประเภท],H115,Table16[ฝ่าย],A128,Table16[สัปดาห์แจ้งซ่อม],"3")=0,"-",COUNTIFS(Table16[ประเภท],H115,Table16[ฝ่าย],A128,Table16[สัปดาห์แจ้งซ่อม],"3"))</f>
        <v>-</v>
      </c>
      <c r="I128" s="421" t="str">
        <f>IF(COUNTIFS(Table16[ประเภท],I115,Table16[ฝ่าย],A128,Table16[สัปดาห์แจ้งซ่อม],"3")=0,"-",COUNTIFS(Table16[ประเภท],I115,Table16[ฝ่าย],A128,Table16[สัปดาห์แจ้งซ่อม],"3"))</f>
        <v>-</v>
      </c>
      <c r="J128" s="421" t="str">
        <f>IF(COUNTIFS(Table16[ประเภท],J115,Table16[ฝ่าย],A128,Table16[สัปดาห์แจ้งซ่อม],"3")=0,"-",COUNTIFS(Table16[ประเภท],J115,Table16[ฝ่าย],A128,Table16[สัปดาห์แจ้งซ่อม],"3"))</f>
        <v>-</v>
      </c>
      <c r="K128" s="421" t="str">
        <f>IF(COUNTIFS(Table16[ประเภท],K115,Table16[ฝ่าย],A128,Table16[สัปดาห์แจ้งซ่อม],"3")=0,"-",COUNTIFS(Table16[ประเภท],K115,Table16[ฝ่าย],A128,Table16[สัปดาห์แจ้งซ่อม],"3"))</f>
        <v>-</v>
      </c>
      <c r="L128" s="421" t="str">
        <f>IF(COUNTIFS(Table16[ประเภท],L115,Table16[ฝ่าย],A128,Table16[สัปดาห์แจ้งซ่อม],"3")=0,"-",COUNTIFS(Table16[ประเภท],L115,Table16[ฝ่าย],A128,Table16[สัปดาห์แจ้งซ่อม],"3"))</f>
        <v>-</v>
      </c>
      <c r="M128" s="421" t="str">
        <f>IF(COUNTIFS(Table16[ประเภท],M115,Table16[ฝ่าย],A128,Table16[สัปดาห์แจ้งซ่อม],"3")=0,"-",COUNTIFS(Table16[ประเภท],M115,Table16[ฝ่าย],A128,Table16[สัปดาห์แจ้งซ่อม],"3"))</f>
        <v>-</v>
      </c>
      <c r="N128" s="421" t="str">
        <f>IF(COUNTIFS(Table16[ประเภท],N115,Table16[ฝ่าย],A128,Table16[สัปดาห์แจ้งซ่อม],"3")=0,"-",COUNTIFS(Table16[ประเภท],N115,Table16[ฝ่าย],A128,Table16[สัปดาห์แจ้งซ่อม],"3"))</f>
        <v>-</v>
      </c>
      <c r="O128" s="416"/>
      <c r="P128" s="456" t="str">
        <f>IF(COUNTIFS(Table16[ประเภท],P115,Table16[ฝ่าย],A128,Table16[สัปดาห์แจ้งซ่อม],"3")=0,"-",COUNTIFS(Table16[ประเภท],P115,Table16[ฝ่าย],A128,Table16[สัปดาห์แจ้งซ่อม],"3"))</f>
        <v>-</v>
      </c>
    </row>
    <row r="129" spans="1:16" ht="15" thickBot="1">
      <c r="A129" s="176" t="s">
        <v>171</v>
      </c>
      <c r="B129" s="194">
        <f>COUNTIFS(Table16[ฝ่าย],A129,Table16[สัปดาห์แจ้งซ่อม],3)</f>
        <v>8</v>
      </c>
      <c r="C129" s="179">
        <f>B129/B130</f>
        <v>0.18604651162790697</v>
      </c>
      <c r="D129" s="421" t="str">
        <f>IF(COUNTIFS(Table16[ประเภท],D115,Table16[ฝ่าย],A129,Table16[สัปดาห์แจ้งซ่อม],"3")=0,"-",COUNTIFS(Table16[ประเภท],D115,Table16[ฝ่าย],A129,Table16[สัปดาห์แจ้งซ่อม],"3"))</f>
        <v>-</v>
      </c>
      <c r="E129" s="421" t="str">
        <f>IF(COUNTIFS(Table16[ประเภท],E115,Table16[ฝ่าย],A129,Table16[สัปดาห์แจ้งซ่อม],"3")=0,"-",COUNTIFS(Table16[ประเภท],E115,Table16[ฝ่าย],A129,Table16[สัปดาห์แจ้งซ่อม],"3"))</f>
        <v>-</v>
      </c>
      <c r="F129" s="421">
        <f>IF(COUNTIFS(Table16[ประเภท],F115,Table16[ฝ่าย],A129,Table16[สัปดาห์แจ้งซ่อม],"3")=0,"-",COUNTIFS(Table16[ประเภท],F115,Table16[ฝ่าย],A129,Table16[สัปดาห์แจ้งซ่อม],"3"))</f>
        <v>1</v>
      </c>
      <c r="G129" s="421" t="str">
        <f>IF(COUNTIFS(Table16[ประเภท],G115,Table16[ฝ่าย],A129,Table16[สัปดาห์แจ้งซ่อม],"3")=0,"-",COUNTIFS(Table16[ประเภท],G115,Table16[ฝ่าย],A129,Table16[สัปดาห์แจ้งซ่อม],"3"))</f>
        <v>-</v>
      </c>
      <c r="H129" s="421">
        <f>IF(COUNTIFS(Table16[ประเภท],H115,Table16[ฝ่าย],A129,Table16[สัปดาห์แจ้งซ่อม],"3")=0,"-",COUNTIFS(Table16[ประเภท],H115,Table16[ฝ่าย],A129,Table16[สัปดาห์แจ้งซ่อม],"3"))</f>
        <v>5</v>
      </c>
      <c r="I129" s="421" t="str">
        <f>IF(COUNTIFS(Table16[ประเภท],I115,Table16[ฝ่าย],A129,Table16[สัปดาห์แจ้งซ่อม],"3")=0,"-",COUNTIFS(Table16[ประเภท],I115,Table16[ฝ่าย],A129,Table16[สัปดาห์แจ้งซ่อม],"3"))</f>
        <v>-</v>
      </c>
      <c r="J129" s="421" t="str">
        <f>IF(COUNTIFS(Table16[ประเภท],J115,Table16[ฝ่าย],A129,Table16[สัปดาห์แจ้งซ่อม],"3")=0,"-",COUNTIFS(Table16[ประเภท],J115,Table16[ฝ่าย],A129,Table16[สัปดาห์แจ้งซ่อม],"3"))</f>
        <v>-</v>
      </c>
      <c r="K129" s="421" t="str">
        <f>IF(COUNTIFS(Table16[ประเภท],K115,Table16[ฝ่าย],A129,Table16[สัปดาห์แจ้งซ่อม],"3")=0,"-",COUNTIFS(Table16[ประเภท],K115,Table16[ฝ่าย],A129,Table16[สัปดาห์แจ้งซ่อม],"3"))</f>
        <v>-</v>
      </c>
      <c r="L129" s="421" t="str">
        <f>IF(COUNTIFS(Table16[ประเภท],L115,Table16[ฝ่าย],A129,Table16[สัปดาห์แจ้งซ่อม],"3")=0,"-",COUNTIFS(Table16[ประเภท],L115,Table16[ฝ่าย],A129,Table16[สัปดาห์แจ้งซ่อม],"3"))</f>
        <v>-</v>
      </c>
      <c r="M129" s="421" t="str">
        <f>IF(COUNTIFS(Table16[ประเภท],M115,Table16[ฝ่าย],A129,Table16[สัปดาห์แจ้งซ่อม],"3")=0,"-",COUNTIFS(Table16[ประเภท],M115,Table16[ฝ่าย],A129,Table16[สัปดาห์แจ้งซ่อม],"3"))</f>
        <v>-</v>
      </c>
      <c r="N129" s="421">
        <f>IF(COUNTIFS(Table16[ประเภท],N115,Table16[ฝ่าย],A129,Table16[สัปดาห์แจ้งซ่อม],"3")=0,"-",COUNTIFS(Table16[ประเภท],N115,Table16[ฝ่าย],A129,Table16[สัปดาห์แจ้งซ่อม],"3"))</f>
        <v>2</v>
      </c>
      <c r="O129" s="416"/>
      <c r="P129" s="456" t="str">
        <f>IF(COUNTIFS(Table16[ประเภท],P115,Table16[ฝ่าย],A129,Table16[สัปดาห์แจ้งซ่อม],"3")=0,"-",COUNTIFS(Table16[ประเภท],P115,Table16[ฝ่าย],A129,Table16[สัปดาห์แจ้งซ่อม],"3"))</f>
        <v>-</v>
      </c>
    </row>
    <row r="130" spans="1:16" ht="15" thickBot="1">
      <c r="A130" s="180" t="s">
        <v>82</v>
      </c>
      <c r="B130" s="181">
        <f>SUM(B116:B129)</f>
        <v>43</v>
      </c>
      <c r="C130" s="182">
        <f t="shared" ref="C130" si="7">SUM(C116:C128)</f>
        <v>0.81395348837209303</v>
      </c>
      <c r="D130" s="417">
        <f>SUM(D116:D129)</f>
        <v>6</v>
      </c>
      <c r="E130" s="417">
        <f t="shared" ref="E130:P130" si="8">SUM(E116:E129)</f>
        <v>2</v>
      </c>
      <c r="F130" s="417">
        <f t="shared" si="8"/>
        <v>3</v>
      </c>
      <c r="G130" s="417">
        <f t="shared" si="8"/>
        <v>0</v>
      </c>
      <c r="H130" s="417">
        <f t="shared" si="8"/>
        <v>10</v>
      </c>
      <c r="I130" s="417">
        <f t="shared" si="8"/>
        <v>2</v>
      </c>
      <c r="J130" s="417">
        <f t="shared" si="8"/>
        <v>3</v>
      </c>
      <c r="K130" s="417">
        <f t="shared" si="8"/>
        <v>9</v>
      </c>
      <c r="L130" s="417">
        <f t="shared" si="8"/>
        <v>0</v>
      </c>
      <c r="M130" s="417">
        <f t="shared" si="8"/>
        <v>0</v>
      </c>
      <c r="N130" s="417">
        <f t="shared" si="8"/>
        <v>4</v>
      </c>
      <c r="O130" s="417">
        <f t="shared" si="8"/>
        <v>0</v>
      </c>
      <c r="P130" s="417">
        <f t="shared" si="8"/>
        <v>4</v>
      </c>
    </row>
    <row r="131" spans="1:16" ht="15" thickBot="1">
      <c r="A131" s="183" t="s">
        <v>83</v>
      </c>
      <c r="B131" s="184">
        <f>COUNTIFS(Table16[สถานะ],"เรียบร้อย",Table16[สัปดาห์แจ้งซ่อม],3)</f>
        <v>5</v>
      </c>
      <c r="C131" s="185"/>
      <c r="D131" s="76"/>
      <c r="E131" s="76"/>
      <c r="F131" s="76"/>
      <c r="G131" s="76"/>
      <c r="H131" s="76"/>
      <c r="I131" s="76"/>
      <c r="J131" s="76"/>
      <c r="K131" s="76"/>
      <c r="L131" s="76"/>
    </row>
    <row r="132" spans="1:16" ht="15" thickBot="1">
      <c r="A132" s="186" t="s">
        <v>84</v>
      </c>
      <c r="B132" s="187">
        <f>COUNTIFS(Table16[สถานะ],"กำลังดำเนินการ",Table16[สัปดาห์แจ้งซ่อม],3)</f>
        <v>0</v>
      </c>
      <c r="C132" s="185"/>
      <c r="D132" s="76"/>
      <c r="E132" s="76"/>
      <c r="F132" s="76"/>
      <c r="G132" s="76"/>
      <c r="H132" s="76"/>
      <c r="I132" s="76"/>
      <c r="J132" s="76"/>
      <c r="K132" s="76"/>
      <c r="L132" s="76"/>
    </row>
    <row r="133" spans="1:16" ht="15" thickBot="1">
      <c r="A133" s="188" t="s">
        <v>3</v>
      </c>
      <c r="B133" s="189">
        <f>COUNTIFS(Table16[สถานะ],"รอดำเนินการ",Table16[สัปดาห์แจ้งซ่อม],3)</f>
        <v>39</v>
      </c>
      <c r="C133" s="185"/>
      <c r="D133" s="76"/>
      <c r="E133" s="76"/>
      <c r="F133" s="76"/>
      <c r="G133" s="76"/>
      <c r="H133" s="76"/>
      <c r="I133" s="76"/>
      <c r="J133" s="76"/>
      <c r="K133" s="76"/>
      <c r="L133" s="76"/>
    </row>
    <row r="134" spans="1:16" ht="16.2" thickBot="1">
      <c r="A134" s="190" t="s">
        <v>85</v>
      </c>
      <c r="B134" s="191">
        <f>COUNTIFS(Table16[สถานะ],"โอนย้าย",Table16[สัปดาห์แจ้งซ่อม],3)</f>
        <v>0</v>
      </c>
    </row>
    <row r="135" spans="1:16" ht="30" customHeight="1" thickBot="1">
      <c r="A135" s="528" t="s">
        <v>659</v>
      </c>
      <c r="B135" s="529"/>
      <c r="C135" s="529"/>
      <c r="D135" s="529"/>
      <c r="E135" s="529"/>
      <c r="F135" s="529"/>
      <c r="G135" s="529"/>
      <c r="H135" s="529"/>
      <c r="I135" s="529"/>
      <c r="J135" s="529"/>
      <c r="K135" s="529"/>
      <c r="L135" s="529"/>
      <c r="M135" s="529"/>
      <c r="N135" s="529"/>
      <c r="O135" s="529"/>
      <c r="P135" s="529"/>
    </row>
    <row r="136" spans="1:16" ht="18.600000000000001" thickBot="1">
      <c r="A136" s="522" t="s">
        <v>656</v>
      </c>
      <c r="B136" s="522" t="s">
        <v>57</v>
      </c>
      <c r="C136" s="524" t="s">
        <v>58</v>
      </c>
      <c r="D136" s="526" t="s">
        <v>59</v>
      </c>
      <c r="E136" s="527"/>
      <c r="F136" s="527"/>
      <c r="G136" s="527"/>
      <c r="H136" s="527"/>
      <c r="I136" s="527"/>
      <c r="J136" s="527"/>
      <c r="K136" s="527"/>
      <c r="L136" s="527"/>
      <c r="M136" s="527"/>
      <c r="N136" s="527"/>
      <c r="O136" s="527"/>
      <c r="P136" s="527"/>
    </row>
    <row r="137" spans="1:16" ht="15" thickBot="1">
      <c r="A137" s="523"/>
      <c r="B137" s="523"/>
      <c r="C137" s="525"/>
      <c r="D137" s="172" t="s">
        <v>60</v>
      </c>
      <c r="E137" s="172" t="s">
        <v>61</v>
      </c>
      <c r="F137" s="173" t="s">
        <v>62</v>
      </c>
      <c r="G137" s="173" t="s">
        <v>63</v>
      </c>
      <c r="H137" s="173" t="s">
        <v>64</v>
      </c>
      <c r="I137" s="173" t="s">
        <v>65</v>
      </c>
      <c r="J137" s="173" t="s">
        <v>66</v>
      </c>
      <c r="K137" s="173" t="s">
        <v>67</v>
      </c>
      <c r="L137" s="174" t="s">
        <v>68</v>
      </c>
      <c r="M137" s="175" t="s">
        <v>87</v>
      </c>
      <c r="N137" s="175" t="s">
        <v>166</v>
      </c>
      <c r="O137" s="415" t="s">
        <v>780</v>
      </c>
      <c r="P137" s="457" t="s">
        <v>645</v>
      </c>
    </row>
    <row r="138" spans="1:16" ht="15" thickBot="1">
      <c r="A138" s="176" t="s">
        <v>69</v>
      </c>
      <c r="B138" s="177">
        <f>COUNTIFS(Table16[ฝ่าย],A138,Table16[สัปดาห์แจ้งซ่อม],4)</f>
        <v>0</v>
      </c>
      <c r="C138" s="178" t="e">
        <f>B138/B152</f>
        <v>#DIV/0!</v>
      </c>
      <c r="D138" s="421" t="str">
        <f>IF(COUNTIFS(Table16[ประเภท],D137,Table16[ฝ่าย],A138,Table16[สัปดาห์แจ้งซ่อม],"4")=0,"-",COUNTIFS(Table16[ประเภท],D137,Table16[ฝ่าย],A138,Table16[สัปดาห์แจ้งซ่อม],"4"))</f>
        <v>-</v>
      </c>
      <c r="E138" s="421" t="str">
        <f>IF(COUNTIFS(Table16[ประเภท],E137,Table16[ฝ่าย],A138,Table16[สัปดาห์แจ้งซ่อม],"4")=0,"-",COUNTIFS(Table16[ประเภท],E137,Table16[ฝ่าย],A138,Table16[สัปดาห์แจ้งซ่อม],"4"))</f>
        <v>-</v>
      </c>
      <c r="F138" s="421" t="str">
        <f>IF(COUNTIFS(Table16[ประเภท],F137,Table16[ฝ่าย],A138,Table16[สัปดาห์แจ้งซ่อม],"4")=0,"-",COUNTIFS(Table16[ประเภท],F137,Table16[ฝ่าย],A138,Table16[สัปดาห์แจ้งซ่อม],"4"))</f>
        <v>-</v>
      </c>
      <c r="G138" s="421" t="str">
        <f>IF(COUNTIFS(Table16[ประเภท],G137,Table16[ฝ่าย],A138,Table16[สัปดาห์แจ้งซ่อม],"4")=0,"-",COUNTIFS(Table16[ประเภท],G137,Table16[ฝ่าย],A138,Table16[สัปดาห์แจ้งซ่อม],"4"))</f>
        <v>-</v>
      </c>
      <c r="H138" s="421" t="str">
        <f>IF(COUNTIFS(Table16[ประเภท],H137,Table16[ฝ่าย],A138,Table16[สัปดาห์แจ้งซ่อม],"4")=0,"-",COUNTIFS(Table16[ประเภท],H137,Table16[ฝ่าย],A138,Table16[สัปดาห์แจ้งซ่อม],"4"))</f>
        <v>-</v>
      </c>
      <c r="I138" s="421" t="str">
        <f>IF(COUNTIFS(Table16[ประเภท],I137,Table16[ฝ่าย],A138,Table16[สัปดาห์แจ้งซ่อม],"4")=0,"-",COUNTIFS(Table16[ประเภท],I137,Table16[ฝ่าย],A138,Table16[สัปดาห์แจ้งซ่อม],"4"))</f>
        <v>-</v>
      </c>
      <c r="J138" s="421" t="str">
        <f>IF(COUNTIFS(Table16[ประเภท],J137,Table16[ฝ่าย],A138,Table16[สัปดาห์แจ้งซ่อม],"4")=0,"-",COUNTIFS(Table16[ประเภท],J137,Table16[ฝ่าย],A138,Table16[สัปดาห์แจ้งซ่อม],"4"))</f>
        <v>-</v>
      </c>
      <c r="K138" s="421" t="str">
        <f>IF(COUNTIFS(Table16[ประเภท],K137,Table16[ฝ่าย],A138,Table16[สัปดาห์แจ้งซ่อม],"4")=0,"-",COUNTIFS(Table16[ประเภท],K137,Table16[ฝ่าย],A138,Table16[สัปดาห์แจ้งซ่อม],"4"))</f>
        <v>-</v>
      </c>
      <c r="L138" s="421" t="str">
        <f>IF(COUNTIFS(Table16[ประเภท],L137,Table16[ฝ่าย],A138,Table16[สัปดาห์แจ้งซ่อม],"4")=0,"-",COUNTIFS(Table16[ประเภท],L137,Table16[ฝ่าย],A138,Table16[สัปดาห์แจ้งซ่อม],"4"))</f>
        <v>-</v>
      </c>
      <c r="M138" s="421" t="str">
        <f>IF(COUNTIFS(Table16[ประเภท],M137,Table16[ฝ่าย],A138,Table16[สัปดาห์แจ้งซ่อม],"4")=0,"-",COUNTIFS(Table16[ประเภท],M137,Table16[ฝ่าย],A138,Table16[สัปดาห์แจ้งซ่อม],"4"))</f>
        <v>-</v>
      </c>
      <c r="N138" s="421" t="str">
        <f>IF(COUNTIFS(Table16[ประเภท],N137,Table16[ฝ่าย],A138,Table16[สัปดาห์แจ้งซ่อม],"4")=0,"-",COUNTIFS(Table16[ประเภท],N137,Table16[ฝ่าย],A138,Table16[สัปดาห์แจ้งซ่อม],"4"))</f>
        <v>-</v>
      </c>
      <c r="O138" s="416" t="str">
        <f>IF(COUNTIFS(Table16[ประเภท],O137,Table16[ฝ่าย],A138,Table16[สัปดาห์แจ้งซ่อม],"4")=0,"-",COUNTIFS(Table16[ประเภท],O137,Table16[ฝ่าย],A138,Table16[สัปดาห์แจ้งซ่อม],"4"))</f>
        <v>-</v>
      </c>
      <c r="P138" s="458" t="str">
        <f>IF(COUNTIFS(Table16[ประเภท],P137,Table16[ฝ่าย],A138,Table16[สัปดาห์แจ้งซ่อม],"4")=0,"-",COUNTIFS(Table16[ประเภท],P137,Table16[ฝ่าย],A138,Table16[สัปดาห์แจ้งซ่อม],"4"))</f>
        <v>-</v>
      </c>
    </row>
    <row r="139" spans="1:16" ht="15" thickBot="1">
      <c r="A139" s="176" t="s">
        <v>70</v>
      </c>
      <c r="B139" s="177">
        <f>COUNTIFS(Table16[ฝ่าย],A139,Table16[สัปดาห์แจ้งซ่อม],4)</f>
        <v>0</v>
      </c>
      <c r="C139" s="178" t="e">
        <f>B139/B152</f>
        <v>#DIV/0!</v>
      </c>
      <c r="D139" s="421" t="str">
        <f>IF(COUNTIFS(Table16[ประเภท],D137,Table16[ฝ่าย],A139,Table16[สัปดาห์แจ้งซ่อม],"4")=0,"-",COUNTIFS(Table16[ประเภท],D137,Table16[ฝ่าย],A139,Table16[สัปดาห์แจ้งซ่อม],"4"))</f>
        <v>-</v>
      </c>
      <c r="E139" s="421" t="str">
        <f>IF(COUNTIFS(Table16[ประเภท],E137,Table16[ฝ่าย],A139,Table16[สัปดาห์แจ้งซ่อม],"4")=0,"-",COUNTIFS(Table16[ประเภท],E137,Table16[ฝ่าย],A139,Table16[สัปดาห์แจ้งซ่อม],"4"))</f>
        <v>-</v>
      </c>
      <c r="F139" s="421" t="str">
        <f>IF(COUNTIFS(Table16[ประเภท],F137,Table16[ฝ่าย],A139,Table16[สัปดาห์แจ้งซ่อม],"4")=0,"-",COUNTIFS(Table16[ประเภท],F137,Table16[ฝ่าย],A139,Table16[สัปดาห์แจ้งซ่อม],"4"))</f>
        <v>-</v>
      </c>
      <c r="G139" s="421" t="str">
        <f>IF(COUNTIFS(Table16[ประเภท],G137,Table16[ฝ่าย],A139,Table16[สัปดาห์แจ้งซ่อม],"4")=0,"-",COUNTIFS(Table16[ประเภท],G137,Table16[ฝ่าย],A139,Table16[สัปดาห์แจ้งซ่อม],"4"))</f>
        <v>-</v>
      </c>
      <c r="H139" s="421" t="str">
        <f>IF(COUNTIFS(Table16[ประเภท],H137,Table16[ฝ่าย],A139,Table16[สัปดาห์แจ้งซ่อม],"4")=0,"-",COUNTIFS(Table16[ประเภท],H137,Table16[ฝ่าย],A139,Table16[สัปดาห์แจ้งซ่อม],"4"))</f>
        <v>-</v>
      </c>
      <c r="I139" s="421" t="str">
        <f>IF(COUNTIFS(Table16[ประเภท],I137,Table16[ฝ่าย],A139,Table16[สัปดาห์แจ้งซ่อม],"4")=0,"-",COUNTIFS(Table16[ประเภท],I137,Table16[ฝ่าย],A139,Table16[สัปดาห์แจ้งซ่อม],"4"))</f>
        <v>-</v>
      </c>
      <c r="J139" s="421" t="str">
        <f>IF(COUNTIFS(Table16[ประเภท],J137,Table16[ฝ่าย],A139,Table16[สัปดาห์แจ้งซ่อม],"4")=0,"-",COUNTIFS(Table16[ประเภท],J137,Table16[ฝ่าย],A139,Table16[สัปดาห์แจ้งซ่อม],"4"))</f>
        <v>-</v>
      </c>
      <c r="K139" s="421" t="str">
        <f>IF(COUNTIFS(Table16[ประเภท],K137,Table16[ฝ่าย],A139,Table16[สัปดาห์แจ้งซ่อม],"4")=0,"-",COUNTIFS(Table16[ประเภท],K137,Table16[ฝ่าย],A139,Table16[สัปดาห์แจ้งซ่อม],"4"))</f>
        <v>-</v>
      </c>
      <c r="L139" s="421" t="str">
        <f>IF(COUNTIFS(Table16[ประเภท],L137,Table16[ฝ่าย],A139,Table16[สัปดาห์แจ้งซ่อม],"4")=0,"-",COUNTIFS(Table16[ประเภท],L137,Table16[ฝ่าย],A139,Table16[สัปดาห์แจ้งซ่อม],"4"))</f>
        <v>-</v>
      </c>
      <c r="M139" s="421" t="str">
        <f>IF(COUNTIFS(Table16[ประเภท],M137,Table16[ฝ่าย],A139,Table16[สัปดาห์แจ้งซ่อม],"4")=0,"-",COUNTIFS(Table16[ประเภท],M137,Table16[ฝ่าย],A139,Table16[สัปดาห์แจ้งซ่อม],"4"))</f>
        <v>-</v>
      </c>
      <c r="N139" s="421" t="str">
        <f>IF(COUNTIFS(Table16[ประเภท],N137,Table16[ฝ่าย],A139,Table16[สัปดาห์แจ้งซ่อม],"4")=0,"-",COUNTIFS(Table16[ประเภท],N137,Table16[ฝ่าย],A139,Table16[สัปดาห์แจ้งซ่อม],"4"))</f>
        <v>-</v>
      </c>
      <c r="O139" s="416"/>
      <c r="P139" s="458" t="str">
        <f>IF(COUNTIFS(Table16[ประเภท],P137,Table16[ฝ่าย],A139,Table16[สัปดาห์แจ้งซ่อม],"4")=0,"-",COUNTIFS(Table16[ประเภท],P137,Table16[ฝ่าย],A139,Table16[สัปดาห์แจ้งซ่อม],"4"))</f>
        <v>-</v>
      </c>
    </row>
    <row r="140" spans="1:16" ht="15" thickBot="1">
      <c r="A140" s="176" t="s">
        <v>71</v>
      </c>
      <c r="B140" s="177">
        <f>COUNTIFS(Table16[ฝ่าย],A140,Table16[สัปดาห์แจ้งซ่อม],4)</f>
        <v>0</v>
      </c>
      <c r="C140" s="178" t="e">
        <f>B140/B152</f>
        <v>#DIV/0!</v>
      </c>
      <c r="D140" s="421" t="str">
        <f>IF(COUNTIFS(Table16[ประเภท],D137,Table16[ฝ่าย],A140,Table16[สัปดาห์แจ้งซ่อม],"4")=0,"-",COUNTIFS(Table16[ประเภท],D137,Table16[ฝ่าย],A140,Table16[สัปดาห์แจ้งซ่อม],"4"))</f>
        <v>-</v>
      </c>
      <c r="E140" s="421" t="str">
        <f>IF(COUNTIFS(Table16[ประเภท],E137,Table16[ฝ่าย],A140,Table16[สัปดาห์แจ้งซ่อม],"4")=0,"-",COUNTIFS(Table16[ประเภท],E137,Table16[ฝ่าย],A140,Table16[สัปดาห์แจ้งซ่อม],"4"))</f>
        <v>-</v>
      </c>
      <c r="F140" s="421" t="str">
        <f>IF(COUNTIFS(Table16[ประเภท],F137,Table16[ฝ่าย],A140,Table16[สัปดาห์แจ้งซ่อม],"4")=0,"-",COUNTIFS(Table16[ประเภท],F137,Table16[ฝ่าย],A140,Table16[สัปดาห์แจ้งซ่อม],"4"))</f>
        <v>-</v>
      </c>
      <c r="G140" s="421" t="str">
        <f>IF(COUNTIFS(Table16[ประเภท],G137,Table16[ฝ่าย],A140,Table16[สัปดาห์แจ้งซ่อม],"4")=0,"-",COUNTIFS(Table16[ประเภท],G137,Table16[ฝ่าย],A140,Table16[สัปดาห์แจ้งซ่อม],"4"))</f>
        <v>-</v>
      </c>
      <c r="H140" s="421" t="str">
        <f>IF(COUNTIFS(Table16[ประเภท],H137,Table16[ฝ่าย],A140,Table16[สัปดาห์แจ้งซ่อม],"4")=0,"-",COUNTIFS(Table16[ประเภท],H137,Table16[ฝ่าย],A140,Table16[สัปดาห์แจ้งซ่อม],"4"))</f>
        <v>-</v>
      </c>
      <c r="I140" s="421" t="str">
        <f>IF(COUNTIFS(Table16[ประเภท],I137,Table16[ฝ่าย],A140,Table16[สัปดาห์แจ้งซ่อม],"4")=0,"-",COUNTIFS(Table16[ประเภท],I137,Table16[ฝ่าย],A140,Table16[สัปดาห์แจ้งซ่อม],"4"))</f>
        <v>-</v>
      </c>
      <c r="J140" s="421" t="str">
        <f>IF(COUNTIFS(Table16[ประเภท],J137,Table16[ฝ่าย],A140,Table16[สัปดาห์แจ้งซ่อม],"4")=0,"-",COUNTIFS(Table16[ประเภท],J137,Table16[ฝ่าย],A140,Table16[สัปดาห์แจ้งซ่อม],"4"))</f>
        <v>-</v>
      </c>
      <c r="K140" s="421" t="str">
        <f>IF(COUNTIFS(Table16[ประเภท],K137,Table16[ฝ่าย],A140,Table16[สัปดาห์แจ้งซ่อม],"4")=0,"-",COUNTIFS(Table16[ประเภท],K137,Table16[ฝ่าย],A140,Table16[สัปดาห์แจ้งซ่อม],"4"))</f>
        <v>-</v>
      </c>
      <c r="L140" s="421" t="str">
        <f>IF(COUNTIFS(Table16[ประเภท],L137,Table16[ฝ่าย],A140,Table16[สัปดาห์แจ้งซ่อม],"4")=0,"-",COUNTIFS(Table16[ประเภท],L137,Table16[ฝ่าย],A140,Table16[สัปดาห์แจ้งซ่อม],"4"))</f>
        <v>-</v>
      </c>
      <c r="M140" s="421" t="str">
        <f>IF(COUNTIFS(Table16[ประเภท],M137,Table16[ฝ่าย],A140,Table16[สัปดาห์แจ้งซ่อม],"4")=0,"-",COUNTIFS(Table16[ประเภท],M137,Table16[ฝ่าย],A140,Table16[สัปดาห์แจ้งซ่อม],"4"))</f>
        <v>-</v>
      </c>
      <c r="N140" s="421" t="str">
        <f>IF(COUNTIFS(Table16[ประเภท],N137,Table16[ฝ่าย],A140,Table16[สัปดาห์แจ้งซ่อม],"4")=0,"-",COUNTIFS(Table16[ประเภท],N137,Table16[ฝ่าย],A140,Table16[สัปดาห์แจ้งซ่อม],"4"))</f>
        <v>-</v>
      </c>
      <c r="O140" s="416"/>
      <c r="P140" s="458" t="str">
        <f>IF(COUNTIFS(Table16[ประเภท],P137,Table16[ฝ่าย],A140,Table16[สัปดาห์แจ้งซ่อม],"4")=0,"-",COUNTIFS(Table16[ประเภท],P137,Table16[ฝ่าย],A140,Table16[สัปดาห์แจ้งซ่อม],"4"))</f>
        <v>-</v>
      </c>
    </row>
    <row r="141" spans="1:16" ht="15" thickBot="1">
      <c r="A141" s="176" t="s">
        <v>72</v>
      </c>
      <c r="B141" s="177">
        <f>COUNTIFS(Table16[ฝ่าย],A141,Table16[สัปดาห์แจ้งซ่อม],4)</f>
        <v>0</v>
      </c>
      <c r="C141" s="193" t="e">
        <f>B141/B152</f>
        <v>#DIV/0!</v>
      </c>
      <c r="D141" s="421" t="str">
        <f>IF(COUNTIFS(Table16[ประเภท],D137,Table16[ฝ่าย],A141,Table16[สัปดาห์แจ้งซ่อม],"4")=0,"-",COUNTIFS(Table16[ประเภท],D137,Table16[ฝ่าย],A141,Table16[สัปดาห์แจ้งซ่อม],"4"))</f>
        <v>-</v>
      </c>
      <c r="E141" s="421" t="str">
        <f>IF(COUNTIFS(Table16[ประเภท],E137,Table16[ฝ่าย],A141,Table16[สัปดาห์แจ้งซ่อม],"4")=0,"-",COUNTIFS(Table16[ประเภท],E137,Table16[ฝ่าย],A141,Table16[สัปดาห์แจ้งซ่อม],"4"))</f>
        <v>-</v>
      </c>
      <c r="F141" s="421" t="str">
        <f>IF(COUNTIFS(Table16[ประเภท],F137,Table16[ฝ่าย],A141,Table16[สัปดาห์แจ้งซ่อม],"4")=0,"-",COUNTIFS(Table16[ประเภท],F137,Table16[ฝ่าย],A141,Table16[สัปดาห์แจ้งซ่อม],"4"))</f>
        <v>-</v>
      </c>
      <c r="G141" s="421" t="str">
        <f>IF(COUNTIFS(Table16[ประเภท],G137,Table16[ฝ่าย],A141,Table16[สัปดาห์แจ้งซ่อม],"4")=0,"-",COUNTIFS(Table16[ประเภท],G137,Table16[ฝ่าย],A141,Table16[สัปดาห์แจ้งซ่อม],"4"))</f>
        <v>-</v>
      </c>
      <c r="H141" s="421" t="str">
        <f>IF(COUNTIFS(Table16[ประเภท],H137,Table16[ฝ่าย],A141,Table16[สัปดาห์แจ้งซ่อม],"4")=0,"-",COUNTIFS(Table16[ประเภท],H137,Table16[ฝ่าย],A141,Table16[สัปดาห์แจ้งซ่อม],"4"))</f>
        <v>-</v>
      </c>
      <c r="I141" s="421" t="str">
        <f>IF(COUNTIFS(Table16[ประเภท],I137,Table16[ฝ่าย],A141,Table16[สัปดาห์แจ้งซ่อม],"4")=0,"-",COUNTIFS(Table16[ประเภท],I137,Table16[ฝ่าย],A141,Table16[สัปดาห์แจ้งซ่อม],"4"))</f>
        <v>-</v>
      </c>
      <c r="J141" s="421" t="str">
        <f>IF(COUNTIFS(Table16[ประเภท],J137,Table16[ฝ่าย],A141,Table16[สัปดาห์แจ้งซ่อม],"4")=0,"-",COUNTIFS(Table16[ประเภท],J137,Table16[ฝ่าย],A141,Table16[สัปดาห์แจ้งซ่อม],"4"))</f>
        <v>-</v>
      </c>
      <c r="K141" s="421" t="str">
        <f>IF(COUNTIFS(Table16[ประเภท],K137,Table16[ฝ่าย],A141,Table16[สัปดาห์แจ้งซ่อม],"4")=0,"-",COUNTIFS(Table16[ประเภท],K137,Table16[ฝ่าย],A141,Table16[สัปดาห์แจ้งซ่อม],"4"))</f>
        <v>-</v>
      </c>
      <c r="L141" s="421" t="str">
        <f>IF(COUNTIFS(Table16[ประเภท],L137,Table16[ฝ่าย],A141,Table16[สัปดาห์แจ้งซ่อม],"4")=0,"-",COUNTIFS(Table16[ประเภท],L137,Table16[ฝ่าย],A141,Table16[สัปดาห์แจ้งซ่อม],"4"))</f>
        <v>-</v>
      </c>
      <c r="M141" s="421" t="str">
        <f>IF(COUNTIFS(Table16[ประเภท],M137,Table16[ฝ่าย],A141,Table16[สัปดาห์แจ้งซ่อม],"4")=0,"-",COUNTIFS(Table16[ประเภท],M137,Table16[ฝ่าย],A141,Table16[สัปดาห์แจ้งซ่อม],"4"))</f>
        <v>-</v>
      </c>
      <c r="N141" s="421" t="str">
        <f>IF(COUNTIFS(Table16[ประเภท],N137,Table16[ฝ่าย],A141,Table16[สัปดาห์แจ้งซ่อม],"4")=0,"-",COUNTIFS(Table16[ประเภท],N137,Table16[ฝ่าย],A141,Table16[สัปดาห์แจ้งซ่อม],"4"))</f>
        <v>-</v>
      </c>
      <c r="O141" s="416"/>
      <c r="P141" s="458" t="str">
        <f>IF(COUNTIFS(Table16[ประเภท],P137,Table16[ฝ่าย],A141,Table16[สัปดาห์แจ้งซ่อม],"4")=0,"-",COUNTIFS(Table16[ประเภท],P137,Table16[ฝ่าย],A141,Table16[สัปดาห์แจ้งซ่อม],"4"))</f>
        <v>-</v>
      </c>
    </row>
    <row r="142" spans="1:16" ht="15" thickBot="1">
      <c r="A142" s="176" t="s">
        <v>73</v>
      </c>
      <c r="B142" s="177">
        <f>COUNTIFS(Table16[ฝ่าย],A142,Table16[สัปดาห์แจ้งซ่อม],4)</f>
        <v>0</v>
      </c>
      <c r="C142" s="178" t="e">
        <f>B142/B152</f>
        <v>#DIV/0!</v>
      </c>
      <c r="D142" s="421" t="str">
        <f>IF(COUNTIFS(Table16[ประเภท],D137,Table16[ฝ่าย],A142,Table16[สัปดาห์แจ้งซ่อม],"4")=0,"-",COUNTIFS(Table16[ประเภท],D137,Table16[ฝ่าย],A142,Table16[สัปดาห์แจ้งซ่อม],"4"))</f>
        <v>-</v>
      </c>
      <c r="E142" s="421" t="str">
        <f>IF(COUNTIFS(Table16[ประเภท],E137,Table16[ฝ่าย],A142,Table16[สัปดาห์แจ้งซ่อม],"4")=0,"-",COUNTIFS(Table16[ประเภท],E137,Table16[ฝ่าย],A142,Table16[สัปดาห์แจ้งซ่อม],"4"))</f>
        <v>-</v>
      </c>
      <c r="F142" s="421" t="str">
        <f>IF(COUNTIFS(Table16[ประเภท],F137,Table16[ฝ่าย],A142,Table16[สัปดาห์แจ้งซ่อม],"4")=0,"-",COUNTIFS(Table16[ประเภท],F137,Table16[ฝ่าย],A142,Table16[สัปดาห์แจ้งซ่อม],"4"))</f>
        <v>-</v>
      </c>
      <c r="G142" s="421" t="str">
        <f>IF(COUNTIFS(Table16[ประเภท],G137,Table16[ฝ่าย],A142,Table16[สัปดาห์แจ้งซ่อม],"4")=0,"-",COUNTIFS(Table16[ประเภท],G137,Table16[ฝ่าย],A142,Table16[สัปดาห์แจ้งซ่อม],"4"))</f>
        <v>-</v>
      </c>
      <c r="H142" s="421" t="str">
        <f>IF(COUNTIFS(Table16[ประเภท],H137,Table16[ฝ่าย],A142,Table16[สัปดาห์แจ้งซ่อม],"4")=0,"-",COUNTIFS(Table16[ประเภท],H137,Table16[ฝ่าย],A142,Table16[สัปดาห์แจ้งซ่อม],"4"))</f>
        <v>-</v>
      </c>
      <c r="I142" s="421" t="str">
        <f>IF(COUNTIFS(Table16[ประเภท],I137,Table16[ฝ่าย],A142,Table16[สัปดาห์แจ้งซ่อม],"4")=0,"-",COUNTIFS(Table16[ประเภท],I137,Table16[ฝ่าย],A142,Table16[สัปดาห์แจ้งซ่อม],"4"))</f>
        <v>-</v>
      </c>
      <c r="J142" s="421" t="str">
        <f>IF(COUNTIFS(Table16[ประเภท],J137,Table16[ฝ่าย],A142,Table16[สัปดาห์แจ้งซ่อม],"4")=0,"-",COUNTIFS(Table16[ประเภท],J137,Table16[ฝ่าย],A142,Table16[สัปดาห์แจ้งซ่อม],"4"))</f>
        <v>-</v>
      </c>
      <c r="K142" s="421" t="str">
        <f>IF(COUNTIFS(Table16[ประเภท],K137,Table16[ฝ่าย],A142,Table16[สัปดาห์แจ้งซ่อม],"4")=0,"-",COUNTIFS(Table16[ประเภท],K137,Table16[ฝ่าย],A142,Table16[สัปดาห์แจ้งซ่อม],"4"))</f>
        <v>-</v>
      </c>
      <c r="L142" s="421" t="str">
        <f>IF(COUNTIFS(Table16[ประเภท],L137,Table16[ฝ่าย],A142,Table16[สัปดาห์แจ้งซ่อม],"4")=0,"-",COUNTIFS(Table16[ประเภท],L137,Table16[ฝ่าย],A142,Table16[สัปดาห์แจ้งซ่อม],"4"))</f>
        <v>-</v>
      </c>
      <c r="M142" s="421" t="str">
        <f>IF(COUNTIFS(Table16[ประเภท],M137,Table16[ฝ่าย],A142,Table16[สัปดาห์แจ้งซ่อม],"4")=0,"-",COUNTIFS(Table16[ประเภท],M137,Table16[ฝ่าย],A142,Table16[สัปดาห์แจ้งซ่อม],"4"))</f>
        <v>-</v>
      </c>
      <c r="N142" s="421" t="str">
        <f>IF(COUNTIFS(Table16[ประเภท],N137,Table16[ฝ่าย],A142,Table16[สัปดาห์แจ้งซ่อม],"4")=0,"-",COUNTIFS(Table16[ประเภท],N137,Table16[ฝ่าย],A142,Table16[สัปดาห์แจ้งซ่อม],"4"))</f>
        <v>-</v>
      </c>
      <c r="O142" s="416"/>
      <c r="P142" s="458" t="str">
        <f>IF(COUNTIFS(Table16[ประเภท],P137,Table16[ฝ่าย],A142,Table16[สัปดาห์แจ้งซ่อม],"4")=0,"-",COUNTIFS(Table16[ประเภท],P137,Table16[ฝ่าย],A142,Table16[สัปดาห์แจ้งซ่อม],"4"))</f>
        <v>-</v>
      </c>
    </row>
    <row r="143" spans="1:16" ht="15" thickBot="1">
      <c r="A143" s="176" t="s">
        <v>74</v>
      </c>
      <c r="B143" s="177">
        <f>COUNTIFS(Table16[ฝ่าย],A143,Table16[สัปดาห์แจ้งซ่อม],4)</f>
        <v>0</v>
      </c>
      <c r="C143" s="178" t="e">
        <f>B143/B152</f>
        <v>#DIV/0!</v>
      </c>
      <c r="D143" s="421" t="str">
        <f>IF(COUNTIFS(Table16[ประเภท],D137,Table16[ฝ่าย],A143,Table16[สัปดาห์แจ้งซ่อม],"4")=0,"-",COUNTIFS(Table16[ประเภท],D137,Table16[ฝ่าย],A143,Table16[สัปดาห์แจ้งซ่อม],"4"))</f>
        <v>-</v>
      </c>
      <c r="E143" s="421" t="str">
        <f>IF(COUNTIFS(Table16[ประเภท],E137,Table16[ฝ่าย],A143,Table16[สัปดาห์แจ้งซ่อม],"4")=0,"-",COUNTIFS(Table16[ประเภท],E137,Table16[ฝ่าย],A143,Table16[สัปดาห์แจ้งซ่อม],"4"))</f>
        <v>-</v>
      </c>
      <c r="F143" s="421" t="str">
        <f>IF(COUNTIFS(Table16[ประเภท],F137,Table16[ฝ่าย],A143,Table16[สัปดาห์แจ้งซ่อม],"4")=0,"-",COUNTIFS(Table16[ประเภท],F137,Table16[ฝ่าย],A143,Table16[สัปดาห์แจ้งซ่อม],"4"))</f>
        <v>-</v>
      </c>
      <c r="G143" s="421" t="str">
        <f>IF(COUNTIFS(Table16[ประเภท],G137,Table16[ฝ่าย],A143,Table16[สัปดาห์แจ้งซ่อม],"4")=0,"-",COUNTIFS(Table16[ประเภท],G137,Table16[ฝ่าย],A143,Table16[สัปดาห์แจ้งซ่อม],"4"))</f>
        <v>-</v>
      </c>
      <c r="H143" s="421" t="str">
        <f>IF(COUNTIFS(Table16[ประเภท],H137,Table16[ฝ่าย],A143,Table16[สัปดาห์แจ้งซ่อม],"4")=0,"-",COUNTIFS(Table16[ประเภท],H137,Table16[ฝ่าย],A143,Table16[สัปดาห์แจ้งซ่อม],"4"))</f>
        <v>-</v>
      </c>
      <c r="I143" s="421" t="str">
        <f>IF(COUNTIFS(Table16[ประเภท],I137,Table16[ฝ่าย],A143,Table16[สัปดาห์แจ้งซ่อม],"4")=0,"-",COUNTIFS(Table16[ประเภท],I137,Table16[ฝ่าย],A143,Table16[สัปดาห์แจ้งซ่อม],"4"))</f>
        <v>-</v>
      </c>
      <c r="J143" s="421" t="str">
        <f>IF(COUNTIFS(Table16[ประเภท],J137,Table16[ฝ่าย],A143,Table16[สัปดาห์แจ้งซ่อม],"4")=0,"-",COUNTIFS(Table16[ประเภท],J137,Table16[ฝ่าย],A143,Table16[สัปดาห์แจ้งซ่อม],"4"))</f>
        <v>-</v>
      </c>
      <c r="K143" s="421" t="str">
        <f>IF(COUNTIFS(Table16[ประเภท],K137,Table16[ฝ่าย],A143,Table16[สัปดาห์แจ้งซ่อม],"4")=0,"-",COUNTIFS(Table16[ประเภท],K137,Table16[ฝ่าย],A143,Table16[สัปดาห์แจ้งซ่อม],"4"))</f>
        <v>-</v>
      </c>
      <c r="L143" s="421" t="str">
        <f>IF(COUNTIFS(Table16[ประเภท],L137,Table16[ฝ่าย],A143,Table16[สัปดาห์แจ้งซ่อม],"4")=0,"-",COUNTIFS(Table16[ประเภท],L137,Table16[ฝ่าย],A143,Table16[สัปดาห์แจ้งซ่อม],"4"))</f>
        <v>-</v>
      </c>
      <c r="M143" s="421" t="str">
        <f>IF(COUNTIFS(Table16[ประเภท],M137,Table16[ฝ่าย],A143,Table16[สัปดาห์แจ้งซ่อม],"4")=0,"-",COUNTIFS(Table16[ประเภท],M137,Table16[ฝ่าย],A143,Table16[สัปดาห์แจ้งซ่อม],"4"))</f>
        <v>-</v>
      </c>
      <c r="N143" s="421" t="str">
        <f>IF(COUNTIFS(Table16[ประเภท],N137,Table16[ฝ่าย],A143,Table16[สัปดาห์แจ้งซ่อม],"4")=0,"-",COUNTIFS(Table16[ประเภท],N137,Table16[ฝ่าย],A143,Table16[สัปดาห์แจ้งซ่อม],"4"))</f>
        <v>-</v>
      </c>
      <c r="O143" s="416"/>
      <c r="P143" s="458" t="str">
        <f>IF(COUNTIFS(Table16[ประเภท],P137,Table16[ฝ่าย],A143,Table16[สัปดาห์แจ้งซ่อม],"4")=0,"-",COUNTIFS(Table16[ประเภท],P137,Table16[ฝ่าย],A143,Table16[สัปดาห์แจ้งซ่อม],"4"))</f>
        <v>-</v>
      </c>
    </row>
    <row r="144" spans="1:16" ht="15" thickBot="1">
      <c r="A144" s="176" t="s">
        <v>75</v>
      </c>
      <c r="B144" s="177">
        <f>COUNTIFS(Table16[ฝ่าย],A144,Table16[สัปดาห์แจ้งซ่อม],4)</f>
        <v>0</v>
      </c>
      <c r="C144" s="178" t="e">
        <f>B144/B152</f>
        <v>#DIV/0!</v>
      </c>
      <c r="D144" s="421" t="str">
        <f>IF(COUNTIFS(Table16[ประเภท],D137,Table16[ฝ่าย],A144,Table16[สัปดาห์แจ้งซ่อม],"4")=0,"-",COUNTIFS(Table16[ประเภท],D137,Table16[ฝ่าย],A144,Table16[สัปดาห์แจ้งซ่อม],"4"))</f>
        <v>-</v>
      </c>
      <c r="E144" s="421" t="str">
        <f>IF(COUNTIFS(Table16[ประเภท],E137,Table16[ฝ่าย],A144,Table16[สัปดาห์แจ้งซ่อม],"4")=0,"-",COUNTIFS(Table16[ประเภท],E137,Table16[ฝ่าย],A144,Table16[สัปดาห์แจ้งซ่อม],"4"))</f>
        <v>-</v>
      </c>
      <c r="F144" s="421" t="str">
        <f>IF(COUNTIFS(Table16[ประเภท],F137,Table16[ฝ่าย],A144,Table16[สัปดาห์แจ้งซ่อม],"4")=0,"-",COUNTIFS(Table16[ประเภท],F137,Table16[ฝ่าย],A144,Table16[สัปดาห์แจ้งซ่อม],"4"))</f>
        <v>-</v>
      </c>
      <c r="G144" s="421" t="str">
        <f>IF(COUNTIFS(Table16[ประเภท],G137,Table16[ฝ่าย],A144,Table16[สัปดาห์แจ้งซ่อม],"4")=0,"-",COUNTIFS(Table16[ประเภท],G137,Table16[ฝ่าย],A144,Table16[สัปดาห์แจ้งซ่อม],"4"))</f>
        <v>-</v>
      </c>
      <c r="H144" s="421" t="str">
        <f>IF(COUNTIFS(Table16[ประเภท],H137,Table16[ฝ่าย],A144,Table16[สัปดาห์แจ้งซ่อม],"4")=0,"-",COUNTIFS(Table16[ประเภท],H137,Table16[ฝ่าย],A144,Table16[สัปดาห์แจ้งซ่อม],"4"))</f>
        <v>-</v>
      </c>
      <c r="I144" s="421" t="str">
        <f>IF(COUNTIFS(Table16[ประเภท],I137,Table16[ฝ่าย],A144,Table16[สัปดาห์แจ้งซ่อม],"4")=0,"-",COUNTIFS(Table16[ประเภท],I137,Table16[ฝ่าย],A144,Table16[สัปดาห์แจ้งซ่อม],"4"))</f>
        <v>-</v>
      </c>
      <c r="J144" s="421" t="str">
        <f>IF(COUNTIFS(Table16[ประเภท],J137,Table16[ฝ่าย],A144,Table16[สัปดาห์แจ้งซ่อม],"4")=0,"-",COUNTIFS(Table16[ประเภท],J137,Table16[ฝ่าย],A144,Table16[สัปดาห์แจ้งซ่อม],"4"))</f>
        <v>-</v>
      </c>
      <c r="K144" s="421" t="str">
        <f>IF(COUNTIFS(Table16[ประเภท],K137,Table16[ฝ่าย],A144,Table16[สัปดาห์แจ้งซ่อม],"4")=0,"-",COUNTIFS(Table16[ประเภท],K137,Table16[ฝ่าย],A144,Table16[สัปดาห์แจ้งซ่อม],"4"))</f>
        <v>-</v>
      </c>
      <c r="L144" s="421" t="str">
        <f>IF(COUNTIFS(Table16[ประเภท],L137,Table16[ฝ่าย],A144,Table16[สัปดาห์แจ้งซ่อม],"4")=0,"-",COUNTIFS(Table16[ประเภท],L137,Table16[ฝ่าย],A144,Table16[สัปดาห์แจ้งซ่อม],"4"))</f>
        <v>-</v>
      </c>
      <c r="M144" s="421" t="str">
        <f>IF(COUNTIFS(Table16[ประเภท],M137,Table16[ฝ่าย],A144,Table16[สัปดาห์แจ้งซ่อม],"4")=0,"-",COUNTIFS(Table16[ประเภท],M137,Table16[ฝ่าย],A144,Table16[สัปดาห์แจ้งซ่อม],"4"))</f>
        <v>-</v>
      </c>
      <c r="N144" s="421" t="str">
        <f>IF(COUNTIFS(Table16[ประเภท],N137,Table16[ฝ่าย],A144,Table16[สัปดาห์แจ้งซ่อม],"4")=0,"-",COUNTIFS(Table16[ประเภท],N137,Table16[ฝ่าย],A144,Table16[สัปดาห์แจ้งซ่อม],"4"))</f>
        <v>-</v>
      </c>
      <c r="O144" s="416"/>
      <c r="P144" s="458" t="str">
        <f>IF(COUNTIFS(Table16[ประเภท],P137,Table16[ฝ่าย],A144,Table16[สัปดาห์แจ้งซ่อม],"4")=0,"-",COUNTIFS(Table16[ประเภท],P137,Table16[ฝ่าย],A144,Table16[สัปดาห์แจ้งซ่อม],"4"))</f>
        <v>-</v>
      </c>
    </row>
    <row r="145" spans="1:16" ht="15" thickBot="1">
      <c r="A145" s="176" t="s">
        <v>76</v>
      </c>
      <c r="B145" s="177">
        <f>COUNTIFS(Table16[ฝ่าย],A145,Table16[สัปดาห์แจ้งซ่อม],4)</f>
        <v>0</v>
      </c>
      <c r="C145" s="178" t="e">
        <f>B145/B152</f>
        <v>#DIV/0!</v>
      </c>
      <c r="D145" s="421" t="str">
        <f>IF(COUNTIFS(Table16[ประเภท],D137,Table16[ฝ่าย],A145,Table16[สัปดาห์แจ้งซ่อม],"4")=0,"-",COUNTIFS(Table16[ประเภท],D137,Table16[ฝ่าย],A145,Table16[สัปดาห์แจ้งซ่อม],"4"))</f>
        <v>-</v>
      </c>
      <c r="E145" s="421" t="str">
        <f>IF(COUNTIFS(Table16[ประเภท],E137,Table16[ฝ่าย],A145,Table16[สัปดาห์แจ้งซ่อม],"4")=0,"-",COUNTIFS(Table16[ประเภท],E137,Table16[ฝ่าย],A145,Table16[สัปดาห์แจ้งซ่อม],"4"))</f>
        <v>-</v>
      </c>
      <c r="F145" s="421" t="str">
        <f>IF(COUNTIFS(Table16[ประเภท],F137,Table16[ฝ่าย],A145,Table16[สัปดาห์แจ้งซ่อม],"4")=0,"-",COUNTIFS(Table16[ประเภท],F137,Table16[ฝ่าย],A145,Table16[สัปดาห์แจ้งซ่อม],"4"))</f>
        <v>-</v>
      </c>
      <c r="G145" s="421" t="str">
        <f>IF(COUNTIFS(Table16[ประเภท],G137,Table16[ฝ่าย],A145,Table16[สัปดาห์แจ้งซ่อม],"4")=0,"-",COUNTIFS(Table16[ประเภท],G137,Table16[ฝ่าย],A145,Table16[สัปดาห์แจ้งซ่อม],"4"))</f>
        <v>-</v>
      </c>
      <c r="H145" s="421" t="str">
        <f>IF(COUNTIFS(Table16[ประเภท],H137,Table16[ฝ่าย],A145,Table16[สัปดาห์แจ้งซ่อม],"4")=0,"-",COUNTIFS(Table16[ประเภท],H137,Table16[ฝ่าย],A145,Table16[สัปดาห์แจ้งซ่อม],"4"))</f>
        <v>-</v>
      </c>
      <c r="I145" s="421" t="str">
        <f>IF(COUNTIFS(Table16[ประเภท],I137,Table16[ฝ่าย],A145,Table16[สัปดาห์แจ้งซ่อม],"4")=0,"-",COUNTIFS(Table16[ประเภท],I137,Table16[ฝ่าย],A145,Table16[สัปดาห์แจ้งซ่อม],"4"))</f>
        <v>-</v>
      </c>
      <c r="J145" s="421" t="str">
        <f>IF(COUNTIFS(Table16[ประเภท],J137,Table16[ฝ่าย],A145,Table16[สัปดาห์แจ้งซ่อม],"4")=0,"-",COUNTIFS(Table16[ประเภท],J137,Table16[ฝ่าย],A145,Table16[สัปดาห์แจ้งซ่อม],"4"))</f>
        <v>-</v>
      </c>
      <c r="K145" s="421" t="str">
        <f>IF(COUNTIFS(Table16[ประเภท],K137,Table16[ฝ่าย],A145,Table16[สัปดาห์แจ้งซ่อม],"4")=0,"-",COUNTIFS(Table16[ประเภท],K137,Table16[ฝ่าย],A145,Table16[สัปดาห์แจ้งซ่อม],"4"))</f>
        <v>-</v>
      </c>
      <c r="L145" s="421" t="str">
        <f>IF(COUNTIFS(Table16[ประเภท],L137,Table16[ฝ่าย],A145,Table16[สัปดาห์แจ้งซ่อม],"4")=0,"-",COUNTIFS(Table16[ประเภท],L137,Table16[ฝ่าย],A145,Table16[สัปดาห์แจ้งซ่อม],"4"))</f>
        <v>-</v>
      </c>
      <c r="M145" s="421" t="str">
        <f>IF(COUNTIFS(Table16[ประเภท],M137,Table16[ฝ่าย],A145,Table16[สัปดาห์แจ้งซ่อม],"4")=0,"-",COUNTIFS(Table16[ประเภท],M137,Table16[ฝ่าย],A145,Table16[สัปดาห์แจ้งซ่อม],"4"))</f>
        <v>-</v>
      </c>
      <c r="N145" s="421" t="str">
        <f>IF(COUNTIFS(Table16[ประเภท],N137,Table16[ฝ่าย],A145,Table16[สัปดาห์แจ้งซ่อม],"4")=0,"-",COUNTIFS(Table16[ประเภท],N137,Table16[ฝ่าย],A145,Table16[สัปดาห์แจ้งซ่อม],"4"))</f>
        <v>-</v>
      </c>
      <c r="O145" s="416"/>
      <c r="P145" s="458" t="str">
        <f>IF(COUNTIFS(Table16[ประเภท],P137,Table16[ฝ่าย],A145,Table16[สัปดาห์แจ้งซ่อม],"4")=0,"-",COUNTIFS(Table16[ประเภท],P137,Table16[ฝ่าย],A145,Table16[สัปดาห์แจ้งซ่อม],"4"))</f>
        <v>-</v>
      </c>
    </row>
    <row r="146" spans="1:16" ht="15" thickBot="1">
      <c r="A146" s="176" t="s">
        <v>77</v>
      </c>
      <c r="B146" s="177">
        <f>COUNTIFS(Table16[ฝ่าย],A146,Table16[สัปดาห์แจ้งซ่อม],4)</f>
        <v>0</v>
      </c>
      <c r="C146" s="178" t="e">
        <f>B146/B152</f>
        <v>#DIV/0!</v>
      </c>
      <c r="D146" s="421" t="str">
        <f>IF(COUNTIFS(Table16[ประเภท],D137,Table16[ฝ่าย],A146,Table16[สัปดาห์แจ้งซ่อม],"4")=0,"-",COUNTIFS(Table16[ประเภท],D137,Table16[ฝ่าย],A146,Table16[สัปดาห์แจ้งซ่อม],"4"))</f>
        <v>-</v>
      </c>
      <c r="E146" s="421" t="str">
        <f>IF(COUNTIFS(Table16[ประเภท],E137,Table16[ฝ่าย],A146,Table16[สัปดาห์แจ้งซ่อม],"4")=0,"-",COUNTIFS(Table16[ประเภท],E137,Table16[ฝ่าย],A146,Table16[สัปดาห์แจ้งซ่อม],"4"))</f>
        <v>-</v>
      </c>
      <c r="F146" s="421" t="str">
        <f>IF(COUNTIFS(Table16[ประเภท],F137,Table16[ฝ่าย],A146,Table16[สัปดาห์แจ้งซ่อม],"4")=0,"-",COUNTIFS(Table16[ประเภท],F137,Table16[ฝ่าย],A146,Table16[สัปดาห์แจ้งซ่อม],"4"))</f>
        <v>-</v>
      </c>
      <c r="G146" s="421" t="str">
        <f>IF(COUNTIFS(Table16[ประเภท],G137,Table16[ฝ่าย],A146,Table16[สัปดาห์แจ้งซ่อม],"4")=0,"-",COUNTIFS(Table16[ประเภท],G137,Table16[ฝ่าย],A146,Table16[สัปดาห์แจ้งซ่อม],"4"))</f>
        <v>-</v>
      </c>
      <c r="H146" s="421" t="str">
        <f>IF(COUNTIFS(Table16[ประเภท],H137,Table16[ฝ่าย],A146,Table16[สัปดาห์แจ้งซ่อม],"4")=0,"-",COUNTIFS(Table16[ประเภท],H137,Table16[ฝ่าย],A146,Table16[สัปดาห์แจ้งซ่อม],"4"))</f>
        <v>-</v>
      </c>
      <c r="I146" s="421" t="str">
        <f>IF(COUNTIFS(Table16[ประเภท],I137,Table16[ฝ่าย],A146,Table16[สัปดาห์แจ้งซ่อม],"4")=0,"-",COUNTIFS(Table16[ประเภท],I137,Table16[ฝ่าย],A146,Table16[สัปดาห์แจ้งซ่อม],"4"))</f>
        <v>-</v>
      </c>
      <c r="J146" s="421" t="str">
        <f>IF(COUNTIFS(Table16[ประเภท],J137,Table16[ฝ่าย],A146,Table16[สัปดาห์แจ้งซ่อม],"4")=0,"-",COUNTIFS(Table16[ประเภท],J137,Table16[ฝ่าย],A146,Table16[สัปดาห์แจ้งซ่อม],"4"))</f>
        <v>-</v>
      </c>
      <c r="K146" s="421" t="str">
        <f>IF(COUNTIFS(Table16[ประเภท],K137,Table16[ฝ่าย],A146,Table16[สัปดาห์แจ้งซ่อม],"4")=0,"-",COUNTIFS(Table16[ประเภท],K137,Table16[ฝ่าย],A146,Table16[สัปดาห์แจ้งซ่อม],"4"))</f>
        <v>-</v>
      </c>
      <c r="L146" s="421" t="str">
        <f>IF(COUNTIFS(Table16[ประเภท],L137,Table16[ฝ่าย],A146,Table16[สัปดาห์แจ้งซ่อม],"4")=0,"-",COUNTIFS(Table16[ประเภท],L137,Table16[ฝ่าย],A146,Table16[สัปดาห์แจ้งซ่อม],"4"))</f>
        <v>-</v>
      </c>
      <c r="M146" s="421" t="str">
        <f>IF(COUNTIFS(Table16[ประเภท],M137,Table16[ฝ่าย],A146,Table16[สัปดาห์แจ้งซ่อม],"4")=0,"-",COUNTIFS(Table16[ประเภท],M137,Table16[ฝ่าย],A146,Table16[สัปดาห์แจ้งซ่อม],"4"))</f>
        <v>-</v>
      </c>
      <c r="N146" s="421" t="str">
        <f>IF(COUNTIFS(Table16[ประเภท],N137,Table16[ฝ่าย],A146,Table16[สัปดาห์แจ้งซ่อม],"4")=0,"-",COUNTIFS(Table16[ประเภท],N137,Table16[ฝ่าย],A146,Table16[สัปดาห์แจ้งซ่อม],"4"))</f>
        <v>-</v>
      </c>
      <c r="O146" s="416"/>
      <c r="P146" s="458" t="str">
        <f>IF(COUNTIFS(Table16[ประเภท],P137,Table16[ฝ่าย],A146,Table16[สัปดาห์แจ้งซ่อม],"4")=0,"-",COUNTIFS(Table16[ประเภท],P137,Table16[ฝ่าย],A146,Table16[สัปดาห์แจ้งซ่อม],"4"))</f>
        <v>-</v>
      </c>
    </row>
    <row r="147" spans="1:16" ht="15" thickBot="1">
      <c r="A147" s="176" t="s">
        <v>78</v>
      </c>
      <c r="B147" s="177">
        <f>COUNTIFS(Table16[ฝ่าย],A147,Table16[สัปดาห์แจ้งซ่อม],4)</f>
        <v>0</v>
      </c>
      <c r="C147" s="179" t="e">
        <f>B147/B152</f>
        <v>#DIV/0!</v>
      </c>
      <c r="D147" s="421" t="str">
        <f>IF(COUNTIFS(Table16[ประเภท],D137,Table16[ฝ่าย],A147,Table16[สัปดาห์แจ้งซ่อม],"4")=0,"-",COUNTIFS(Table16[ประเภท],D137,Table16[ฝ่าย],A147,Table16[สัปดาห์แจ้งซ่อม],"4"))</f>
        <v>-</v>
      </c>
      <c r="E147" s="421" t="str">
        <f>IF(COUNTIFS(Table16[ประเภท],E137,Table16[ฝ่าย],A147,Table16[สัปดาห์แจ้งซ่อม],"4")=0,"-",COUNTIFS(Table16[ประเภท],E137,Table16[ฝ่าย],A147,Table16[สัปดาห์แจ้งซ่อม],"4"))</f>
        <v>-</v>
      </c>
      <c r="F147" s="421" t="str">
        <f>IF(COUNTIFS(Table16[ประเภท],F137,Table16[ฝ่าย],A147,Table16[สัปดาห์แจ้งซ่อม],"4")=0,"-",COUNTIFS(Table16[ประเภท],F137,Table16[ฝ่าย],A147,Table16[สัปดาห์แจ้งซ่อม],"4"))</f>
        <v>-</v>
      </c>
      <c r="G147" s="421" t="str">
        <f>IF(COUNTIFS(Table16[ประเภท],G137,Table16[ฝ่าย],A147,Table16[สัปดาห์แจ้งซ่อม],"4")=0,"-",COUNTIFS(Table16[ประเภท],G137,Table16[ฝ่าย],A147,Table16[สัปดาห์แจ้งซ่อม],"4"))</f>
        <v>-</v>
      </c>
      <c r="H147" s="421" t="str">
        <f>IF(COUNTIFS(Table16[ประเภท],H137,Table16[ฝ่าย],A147,Table16[สัปดาห์แจ้งซ่อม],"4")=0,"-",COUNTIFS(Table16[ประเภท],H137,Table16[ฝ่าย],A147,Table16[สัปดาห์แจ้งซ่อม],"4"))</f>
        <v>-</v>
      </c>
      <c r="I147" s="421" t="str">
        <f>IF(COUNTIFS(Table16[ประเภท],I137,Table16[ฝ่าย],A147,Table16[สัปดาห์แจ้งซ่อม],"4")=0,"-",COUNTIFS(Table16[ประเภท],I137,Table16[ฝ่าย],A147,Table16[สัปดาห์แจ้งซ่อม],"4"))</f>
        <v>-</v>
      </c>
      <c r="J147" s="421" t="str">
        <f>IF(COUNTIFS(Table16[ประเภท],J137,Table16[ฝ่าย],A147,Table16[สัปดาห์แจ้งซ่อม],"4")=0,"-",COUNTIFS(Table16[ประเภท],J137,Table16[ฝ่าย],A147,Table16[สัปดาห์แจ้งซ่อม],"4"))</f>
        <v>-</v>
      </c>
      <c r="K147" s="421" t="str">
        <f>IF(COUNTIFS(Table16[ประเภท],K137,Table16[ฝ่าย],A147,Table16[สัปดาห์แจ้งซ่อม],"4")=0,"-",COUNTIFS(Table16[ประเภท],K137,Table16[ฝ่าย],A147,Table16[สัปดาห์แจ้งซ่อม],"4"))</f>
        <v>-</v>
      </c>
      <c r="L147" s="421" t="str">
        <f>IF(COUNTIFS(Table16[ประเภท],L137,Table16[ฝ่าย],A147,Table16[สัปดาห์แจ้งซ่อม],"4")=0,"-",COUNTIFS(Table16[ประเภท],L137,Table16[ฝ่าย],A147,Table16[สัปดาห์แจ้งซ่อม],"4"))</f>
        <v>-</v>
      </c>
      <c r="M147" s="421" t="str">
        <f>IF(COUNTIFS(Table16[ประเภท],M137,Table16[ฝ่าย],A147,Table16[สัปดาห์แจ้งซ่อม],"4")=0,"-",COUNTIFS(Table16[ประเภท],M137,Table16[ฝ่าย],A147,Table16[สัปดาห์แจ้งซ่อม],"4"))</f>
        <v>-</v>
      </c>
      <c r="N147" s="421" t="str">
        <f>IF(COUNTIFS(Table16[ประเภท],N137,Table16[ฝ่าย],A147,Table16[สัปดาห์แจ้งซ่อม],"4")=0,"-",COUNTIFS(Table16[ประเภท],N137,Table16[ฝ่าย],A147,Table16[สัปดาห์แจ้งซ่อม],"4"))</f>
        <v>-</v>
      </c>
      <c r="O147" s="416"/>
      <c r="P147" s="458" t="str">
        <f>IF(COUNTIFS(Table16[ประเภท],P137,Table16[ฝ่าย],A147,Table16[สัปดาห์แจ้งซ่อม],"4")=0,"-",COUNTIFS(Table16[ประเภท],P137,Table16[ฝ่าย],A147,Table16[สัปดาห์แจ้งซ่อม],"4"))</f>
        <v>-</v>
      </c>
    </row>
    <row r="148" spans="1:16" ht="15" thickBot="1">
      <c r="A148" s="176" t="s">
        <v>79</v>
      </c>
      <c r="B148" s="177">
        <f>COUNTIFS(Table16[ฝ่าย],A148,Table16[สัปดาห์แจ้งซ่อม],4)</f>
        <v>0</v>
      </c>
      <c r="C148" s="179" t="e">
        <f>B148/B152</f>
        <v>#DIV/0!</v>
      </c>
      <c r="D148" s="421" t="str">
        <f>IF(COUNTIFS(Table16[ประเภท],D137,Table16[ฝ่าย],A148,Table16[สัปดาห์แจ้งซ่อม],"4")=0,"-",COUNTIFS(Table16[ประเภท],D137,Table16[ฝ่าย],A148,Table16[สัปดาห์แจ้งซ่อม],"4"))</f>
        <v>-</v>
      </c>
      <c r="E148" s="421" t="str">
        <f>IF(COUNTIFS(Table16[ประเภท],E137,Table16[ฝ่าย],A148,Table16[สัปดาห์แจ้งซ่อม],"4")=0,"-",COUNTIFS(Table16[ประเภท],E137,Table16[ฝ่าย],A148,Table16[สัปดาห์แจ้งซ่อม],"4"))</f>
        <v>-</v>
      </c>
      <c r="F148" s="421" t="str">
        <f>IF(COUNTIFS(Table16[ประเภท],F137,Table16[ฝ่าย],A148,Table16[สัปดาห์แจ้งซ่อม],"4")=0,"-",COUNTIFS(Table16[ประเภท],F137,Table16[ฝ่าย],A148,Table16[สัปดาห์แจ้งซ่อม],"4"))</f>
        <v>-</v>
      </c>
      <c r="G148" s="421" t="str">
        <f>IF(COUNTIFS(Table16[ประเภท],G137,Table16[ฝ่าย],A148,Table16[สัปดาห์แจ้งซ่อม],"4")=0,"-",COUNTIFS(Table16[ประเภท],G137,Table16[ฝ่าย],A148,Table16[สัปดาห์แจ้งซ่อม],"4"))</f>
        <v>-</v>
      </c>
      <c r="H148" s="421" t="str">
        <f>IF(COUNTIFS(Table16[ประเภท],H137,Table16[ฝ่าย],A148,Table16[สัปดาห์แจ้งซ่อม],"4")=0,"-",COUNTIFS(Table16[ประเภท],H137,Table16[ฝ่าย],A148,Table16[สัปดาห์แจ้งซ่อม],"4"))</f>
        <v>-</v>
      </c>
      <c r="I148" s="421" t="str">
        <f>IF(COUNTIFS(Table16[ประเภท],I137,Table16[ฝ่าย],A148,Table16[สัปดาห์แจ้งซ่อม],"4")=0,"-",COUNTIFS(Table16[ประเภท],I137,Table16[ฝ่าย],A148,Table16[สัปดาห์แจ้งซ่อม],"4"))</f>
        <v>-</v>
      </c>
      <c r="J148" s="421" t="str">
        <f>IF(COUNTIFS(Table16[ประเภท],J137,Table16[ฝ่าย],A148,Table16[สัปดาห์แจ้งซ่อม],"4")=0,"-",COUNTIFS(Table16[ประเภท],J137,Table16[ฝ่าย],A148,Table16[สัปดาห์แจ้งซ่อม],"4"))</f>
        <v>-</v>
      </c>
      <c r="K148" s="421" t="str">
        <f>IF(COUNTIFS(Table16[ประเภท],K137,Table16[ฝ่าย],A148,Table16[สัปดาห์แจ้งซ่อม],"4")=0,"-",COUNTIFS(Table16[ประเภท],K137,Table16[ฝ่าย],A148,Table16[สัปดาห์แจ้งซ่อม],"4"))</f>
        <v>-</v>
      </c>
      <c r="L148" s="421" t="str">
        <f>IF(COUNTIFS(Table16[ประเภท],L137,Table16[ฝ่าย],A148,Table16[สัปดาห์แจ้งซ่อม],"4")=0,"-",COUNTIFS(Table16[ประเภท],L137,Table16[ฝ่าย],A148,Table16[สัปดาห์แจ้งซ่อม],"4"))</f>
        <v>-</v>
      </c>
      <c r="M148" s="421" t="str">
        <f>IF(COUNTIFS(Table16[ประเภท],M137,Table16[ฝ่าย],A148,Table16[สัปดาห์แจ้งซ่อม],"4")=0,"-",COUNTIFS(Table16[ประเภท],M137,Table16[ฝ่าย],A148,Table16[สัปดาห์แจ้งซ่อม],"4"))</f>
        <v>-</v>
      </c>
      <c r="N148" s="421" t="str">
        <f>IF(COUNTIFS(Table16[ประเภท],N137,Table16[ฝ่าย],A148,Table16[สัปดาห์แจ้งซ่อม],"4")=0,"-",COUNTIFS(Table16[ประเภท],N137,Table16[ฝ่าย],A148,Table16[สัปดาห์แจ้งซ่อม],"4"))</f>
        <v>-</v>
      </c>
      <c r="O148" s="416"/>
      <c r="P148" s="458" t="str">
        <f>IF(COUNTIFS(Table16[ประเภท],P137,Table16[ฝ่าย],A148,Table16[สัปดาห์แจ้งซ่อม],"4")=0,"-",COUNTIFS(Table16[ประเภท],P137,Table16[ฝ่าย],A148,Table16[สัปดาห์แจ้งซ่อม],"4"))</f>
        <v>-</v>
      </c>
    </row>
    <row r="149" spans="1:16" ht="15" thickBot="1">
      <c r="A149" s="176" t="s">
        <v>80</v>
      </c>
      <c r="B149" s="177">
        <f>COUNTIFS(Table16[ฝ่าย],A149,Table16[สัปดาห์แจ้งซ่อม],4)</f>
        <v>0</v>
      </c>
      <c r="C149" s="179" t="e">
        <f>B149/B152</f>
        <v>#DIV/0!</v>
      </c>
      <c r="D149" s="421" t="str">
        <f>IF(COUNTIFS(Table16[ประเภท],D137,Table16[ฝ่าย],A149,Table16[สัปดาห์แจ้งซ่อม],"4")=0,"-",COUNTIFS(Table16[ประเภท],D137,Table16[ฝ่าย],A149,Table16[สัปดาห์แจ้งซ่อม],"4"))</f>
        <v>-</v>
      </c>
      <c r="E149" s="421" t="str">
        <f>IF(COUNTIFS(Table16[ประเภท],E137,Table16[ฝ่าย],A149,Table16[สัปดาห์แจ้งซ่อม],"4")=0,"-",COUNTIFS(Table16[ประเภท],E137,Table16[ฝ่าย],A149,Table16[สัปดาห์แจ้งซ่อม],"4"))</f>
        <v>-</v>
      </c>
      <c r="F149" s="421" t="str">
        <f>IF(COUNTIFS(Table16[ประเภท],F137,Table16[ฝ่าย],A149,Table16[สัปดาห์แจ้งซ่อม],"4")=0,"-",COUNTIFS(Table16[ประเภท],F137,Table16[ฝ่าย],A149,Table16[สัปดาห์แจ้งซ่อม],"4"))</f>
        <v>-</v>
      </c>
      <c r="G149" s="421" t="str">
        <f>IF(COUNTIFS(Table16[ประเภท],G137,Table16[ฝ่าย],A149,Table16[สัปดาห์แจ้งซ่อม],"4")=0,"-",COUNTIFS(Table16[ประเภท],G137,Table16[ฝ่าย],A149,Table16[สัปดาห์แจ้งซ่อม],"4"))</f>
        <v>-</v>
      </c>
      <c r="H149" s="421" t="str">
        <f>IF(COUNTIFS(Table16[ประเภท],H137,Table16[ฝ่าย],A149,Table16[สัปดาห์แจ้งซ่อม],"4")=0,"-",COUNTIFS(Table16[ประเภท],H137,Table16[ฝ่าย],A149,Table16[สัปดาห์แจ้งซ่อม],"4"))</f>
        <v>-</v>
      </c>
      <c r="I149" s="421" t="str">
        <f>IF(COUNTIFS(Table16[ประเภท],I137,Table16[ฝ่าย],A149,Table16[สัปดาห์แจ้งซ่อม],"4")=0,"-",COUNTIFS(Table16[ประเภท],I137,Table16[ฝ่าย],A149,Table16[สัปดาห์แจ้งซ่อม],"4"))</f>
        <v>-</v>
      </c>
      <c r="J149" s="421" t="str">
        <f>IF(COUNTIFS(Table16[ประเภท],J137,Table16[ฝ่าย],A149,Table16[สัปดาห์แจ้งซ่อม],"4")=0,"-",COUNTIFS(Table16[ประเภท],J137,Table16[ฝ่าย],A149,Table16[สัปดาห์แจ้งซ่อม],"4"))</f>
        <v>-</v>
      </c>
      <c r="K149" s="421" t="str">
        <f>IF(COUNTIFS(Table16[ประเภท],K137,Table16[ฝ่าย],A149,Table16[สัปดาห์แจ้งซ่อม],"4")=0,"-",COUNTIFS(Table16[ประเภท],K137,Table16[ฝ่าย],A149,Table16[สัปดาห์แจ้งซ่อม],"4"))</f>
        <v>-</v>
      </c>
      <c r="L149" s="421" t="str">
        <f>IF(COUNTIFS(Table16[ประเภท],L137,Table16[ฝ่าย],A149,Table16[สัปดาห์แจ้งซ่อม],"4")=0,"-",COUNTIFS(Table16[ประเภท],L137,Table16[ฝ่าย],A149,Table16[สัปดาห์แจ้งซ่อม],"4"))</f>
        <v>-</v>
      </c>
      <c r="M149" s="421" t="str">
        <f>IF(COUNTIFS(Table16[ประเภท],M137,Table16[ฝ่าย],A149,Table16[สัปดาห์แจ้งซ่อม],"4")=0,"-",COUNTIFS(Table16[ประเภท],M137,Table16[ฝ่าย],A149,Table16[สัปดาห์แจ้งซ่อม],"4"))</f>
        <v>-</v>
      </c>
      <c r="N149" s="421" t="str">
        <f>IF(COUNTIFS(Table16[ประเภท],N137,Table16[ฝ่าย],A149,Table16[สัปดาห์แจ้งซ่อม],"4")=0,"-",COUNTIFS(Table16[ประเภท],N137,Table16[ฝ่าย],A149,Table16[สัปดาห์แจ้งซ่อม],"4"))</f>
        <v>-</v>
      </c>
      <c r="O149" s="416"/>
      <c r="P149" s="458" t="str">
        <f>IF(COUNTIFS(Table16[ประเภท],P137,Table16[ฝ่าย],A149,Table16[สัปดาห์แจ้งซ่อม],"4")=0,"-",COUNTIFS(Table16[ประเภท],P137,Table16[ฝ่าย],A149,Table16[สัปดาห์แจ้งซ่อม],"4"))</f>
        <v>-</v>
      </c>
    </row>
    <row r="150" spans="1:16" ht="15" thickBot="1">
      <c r="A150" s="176" t="s">
        <v>81</v>
      </c>
      <c r="B150" s="177">
        <f>COUNTIFS(Table16[ฝ่าย],A150,Table16[สัปดาห์แจ้งซ่อม],4)</f>
        <v>0</v>
      </c>
      <c r="C150" s="179" t="e">
        <f>B150/B152</f>
        <v>#DIV/0!</v>
      </c>
      <c r="D150" s="421" t="str">
        <f>IF(COUNTIFS(Table16[ประเภท],D137,Table16[ฝ่าย],A150,Table16[สัปดาห์แจ้งซ่อม],"4")=0,"-",COUNTIFS(Table16[ประเภท],D137,Table16[ฝ่าย],A147,Table16[สัปดาห์แจ้งซ่อม],"4"))</f>
        <v>-</v>
      </c>
      <c r="E150" s="421" t="str">
        <f>IF(COUNTIFS(Table16[ประเภท],E137,Table16[ฝ่าย],A150,Table16[สัปดาห์แจ้งซ่อม],"4")=0,"-",COUNTIFS(Table16[ประเภท],E137,Table16[ฝ่าย],A147,Table16[สัปดาห์แจ้งซ่อม],"4"))</f>
        <v>-</v>
      </c>
      <c r="F150" s="421" t="str">
        <f>IF(COUNTIFS(Table16[ประเภท],F137,Table16[ฝ่าย],A150,Table16[สัปดาห์แจ้งซ่อม],"4")=0,"-",COUNTIFS(Table16[ประเภท],F137,Table16[ฝ่าย],A150,Table16[สัปดาห์แจ้งซ่อม],"4"))</f>
        <v>-</v>
      </c>
      <c r="G150" s="421" t="str">
        <f>IF(COUNTIFS(Table16[ประเภท],G137,Table16[ฝ่าย],A150,Table16[สัปดาห์แจ้งซ่อม],"4")=0,"-",COUNTIFS(Table16[ประเภท],G137,Table16[ฝ่าย],A150,Table16[สัปดาห์แจ้งซ่อม],"4"))</f>
        <v>-</v>
      </c>
      <c r="H150" s="421" t="str">
        <f>IF(COUNTIFS(Table16[ประเภท],H137,Table16[ฝ่าย],A150,Table16[สัปดาห์แจ้งซ่อม],"4")=0,"-",COUNTIFS(Table16[ประเภท],H137,Table16[ฝ่าย],A150,Table16[สัปดาห์แจ้งซ่อม],"4"))</f>
        <v>-</v>
      </c>
      <c r="I150" s="421" t="str">
        <f>IF(COUNTIFS(Table16[ประเภท],I137,Table16[ฝ่าย],A150,Table16[สัปดาห์แจ้งซ่อม],"4")=0,"-",COUNTIFS(Table16[ประเภท],I137,Table16[ฝ่าย],A150,Table16[สัปดาห์แจ้งซ่อม],"4"))</f>
        <v>-</v>
      </c>
      <c r="J150" s="421" t="str">
        <f>IF(COUNTIFS(Table16[ประเภท],J137,Table16[ฝ่าย],A150,Table16[สัปดาห์แจ้งซ่อม],"4")=0,"-",COUNTIFS(Table16[ประเภท],J137,Table16[ฝ่าย],A150,Table16[สัปดาห์แจ้งซ่อม],"4"))</f>
        <v>-</v>
      </c>
      <c r="K150" s="421" t="str">
        <f>IF(COUNTIFS(Table16[ประเภท],K137,Table16[ฝ่าย],A150,Table16[สัปดาห์แจ้งซ่อม],"4")=0,"-",COUNTIFS(Table16[ประเภท],K137,Table16[ฝ่าย],A150,Table16[สัปดาห์แจ้งซ่อม],"4"))</f>
        <v>-</v>
      </c>
      <c r="L150" s="421" t="str">
        <f>IF(COUNTIFS(Table16[ประเภท],L137,Table16[ฝ่าย],A150,Table16[สัปดาห์แจ้งซ่อม],"4")=0,"-",COUNTIFS(Table16[ประเภท],L137,Table16[ฝ่าย],A150,Table16[สัปดาห์แจ้งซ่อม],"4"))</f>
        <v>-</v>
      </c>
      <c r="M150" s="421" t="str">
        <f>IF(COUNTIFS(Table16[ประเภท],M137,Table16[ฝ่าย],A150,Table16[สัปดาห์แจ้งซ่อม],"4")=0,"-",COUNTIFS(Table16[ประเภท],M137,Table16[ฝ่าย],A150,Table16[สัปดาห์แจ้งซ่อม],"4"))</f>
        <v>-</v>
      </c>
      <c r="N150" s="421" t="str">
        <f>IF(COUNTIFS(Table16[ประเภท],N137,Table16[ฝ่าย],A150,Table16[สัปดาห์แจ้งซ่อม],"4")=0,"-",COUNTIFS(Table16[ประเภท],N137,Table16[ฝ่าย],A150,Table16[สัปดาห์แจ้งซ่อม],"4"))</f>
        <v>-</v>
      </c>
      <c r="O150" s="416"/>
      <c r="P150" s="458" t="str">
        <f>IF(COUNTIFS(Table16[ประเภท],P137,Table16[ฝ่าย],A150,Table16[สัปดาห์แจ้งซ่อม],"4")=0,"-",COUNTIFS(Table16[ประเภท],P137,Table16[ฝ่าย],A150,Table16[สัปดาห์แจ้งซ่อม],"4"))</f>
        <v>-</v>
      </c>
    </row>
    <row r="151" spans="1:16" ht="15" thickBot="1">
      <c r="A151" s="176" t="s">
        <v>171</v>
      </c>
      <c r="B151" s="177">
        <f>COUNTIFS(Table16[ฝ่าย],A151,Table16[สัปดาห์แจ้งซ่อม],4)</f>
        <v>0</v>
      </c>
      <c r="C151" s="179" t="e">
        <f>B151/B152</f>
        <v>#DIV/0!</v>
      </c>
      <c r="D151" s="421" t="str">
        <f>IF(COUNTIFS(Table16[ประเภท],D137,Table16[ฝ่าย],A151,Table16[สัปดาห์แจ้งซ่อม],"4")=0,"-",COUNTIFS(Table16[ประเภท],D137,Table16[ฝ่าย],A151,Table16[สัปดาห์แจ้งซ่อม],"4"))</f>
        <v>-</v>
      </c>
      <c r="E151" s="421" t="str">
        <f>IF(COUNTIFS(Table16[ประเภท],E137,Table16[ฝ่าย],A151,Table16[สัปดาห์แจ้งซ่อม],"4")=0,"-",COUNTIFS(Table16[ประเภท],E137,Table16[ฝ่าย],A151,Table16[สัปดาห์แจ้งซ่อม],"4"))</f>
        <v>-</v>
      </c>
      <c r="F151" s="421" t="str">
        <f>IF(COUNTIFS(Table16[ประเภท],F137,Table16[ฝ่าย],A151,Table16[สัปดาห์แจ้งซ่อม],"4")=0,"-",COUNTIFS(Table16[ประเภท],F137,Table16[ฝ่าย],A151,Table16[สัปดาห์แจ้งซ่อม],"4"))</f>
        <v>-</v>
      </c>
      <c r="G151" s="421" t="str">
        <f>IF(COUNTIFS(Table16[ประเภท],G137,Table16[ฝ่าย],A151,Table16[สัปดาห์แจ้งซ่อม],"4")=0,"-",COUNTIFS(Table16[ประเภท],G137,Table16[ฝ่าย],A151,Table16[สัปดาห์แจ้งซ่อม],"4"))</f>
        <v>-</v>
      </c>
      <c r="H151" s="421" t="str">
        <f>IF(COUNTIFS(Table16[ประเภท],H137,Table16[ฝ่าย],A151,Table16[สัปดาห์แจ้งซ่อม],"4")=0,"-",COUNTIFS(Table16[ประเภท],H137,Table16[ฝ่าย],A151,Table16[สัปดาห์แจ้งซ่อม],"4"))</f>
        <v>-</v>
      </c>
      <c r="I151" s="421" t="str">
        <f>IF(COUNTIFS(Table16[ประเภท],I137,Table16[ฝ่าย],A151,Table16[สัปดาห์แจ้งซ่อม],"4")=0,"-",COUNTIFS(Table16[ประเภท],I137,Table16[ฝ่าย],A151,Table16[สัปดาห์แจ้งซ่อม],"4"))</f>
        <v>-</v>
      </c>
      <c r="J151" s="421" t="str">
        <f>IF(COUNTIFS(Table16[ประเภท],J137,Table16[ฝ่าย],A151,Table16[สัปดาห์แจ้งซ่อม],"4")=0,"-",COUNTIFS(Table16[ประเภท],J137,Table16[ฝ่าย],A151,Table16[สัปดาห์แจ้งซ่อม],"4"))</f>
        <v>-</v>
      </c>
      <c r="K151" s="421" t="str">
        <f>IF(COUNTIFS(Table16[ประเภท],K137,Table16[ฝ่าย],A151,Table16[สัปดาห์แจ้งซ่อม],"4")=0,"-",COUNTIFS(Table16[ประเภท],K137,Table16[ฝ่าย],A151,Table16[สัปดาห์แจ้งซ่อม],"4"))</f>
        <v>-</v>
      </c>
      <c r="L151" s="421" t="str">
        <f>IF(COUNTIFS(Table16[ประเภท],L137,Table16[ฝ่าย],A151,Table16[สัปดาห์แจ้งซ่อม],"4")=0,"-",COUNTIFS(Table16[ประเภท],L137,Table16[ฝ่าย],A151,Table16[สัปดาห์แจ้งซ่อม],"4"))</f>
        <v>-</v>
      </c>
      <c r="M151" s="421" t="str">
        <f>IF(COUNTIFS(Table16[ประเภท],M137,Table16[ฝ่าย],A151,Table16[สัปดาห์แจ้งซ่อม],"4")=0,"-",COUNTIFS(Table16[ประเภท],M137,Table16[ฝ่าย],A151,Table16[สัปดาห์แจ้งซ่อม],"4"))</f>
        <v>-</v>
      </c>
      <c r="N151" s="421" t="str">
        <f>IF(COUNTIFS(Table16[ประเภท],N137,Table16[ฝ่าย],A151,Table16[สัปดาห์แจ้งซ่อม],"4")=0,"-",COUNTIFS(Table16[ประเภท],N137,Table16[ฝ่าย],A151,Table16[สัปดาห์แจ้งซ่อม],"4"))</f>
        <v>-</v>
      </c>
      <c r="O151" s="416"/>
      <c r="P151" s="458" t="str">
        <f>IF(COUNTIFS(Table16[ประเภท],P137,Table16[ฝ่าย],A151,Table16[สัปดาห์แจ้งซ่อม],"4")=0,"-",COUNTIFS(Table16[ประเภท],P137,Table16[ฝ่าย],A151,Table16[สัปดาห์แจ้งซ่อม],"4"))</f>
        <v>-</v>
      </c>
    </row>
    <row r="152" spans="1:16" ht="15" thickBot="1">
      <c r="A152" s="180" t="s">
        <v>82</v>
      </c>
      <c r="B152" s="181">
        <f>SUM(B138:B151)</f>
        <v>0</v>
      </c>
      <c r="C152" s="182" t="e">
        <f t="shared" ref="C152" si="9">SUM(C138:C150)</f>
        <v>#DIV/0!</v>
      </c>
      <c r="D152" s="417">
        <f>SUM(D138:D151)</f>
        <v>0</v>
      </c>
      <c r="E152" s="417">
        <f t="shared" ref="E152:P152" si="10">SUM(E138:E151)</f>
        <v>0</v>
      </c>
      <c r="F152" s="417">
        <f t="shared" si="10"/>
        <v>0</v>
      </c>
      <c r="G152" s="417">
        <f t="shared" si="10"/>
        <v>0</v>
      </c>
      <c r="H152" s="417">
        <f t="shared" si="10"/>
        <v>0</v>
      </c>
      <c r="I152" s="417">
        <f t="shared" si="10"/>
        <v>0</v>
      </c>
      <c r="J152" s="417">
        <f t="shared" si="10"/>
        <v>0</v>
      </c>
      <c r="K152" s="417">
        <f t="shared" si="10"/>
        <v>0</v>
      </c>
      <c r="L152" s="417">
        <f t="shared" si="10"/>
        <v>0</v>
      </c>
      <c r="M152" s="417">
        <f t="shared" si="10"/>
        <v>0</v>
      </c>
      <c r="N152" s="417">
        <f t="shared" si="10"/>
        <v>0</v>
      </c>
      <c r="O152" s="417">
        <f t="shared" si="10"/>
        <v>0</v>
      </c>
      <c r="P152" s="417">
        <f t="shared" si="10"/>
        <v>0</v>
      </c>
    </row>
    <row r="153" spans="1:16" ht="15" thickBot="1">
      <c r="A153" s="183" t="s">
        <v>83</v>
      </c>
      <c r="B153" s="184">
        <f>COUNTIFS(Table16[สถานะ],"เรียบร้อย",Table16[สัปดาห์แจ้งซ่อม],4)</f>
        <v>0</v>
      </c>
      <c r="C153" s="185"/>
      <c r="D153" s="76"/>
      <c r="E153" s="76"/>
      <c r="F153" s="76"/>
      <c r="G153" s="76"/>
      <c r="H153" s="76"/>
      <c r="I153" s="76"/>
      <c r="J153" s="76"/>
      <c r="K153" s="76"/>
      <c r="L153" s="76"/>
    </row>
    <row r="154" spans="1:16" ht="15" thickBot="1">
      <c r="A154" s="186" t="s">
        <v>84</v>
      </c>
      <c r="B154" s="187">
        <f>COUNTIFS(Table16[สถานะ],"กำลังดำเนินการ",Table16[สัปดาห์แจ้งซ่อม],4)</f>
        <v>0</v>
      </c>
      <c r="C154" s="185"/>
      <c r="D154" s="76"/>
      <c r="E154" s="76"/>
      <c r="F154" s="76"/>
      <c r="G154" s="76"/>
      <c r="H154" s="76"/>
      <c r="I154" s="76"/>
      <c r="J154" s="76"/>
      <c r="K154" s="76"/>
      <c r="L154" s="76"/>
    </row>
    <row r="155" spans="1:16" ht="15" thickBot="1">
      <c r="A155" s="188" t="s">
        <v>3</v>
      </c>
      <c r="B155" s="189">
        <f>COUNTIFS(Table16[สถานะ],"รอดำเนินการ",Table16[สัปดาห์แจ้งซ่อม],4)</f>
        <v>0</v>
      </c>
      <c r="C155" s="185"/>
      <c r="D155" s="76"/>
      <c r="E155" s="76"/>
      <c r="F155" s="76"/>
      <c r="G155" s="76"/>
      <c r="H155" s="76"/>
      <c r="I155" s="76"/>
      <c r="J155" s="76"/>
      <c r="K155" s="76"/>
      <c r="L155" s="76"/>
    </row>
    <row r="156" spans="1:16" ht="16.2" thickBot="1">
      <c r="A156" s="190" t="s">
        <v>85</v>
      </c>
      <c r="B156" s="191">
        <f>COUNTIFS(Table16[สถานะ],"โอนย้าย",Table16[สัปดาห์แจ้งซ่อม],4)</f>
        <v>0</v>
      </c>
    </row>
    <row r="159" spans="1:16">
      <c r="A159" s="519"/>
      <c r="B159" s="519"/>
      <c r="C159" s="519"/>
      <c r="D159" s="519"/>
      <c r="E159" s="519"/>
      <c r="F159" s="519"/>
      <c r="G159" s="519"/>
      <c r="H159" s="519"/>
      <c r="I159" s="519"/>
      <c r="J159" s="519"/>
      <c r="K159" s="519"/>
      <c r="L159" s="519"/>
      <c r="M159" s="519"/>
      <c r="N159" s="519"/>
      <c r="O159" s="519"/>
      <c r="P159" s="519"/>
    </row>
    <row r="160" spans="1:16">
      <c r="A160" s="519"/>
      <c r="B160" s="519"/>
      <c r="C160" s="519"/>
      <c r="D160" s="519"/>
      <c r="E160" s="519"/>
      <c r="F160" s="519"/>
      <c r="G160" s="519"/>
      <c r="H160" s="519"/>
      <c r="I160" s="519"/>
      <c r="J160" s="519"/>
      <c r="K160" s="519"/>
      <c r="L160" s="519"/>
      <c r="M160" s="519"/>
      <c r="N160" s="519"/>
      <c r="O160" s="519"/>
      <c r="P160" s="519"/>
    </row>
    <row r="161" spans="1:16">
      <c r="A161" s="519"/>
      <c r="B161" s="519"/>
      <c r="C161" s="519"/>
      <c r="D161" s="519"/>
      <c r="E161" s="519"/>
      <c r="F161" s="519"/>
      <c r="G161" s="519"/>
      <c r="H161" s="519"/>
      <c r="I161" s="519"/>
      <c r="J161" s="519"/>
      <c r="K161" s="519"/>
      <c r="L161" s="519"/>
      <c r="M161" s="519"/>
      <c r="N161" s="519"/>
      <c r="O161" s="519"/>
      <c r="P161" s="519"/>
    </row>
  </sheetData>
  <mergeCells count="44">
    <mergeCell ref="B136:B137"/>
    <mergeCell ref="C136:C137"/>
    <mergeCell ref="D136:P136"/>
    <mergeCell ref="A135:P135"/>
    <mergeCell ref="A1:L1"/>
    <mergeCell ref="D2:L2"/>
    <mergeCell ref="A23:M23"/>
    <mergeCell ref="D24:M24"/>
    <mergeCell ref="A70:A71"/>
    <mergeCell ref="B70:B71"/>
    <mergeCell ref="C70:C71"/>
    <mergeCell ref="D70:P70"/>
    <mergeCell ref="A69:P69"/>
    <mergeCell ref="R48:R49"/>
    <mergeCell ref="R60:R61"/>
    <mergeCell ref="R47:AC47"/>
    <mergeCell ref="A2:A3"/>
    <mergeCell ref="A24:A25"/>
    <mergeCell ref="A48:A49"/>
    <mergeCell ref="B2:B3"/>
    <mergeCell ref="B24:B25"/>
    <mergeCell ref="B48:B49"/>
    <mergeCell ref="C2:C3"/>
    <mergeCell ref="C24:C25"/>
    <mergeCell ref="C48:C49"/>
    <mergeCell ref="P48:P49"/>
    <mergeCell ref="D48:O48"/>
    <mergeCell ref="A47:O47"/>
    <mergeCell ref="A159:P161"/>
    <mergeCell ref="P50:P59"/>
    <mergeCell ref="P60:P61"/>
    <mergeCell ref="Q48:Q49"/>
    <mergeCell ref="Q60:Q61"/>
    <mergeCell ref="A92:A93"/>
    <mergeCell ref="B92:B93"/>
    <mergeCell ref="C92:C93"/>
    <mergeCell ref="D92:P92"/>
    <mergeCell ref="A91:P91"/>
    <mergeCell ref="A114:A115"/>
    <mergeCell ref="B114:B115"/>
    <mergeCell ref="C114:C115"/>
    <mergeCell ref="D114:P114"/>
    <mergeCell ref="A113:P113"/>
    <mergeCell ref="A136:A137"/>
  </mergeCells>
  <conditionalFormatting sqref="B4:B1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{4F5FCAB5-EEAE-47F8-95AF-9C664E05E632}</x14:id>
        </ext>
      </extLst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{5DA1467C-44D3-4DE4-A584-999268B4D7E9}</x14:id>
        </ext>
      </extLst>
    </cfRule>
  </conditionalFormatting>
  <conditionalFormatting sqref="B26:B38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{507E6AC7-39E1-4052-94D3-398A17FC044D}</x14:id>
        </ext>
      </extLst>
    </cfRule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{D74A58EB-11B9-40ED-B288-AEFBEB3C06A9}</x14:id>
        </ext>
      </extLst>
    </cfRule>
  </conditionalFormatting>
  <conditionalFormatting sqref="B72:B8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{2C8D95E8-605D-4841-86A0-06163C928310}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{33E29BFE-8577-45CA-96F5-07EB0DCAF32B}</x14:id>
        </ext>
      </extLst>
    </cfRule>
  </conditionalFormatting>
  <conditionalFormatting sqref="B94:B10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{EA0ADF72-D7A0-4133-97B3-4B374FCF5A1F}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{18FC488B-98A5-4AA7-8F23-387612900354}</x14:id>
        </ext>
      </extLst>
    </cfRule>
  </conditionalFormatting>
  <conditionalFormatting sqref="B116:B12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{01EDA1BD-4FC3-4312-A275-DF2445648472}</x14:id>
        </ext>
      </extLst>
    </cfRule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{021BED99-B32D-4135-9E16-5E457F4B194E}</x14:id>
        </ext>
      </extLst>
    </cfRule>
  </conditionalFormatting>
  <conditionalFormatting sqref="B138:B15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{132D8168-B1C3-4D4F-BC03-B52A5A1DE899}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{A87B40C9-AAC7-42C5-AFEE-F68BB0B2084C}</x14:id>
        </ext>
      </extLst>
    </cfRule>
  </conditionalFormatting>
  <conditionalFormatting sqref="B50:B63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{03F89831-0E78-4281-8549-DE54D2FD49F8}</x14:id>
        </ext>
      </extLst>
    </cfRule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{4660F01A-0E8F-44AD-AAFE-9E4E3B970BBD}</x14:id>
        </ext>
      </extLst>
    </cfRule>
  </conditionalFormatting>
  <pageMargins left="0.7" right="0.7" top="0.75" bottom="0.75" header="0.3" footer="0.3"/>
  <pageSetup paperSize="9" scale="15" orientation="landscape" r:id="rId1"/>
  <ignoredErrors>
    <ignoredError sqref="C108 D51 M51 C130 B62 F64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5FCAB5-EEAE-47F8-95AF-9C664E05E6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DA1467C-44D3-4DE4-A584-999268B4D7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B4:B16</xm:sqref>
        </x14:conditionalFormatting>
        <x14:conditionalFormatting xmlns:xm="http://schemas.microsoft.com/office/excel/2006/main">
          <x14:cfRule type="dataBar" id="{507E6AC7-39E1-4052-94D3-398A17FC04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4A58EB-11B9-40ED-B288-AEFBEB3C0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B26:B38</xm:sqref>
        </x14:conditionalFormatting>
        <x14:conditionalFormatting xmlns:xm="http://schemas.microsoft.com/office/excel/2006/main">
          <x14:cfRule type="dataBar" id="{2C8D95E8-605D-4841-86A0-06163C9283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3E29BFE-8577-45CA-96F5-07EB0DCAF3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B72:B85</xm:sqref>
        </x14:conditionalFormatting>
        <x14:conditionalFormatting xmlns:xm="http://schemas.microsoft.com/office/excel/2006/main">
          <x14:cfRule type="dataBar" id="{EA0ADF72-D7A0-4133-97B3-4B374FCF5A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FC488B-98A5-4AA7-8F23-3876129003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B94:B107</xm:sqref>
        </x14:conditionalFormatting>
        <x14:conditionalFormatting xmlns:xm="http://schemas.microsoft.com/office/excel/2006/main">
          <x14:cfRule type="dataBar" id="{01EDA1BD-4FC3-4312-A275-DF24456484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21BED99-B32D-4135-9E16-5E457F4B19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B116:B129</xm:sqref>
        </x14:conditionalFormatting>
        <x14:conditionalFormatting xmlns:xm="http://schemas.microsoft.com/office/excel/2006/main">
          <x14:cfRule type="dataBar" id="{132D8168-B1C3-4D4F-BC03-B52A5A1DE8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87B40C9-AAC7-42C5-AFEE-F68BB0B208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B138:B151</xm:sqref>
        </x14:conditionalFormatting>
        <x14:conditionalFormatting xmlns:xm="http://schemas.microsoft.com/office/excel/2006/main">
          <x14:cfRule type="dataBar" id="{03F89831-0E78-4281-8549-DE54D2FD49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660F01A-0E8F-44AD-AAFE-9E4E3B970B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B50:B63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5" tint="0.59999389629810485"/>
  </sheetPr>
  <dimension ref="A1:S225"/>
  <sheetViews>
    <sheetView topLeftCell="A94" zoomScale="85" zoomScaleNormal="85" zoomScaleSheetLayoutView="85" workbookViewId="0">
      <selection activeCell="O29" sqref="O29:S34"/>
    </sheetView>
  </sheetViews>
  <sheetFormatPr defaultColWidth="9" defaultRowHeight="14.4"/>
  <cols>
    <col min="1" max="1" width="7.44140625" style="196" customWidth="1"/>
    <col min="2" max="2" width="18.6640625" style="196" customWidth="1"/>
    <col min="3" max="3" width="17.44140625" style="196" customWidth="1"/>
    <col min="4" max="4" width="9.77734375" style="196" customWidth="1"/>
    <col min="5" max="5" width="42.109375" style="196" customWidth="1"/>
    <col min="6" max="6" width="5.6640625" style="197" customWidth="1"/>
    <col min="7" max="7" width="14.44140625" style="196" customWidth="1"/>
    <col min="8" max="8" width="13.5546875" style="198" customWidth="1"/>
    <col min="9" max="9" width="33.6640625" style="196" customWidth="1"/>
    <col min="10" max="10" width="12.44140625" style="199" customWidth="1"/>
    <col min="11" max="11" width="14" style="198" customWidth="1"/>
    <col min="12" max="12" width="11.88671875" style="196" customWidth="1"/>
    <col min="13" max="13" width="20" style="196" customWidth="1"/>
    <col min="14" max="14" width="14.77734375" style="196" customWidth="1"/>
    <col min="15" max="15" width="9" style="196"/>
    <col min="16" max="16" width="12.44140625" style="196" customWidth="1"/>
    <col min="17" max="16384" width="9" style="196"/>
  </cols>
  <sheetData>
    <row r="1" spans="1:11" ht="30" customHeight="1">
      <c r="A1" s="508"/>
      <c r="B1" s="513" t="s">
        <v>455</v>
      </c>
      <c r="C1" s="514"/>
      <c r="D1" s="514"/>
      <c r="E1" s="514"/>
      <c r="F1" s="514"/>
      <c r="G1" s="514"/>
      <c r="H1" s="514"/>
      <c r="I1" s="514"/>
      <c r="J1" s="514"/>
      <c r="K1" s="515"/>
    </row>
    <row r="2" spans="1:11" ht="30" customHeight="1">
      <c r="A2" s="509"/>
      <c r="B2" s="516" t="s">
        <v>456</v>
      </c>
      <c r="C2" s="517"/>
      <c r="D2" s="517"/>
      <c r="E2" s="517"/>
      <c r="F2" s="517"/>
      <c r="G2" s="517"/>
      <c r="H2" s="517"/>
      <c r="I2" s="517"/>
      <c r="J2" s="517"/>
      <c r="K2" s="518"/>
    </row>
    <row r="3" spans="1:11">
      <c r="A3" s="200" t="s">
        <v>92</v>
      </c>
      <c r="B3" s="201" t="s">
        <v>457</v>
      </c>
      <c r="C3" s="201" t="s">
        <v>458</v>
      </c>
      <c r="D3" s="201" t="s">
        <v>459</v>
      </c>
      <c r="E3" s="202" t="s">
        <v>460</v>
      </c>
      <c r="F3" s="203" t="s">
        <v>97</v>
      </c>
      <c r="G3" s="203" t="s">
        <v>89</v>
      </c>
      <c r="H3" s="204" t="s">
        <v>461</v>
      </c>
      <c r="I3" s="202" t="s">
        <v>139</v>
      </c>
      <c r="J3" s="205" t="s">
        <v>462</v>
      </c>
      <c r="K3" s="206" t="s">
        <v>144</v>
      </c>
    </row>
    <row r="4" spans="1:11">
      <c r="A4" s="207">
        <v>1</v>
      </c>
      <c r="B4" s="208" t="s">
        <v>106</v>
      </c>
      <c r="C4" s="208" t="s">
        <v>69</v>
      </c>
      <c r="D4" s="209" t="s">
        <v>463</v>
      </c>
      <c r="E4" s="208" t="s">
        <v>464</v>
      </c>
      <c r="F4" s="210" t="s">
        <v>113</v>
      </c>
      <c r="G4" s="210" t="s">
        <v>60</v>
      </c>
      <c r="H4" s="211">
        <v>244456</v>
      </c>
      <c r="I4" s="208" t="s">
        <v>179</v>
      </c>
      <c r="J4" s="212" t="s">
        <v>83</v>
      </c>
      <c r="K4" s="213">
        <v>244456</v>
      </c>
    </row>
    <row r="5" spans="1:11">
      <c r="A5" s="207">
        <v>2</v>
      </c>
      <c r="B5" s="208" t="s">
        <v>102</v>
      </c>
      <c r="C5" s="208" t="s">
        <v>69</v>
      </c>
      <c r="D5" s="208" t="s">
        <v>465</v>
      </c>
      <c r="E5" s="208" t="s">
        <v>103</v>
      </c>
      <c r="F5" s="210">
        <v>9</v>
      </c>
      <c r="G5" s="210" t="s">
        <v>63</v>
      </c>
      <c r="H5" s="211">
        <v>244455</v>
      </c>
      <c r="I5" s="208" t="s">
        <v>466</v>
      </c>
      <c r="J5" s="214" t="s">
        <v>85</v>
      </c>
      <c r="K5" s="213"/>
    </row>
    <row r="6" spans="1:11">
      <c r="A6" s="207">
        <v>3</v>
      </c>
      <c r="B6" s="208" t="s">
        <v>102</v>
      </c>
      <c r="C6" s="208" t="s">
        <v>69</v>
      </c>
      <c r="D6" s="208" t="s">
        <v>465</v>
      </c>
      <c r="E6" s="208" t="s">
        <v>105</v>
      </c>
      <c r="F6" s="210">
        <v>6</v>
      </c>
      <c r="G6" s="210" t="s">
        <v>61</v>
      </c>
      <c r="H6" s="211">
        <v>244455</v>
      </c>
      <c r="I6" s="208" t="s">
        <v>281</v>
      </c>
      <c r="J6" s="214" t="s">
        <v>85</v>
      </c>
      <c r="K6" s="213"/>
    </row>
    <row r="7" spans="1:11">
      <c r="A7" s="207">
        <v>4</v>
      </c>
      <c r="B7" s="208" t="s">
        <v>106</v>
      </c>
      <c r="C7" s="208" t="s">
        <v>69</v>
      </c>
      <c r="D7" s="208" t="s">
        <v>465</v>
      </c>
      <c r="E7" s="208" t="s">
        <v>108</v>
      </c>
      <c r="F7" s="210" t="s">
        <v>439</v>
      </c>
      <c r="G7" s="210" t="s">
        <v>67</v>
      </c>
      <c r="H7" s="211">
        <v>244456</v>
      </c>
      <c r="I7" s="208" t="s">
        <v>107</v>
      </c>
      <c r="J7" s="214" t="s">
        <v>85</v>
      </c>
      <c r="K7" s="213"/>
    </row>
    <row r="8" spans="1:11">
      <c r="A8" s="207">
        <v>5</v>
      </c>
      <c r="B8" s="208" t="s">
        <v>467</v>
      </c>
      <c r="C8" s="208" t="s">
        <v>70</v>
      </c>
      <c r="D8" s="208" t="s">
        <v>463</v>
      </c>
      <c r="E8" s="208" t="s">
        <v>468</v>
      </c>
      <c r="F8" s="210">
        <v>8</v>
      </c>
      <c r="G8" s="210" t="s">
        <v>61</v>
      </c>
      <c r="H8" s="211">
        <v>244456</v>
      </c>
      <c r="I8" s="208" t="s">
        <v>179</v>
      </c>
      <c r="J8" s="212" t="s">
        <v>83</v>
      </c>
      <c r="K8" s="213">
        <v>244457</v>
      </c>
    </row>
    <row r="9" spans="1:11">
      <c r="A9" s="207">
        <v>6</v>
      </c>
      <c r="B9" s="208" t="s">
        <v>71</v>
      </c>
      <c r="C9" s="208" t="s">
        <v>71</v>
      </c>
      <c r="D9" s="208" t="s">
        <v>465</v>
      </c>
      <c r="E9" s="215" t="s">
        <v>469</v>
      </c>
      <c r="F9" s="210">
        <v>10</v>
      </c>
      <c r="G9" s="210" t="s">
        <v>61</v>
      </c>
      <c r="H9" s="211">
        <v>244457</v>
      </c>
      <c r="I9" s="208" t="s">
        <v>179</v>
      </c>
      <c r="J9" s="212" t="s">
        <v>83</v>
      </c>
      <c r="K9" s="213">
        <v>244457</v>
      </c>
    </row>
    <row r="10" spans="1:11">
      <c r="A10" s="207">
        <v>7</v>
      </c>
      <c r="B10" s="208" t="s">
        <v>110</v>
      </c>
      <c r="C10" s="208" t="s">
        <v>69</v>
      </c>
      <c r="D10" s="208" t="s">
        <v>463</v>
      </c>
      <c r="E10" s="208" t="s">
        <v>470</v>
      </c>
      <c r="F10" s="210">
        <v>12</v>
      </c>
      <c r="G10" s="210" t="s">
        <v>67</v>
      </c>
      <c r="H10" s="211">
        <v>244459</v>
      </c>
      <c r="I10" s="208" t="s">
        <v>471</v>
      </c>
      <c r="J10" s="214" t="s">
        <v>85</v>
      </c>
      <c r="K10" s="213"/>
    </row>
    <row r="11" spans="1:11">
      <c r="A11" s="207">
        <v>8</v>
      </c>
      <c r="B11" s="208" t="s">
        <v>110</v>
      </c>
      <c r="C11" s="208" t="s">
        <v>69</v>
      </c>
      <c r="D11" s="208" t="s">
        <v>463</v>
      </c>
      <c r="E11" s="208" t="s">
        <v>472</v>
      </c>
      <c r="F11" s="210">
        <v>12</v>
      </c>
      <c r="G11" s="210" t="s">
        <v>66</v>
      </c>
      <c r="H11" s="211">
        <v>244459</v>
      </c>
      <c r="I11" s="208" t="s">
        <v>473</v>
      </c>
      <c r="J11" s="214" t="s">
        <v>83</v>
      </c>
      <c r="K11" s="213"/>
    </row>
    <row r="12" spans="1:11">
      <c r="A12" s="207">
        <v>9</v>
      </c>
      <c r="B12" s="208" t="s">
        <v>474</v>
      </c>
      <c r="C12" s="208" t="s">
        <v>69</v>
      </c>
      <c r="D12" s="208" t="s">
        <v>475</v>
      </c>
      <c r="E12" s="208" t="s">
        <v>476</v>
      </c>
      <c r="F12" s="210">
        <v>15</v>
      </c>
      <c r="G12" s="210" t="s">
        <v>60</v>
      </c>
      <c r="H12" s="211">
        <v>244459</v>
      </c>
      <c r="I12" s="208" t="s">
        <v>477</v>
      </c>
      <c r="J12" s="212" t="s">
        <v>83</v>
      </c>
      <c r="K12" s="213">
        <v>244460</v>
      </c>
    </row>
    <row r="13" spans="1:11">
      <c r="A13" s="207">
        <v>10</v>
      </c>
      <c r="B13" s="208" t="s">
        <v>478</v>
      </c>
      <c r="C13" s="208" t="s">
        <v>69</v>
      </c>
      <c r="D13" s="208" t="s">
        <v>465</v>
      </c>
      <c r="E13" s="208" t="s">
        <v>479</v>
      </c>
      <c r="F13" s="210" t="s">
        <v>113</v>
      </c>
      <c r="G13" s="210" t="s">
        <v>66</v>
      </c>
      <c r="H13" s="211">
        <v>244460</v>
      </c>
      <c r="I13" s="208" t="s">
        <v>480</v>
      </c>
      <c r="J13" s="212" t="s">
        <v>83</v>
      </c>
      <c r="K13" s="213">
        <v>244460</v>
      </c>
    </row>
    <row r="14" spans="1:11">
      <c r="A14" s="207">
        <v>11</v>
      </c>
      <c r="B14" s="208" t="s">
        <v>478</v>
      </c>
      <c r="C14" s="208" t="s">
        <v>69</v>
      </c>
      <c r="D14" s="208" t="s">
        <v>465</v>
      </c>
      <c r="E14" s="208" t="s">
        <v>481</v>
      </c>
      <c r="F14" s="210" t="s">
        <v>113</v>
      </c>
      <c r="G14" s="210" t="s">
        <v>60</v>
      </c>
      <c r="H14" s="211">
        <v>244460</v>
      </c>
      <c r="I14" s="208" t="s">
        <v>482</v>
      </c>
      <c r="J14" s="212" t="s">
        <v>83</v>
      </c>
      <c r="K14" s="213">
        <v>244460</v>
      </c>
    </row>
    <row r="15" spans="1:11">
      <c r="A15" s="207">
        <v>12</v>
      </c>
      <c r="B15" s="208" t="s">
        <v>478</v>
      </c>
      <c r="C15" s="208" t="s">
        <v>69</v>
      </c>
      <c r="D15" s="208" t="s">
        <v>465</v>
      </c>
      <c r="E15" s="208" t="s">
        <v>483</v>
      </c>
      <c r="F15" s="210">
        <v>4</v>
      </c>
      <c r="G15" s="210" t="s">
        <v>63</v>
      </c>
      <c r="H15" s="211">
        <v>244460</v>
      </c>
      <c r="I15" s="208" t="s">
        <v>484</v>
      </c>
      <c r="J15" s="212" t="s">
        <v>83</v>
      </c>
      <c r="K15" s="213">
        <v>244460</v>
      </c>
    </row>
    <row r="16" spans="1:11">
      <c r="A16" s="207">
        <v>13</v>
      </c>
      <c r="B16" s="208" t="s">
        <v>112</v>
      </c>
      <c r="C16" s="208" t="s">
        <v>69</v>
      </c>
      <c r="D16" s="208" t="s">
        <v>463</v>
      </c>
      <c r="E16" s="208" t="s">
        <v>114</v>
      </c>
      <c r="F16" s="210" t="s">
        <v>113</v>
      </c>
      <c r="G16" s="210" t="s">
        <v>67</v>
      </c>
      <c r="H16" s="211">
        <v>244460</v>
      </c>
      <c r="I16" s="208" t="s">
        <v>485</v>
      </c>
      <c r="J16" s="214" t="s">
        <v>85</v>
      </c>
      <c r="K16" s="213"/>
    </row>
    <row r="17" spans="1:19">
      <c r="A17" s="207">
        <v>14</v>
      </c>
      <c r="B17" s="208" t="s">
        <v>486</v>
      </c>
      <c r="C17" s="208" t="s">
        <v>69</v>
      </c>
      <c r="D17" s="208" t="s">
        <v>463</v>
      </c>
      <c r="E17" s="208" t="s">
        <v>487</v>
      </c>
      <c r="F17" s="210" t="s">
        <v>113</v>
      </c>
      <c r="G17" s="210" t="s">
        <v>67</v>
      </c>
      <c r="H17" s="211">
        <v>244464</v>
      </c>
      <c r="I17" s="208" t="s">
        <v>488</v>
      </c>
      <c r="J17" s="214" t="s">
        <v>83</v>
      </c>
      <c r="K17" s="213"/>
    </row>
    <row r="18" spans="1:19">
      <c r="A18" s="207">
        <v>15</v>
      </c>
      <c r="B18" s="208" t="s">
        <v>489</v>
      </c>
      <c r="C18" s="208" t="s">
        <v>69</v>
      </c>
      <c r="D18" s="208" t="s">
        <v>465</v>
      </c>
      <c r="E18" s="208" t="s">
        <v>490</v>
      </c>
      <c r="F18" s="210">
        <v>8</v>
      </c>
      <c r="G18" s="210" t="s">
        <v>64</v>
      </c>
      <c r="H18" s="211">
        <v>244455</v>
      </c>
      <c r="I18" s="208" t="s">
        <v>229</v>
      </c>
      <c r="J18" s="212" t="s">
        <v>83</v>
      </c>
      <c r="K18" s="213">
        <v>244465</v>
      </c>
    </row>
    <row r="19" spans="1:19">
      <c r="A19" s="216">
        <v>16</v>
      </c>
      <c r="B19" s="217" t="s">
        <v>71</v>
      </c>
      <c r="C19" s="208" t="s">
        <v>71</v>
      </c>
      <c r="D19" s="217" t="s">
        <v>465</v>
      </c>
      <c r="E19" s="217" t="s">
        <v>491</v>
      </c>
      <c r="F19" s="210" t="s">
        <v>113</v>
      </c>
      <c r="G19" s="210" t="s">
        <v>60</v>
      </c>
      <c r="H19" s="218">
        <v>244466</v>
      </c>
      <c r="I19" s="217" t="s">
        <v>229</v>
      </c>
      <c r="J19" s="212" t="s">
        <v>83</v>
      </c>
      <c r="K19" s="219">
        <v>244467</v>
      </c>
    </row>
    <row r="20" spans="1:19">
      <c r="A20" s="216">
        <v>17</v>
      </c>
      <c r="B20" s="217" t="s">
        <v>115</v>
      </c>
      <c r="C20" s="208" t="s">
        <v>69</v>
      </c>
      <c r="D20" s="217" t="s">
        <v>463</v>
      </c>
      <c r="E20" s="217" t="s">
        <v>116</v>
      </c>
      <c r="F20" s="210">
        <v>4</v>
      </c>
      <c r="G20" s="210" t="s">
        <v>67</v>
      </c>
      <c r="H20" s="218">
        <v>244467</v>
      </c>
      <c r="I20" s="217" t="s">
        <v>492</v>
      </c>
      <c r="J20" s="214" t="s">
        <v>83</v>
      </c>
      <c r="K20" s="219">
        <v>244473</v>
      </c>
    </row>
    <row r="21" spans="1:19">
      <c r="A21" s="216">
        <v>18</v>
      </c>
      <c r="B21" s="217" t="s">
        <v>117</v>
      </c>
      <c r="C21" s="208" t="s">
        <v>69</v>
      </c>
      <c r="D21" s="217" t="s">
        <v>465</v>
      </c>
      <c r="E21" s="217" t="s">
        <v>493</v>
      </c>
      <c r="F21" s="210">
        <v>2</v>
      </c>
      <c r="G21" s="210" t="s">
        <v>67</v>
      </c>
      <c r="H21" s="218">
        <v>244468</v>
      </c>
      <c r="I21" s="217" t="s">
        <v>494</v>
      </c>
      <c r="J21" s="214" t="s">
        <v>83</v>
      </c>
      <c r="K21" s="219"/>
    </row>
    <row r="22" spans="1:19">
      <c r="A22" s="216">
        <v>19</v>
      </c>
      <c r="B22" s="217" t="s">
        <v>495</v>
      </c>
      <c r="C22" s="208" t="s">
        <v>69</v>
      </c>
      <c r="D22" s="217" t="s">
        <v>463</v>
      </c>
      <c r="E22" s="217" t="s">
        <v>496</v>
      </c>
      <c r="F22" s="210" t="s">
        <v>113</v>
      </c>
      <c r="G22" s="210" t="s">
        <v>67</v>
      </c>
      <c r="H22" s="218">
        <v>244465</v>
      </c>
      <c r="I22" s="217" t="s">
        <v>497</v>
      </c>
      <c r="J22" s="214" t="s">
        <v>83</v>
      </c>
      <c r="K22" s="219"/>
    </row>
    <row r="23" spans="1:19">
      <c r="A23" s="216">
        <v>20</v>
      </c>
      <c r="B23" s="217" t="s">
        <v>498</v>
      </c>
      <c r="C23" s="208" t="s">
        <v>70</v>
      </c>
      <c r="D23" s="217" t="s">
        <v>463</v>
      </c>
      <c r="E23" s="217" t="s">
        <v>499</v>
      </c>
      <c r="F23" s="210">
        <v>10</v>
      </c>
      <c r="G23" s="210" t="s">
        <v>67</v>
      </c>
      <c r="H23" s="218">
        <v>244464</v>
      </c>
      <c r="I23" s="217" t="s">
        <v>500</v>
      </c>
      <c r="J23" s="212" t="s">
        <v>83</v>
      </c>
      <c r="K23" s="219">
        <v>244466</v>
      </c>
    </row>
    <row r="24" spans="1:19">
      <c r="A24" s="216">
        <v>21</v>
      </c>
      <c r="B24" s="217" t="s">
        <v>71</v>
      </c>
      <c r="C24" s="208" t="s">
        <v>71</v>
      </c>
      <c r="D24" s="217" t="s">
        <v>465</v>
      </c>
      <c r="E24" s="217" t="s">
        <v>501</v>
      </c>
      <c r="F24" s="210" t="s">
        <v>113</v>
      </c>
      <c r="G24" s="210" t="s">
        <v>67</v>
      </c>
      <c r="H24" s="218">
        <v>244466</v>
      </c>
      <c r="I24" s="217" t="s">
        <v>502</v>
      </c>
      <c r="J24" s="212" t="s">
        <v>83</v>
      </c>
      <c r="K24" s="219">
        <v>244466</v>
      </c>
    </row>
    <row r="25" spans="1:19">
      <c r="A25" s="220">
        <v>22</v>
      </c>
      <c r="B25" s="221" t="s">
        <v>117</v>
      </c>
      <c r="C25" s="222" t="s">
        <v>69</v>
      </c>
      <c r="D25" s="221" t="s">
        <v>463</v>
      </c>
      <c r="E25" s="221" t="s">
        <v>503</v>
      </c>
      <c r="F25" s="223">
        <v>5</v>
      </c>
      <c r="G25" s="223" t="s">
        <v>67</v>
      </c>
      <c r="H25" s="224">
        <v>244466</v>
      </c>
      <c r="I25" s="221" t="s">
        <v>118</v>
      </c>
      <c r="J25" s="214" t="s">
        <v>85</v>
      </c>
      <c r="K25" s="225"/>
    </row>
    <row r="26" spans="1:19" ht="30" customHeight="1">
      <c r="A26" s="508"/>
      <c r="B26" s="510" t="s">
        <v>455</v>
      </c>
      <c r="C26" s="511"/>
      <c r="D26" s="511"/>
      <c r="E26" s="511"/>
      <c r="F26" s="511"/>
      <c r="G26" s="511"/>
      <c r="H26" s="511"/>
      <c r="I26" s="511"/>
      <c r="J26" s="511"/>
      <c r="K26" s="511"/>
      <c r="L26" s="511"/>
      <c r="M26" s="226"/>
    </row>
    <row r="27" spans="1:19" ht="30" customHeight="1">
      <c r="A27" s="509"/>
      <c r="B27" s="510" t="s">
        <v>504</v>
      </c>
      <c r="C27" s="511"/>
      <c r="D27" s="511"/>
      <c r="E27" s="511"/>
      <c r="F27" s="511"/>
      <c r="G27" s="511"/>
      <c r="H27" s="511"/>
      <c r="I27" s="511"/>
      <c r="J27" s="511"/>
      <c r="K27" s="511"/>
      <c r="L27" s="511"/>
      <c r="M27" s="226"/>
    </row>
    <row r="28" spans="1:19" s="195" customFormat="1" ht="25.05" customHeight="1">
      <c r="A28" s="227" t="s">
        <v>92</v>
      </c>
      <c r="B28" s="228" t="s">
        <v>505</v>
      </c>
      <c r="C28" s="228" t="s">
        <v>96</v>
      </c>
      <c r="D28" s="228" t="s">
        <v>459</v>
      </c>
      <c r="E28" s="203" t="s">
        <v>460</v>
      </c>
      <c r="F28" s="203" t="s">
        <v>97</v>
      </c>
      <c r="G28" s="203" t="s">
        <v>89</v>
      </c>
      <c r="H28" s="229" t="s">
        <v>461</v>
      </c>
      <c r="I28" s="203" t="s">
        <v>139</v>
      </c>
      <c r="J28" s="230" t="s">
        <v>462</v>
      </c>
      <c r="K28" s="229" t="s">
        <v>144</v>
      </c>
      <c r="L28" s="231" t="s">
        <v>42</v>
      </c>
      <c r="M28" s="232"/>
    </row>
    <row r="29" spans="1:19">
      <c r="A29" s="207">
        <v>1</v>
      </c>
      <c r="B29" s="208" t="s">
        <v>119</v>
      </c>
      <c r="C29" s="208" t="s">
        <v>69</v>
      </c>
      <c r="D29" s="209" t="s">
        <v>463</v>
      </c>
      <c r="E29" s="208" t="s">
        <v>120</v>
      </c>
      <c r="F29" s="210" t="s">
        <v>113</v>
      </c>
      <c r="G29" s="210" t="s">
        <v>62</v>
      </c>
      <c r="H29" s="233">
        <v>244470</v>
      </c>
      <c r="I29" s="208"/>
      <c r="J29" s="214" t="s">
        <v>85</v>
      </c>
      <c r="K29" s="233"/>
      <c r="L29" s="234"/>
      <c r="M29" s="235"/>
      <c r="O29" s="512"/>
      <c r="P29" s="512"/>
      <c r="Q29" s="512"/>
      <c r="R29" s="512"/>
      <c r="S29" s="512"/>
    </row>
    <row r="30" spans="1:19">
      <c r="A30" s="207">
        <v>2</v>
      </c>
      <c r="B30" s="208" t="s">
        <v>119</v>
      </c>
      <c r="C30" s="208" t="s">
        <v>69</v>
      </c>
      <c r="D30" s="209" t="s">
        <v>463</v>
      </c>
      <c r="E30" s="208" t="s">
        <v>506</v>
      </c>
      <c r="F30" s="210" t="s">
        <v>113</v>
      </c>
      <c r="G30" s="210" t="s">
        <v>67</v>
      </c>
      <c r="H30" s="233">
        <v>244470</v>
      </c>
      <c r="I30" s="208"/>
      <c r="J30" s="212" t="s">
        <v>83</v>
      </c>
      <c r="K30" s="233"/>
      <c r="L30" s="234">
        <v>3</v>
      </c>
      <c r="M30" s="235"/>
      <c r="Q30" s="236"/>
    </row>
    <row r="31" spans="1:19">
      <c r="A31" s="207">
        <v>3</v>
      </c>
      <c r="B31" s="208" t="s">
        <v>117</v>
      </c>
      <c r="C31" s="208" t="s">
        <v>69</v>
      </c>
      <c r="D31" s="209" t="s">
        <v>463</v>
      </c>
      <c r="E31" s="208" t="s">
        <v>121</v>
      </c>
      <c r="F31" s="210">
        <v>3</v>
      </c>
      <c r="G31" s="210" t="s">
        <v>60</v>
      </c>
      <c r="H31" s="233">
        <v>244473</v>
      </c>
      <c r="I31" s="208"/>
      <c r="J31" s="214" t="s">
        <v>85</v>
      </c>
      <c r="K31" s="233"/>
      <c r="L31" s="234"/>
      <c r="M31" s="235"/>
      <c r="Q31" s="237"/>
      <c r="R31" s="237"/>
    </row>
    <row r="32" spans="1:19">
      <c r="A32" s="207">
        <v>4</v>
      </c>
      <c r="B32" s="208" t="s">
        <v>117</v>
      </c>
      <c r="C32" s="208" t="s">
        <v>69</v>
      </c>
      <c r="D32" s="209" t="s">
        <v>463</v>
      </c>
      <c r="E32" s="208" t="s">
        <v>507</v>
      </c>
      <c r="F32" s="210">
        <v>5</v>
      </c>
      <c r="G32" s="210" t="s">
        <v>60</v>
      </c>
      <c r="H32" s="233">
        <v>244475</v>
      </c>
      <c r="I32" s="208"/>
      <c r="J32" s="212" t="s">
        <v>83</v>
      </c>
      <c r="K32" s="233">
        <v>244492</v>
      </c>
      <c r="L32" s="234">
        <v>4</v>
      </c>
      <c r="M32" s="235"/>
      <c r="Q32" s="237"/>
      <c r="R32" s="237"/>
    </row>
    <row r="33" spans="1:18">
      <c r="A33" s="207">
        <v>5</v>
      </c>
      <c r="B33" s="208" t="s">
        <v>508</v>
      </c>
      <c r="C33" s="208" t="s">
        <v>69</v>
      </c>
      <c r="D33" s="209" t="s">
        <v>463</v>
      </c>
      <c r="E33" s="208" t="s">
        <v>509</v>
      </c>
      <c r="F33" s="210" t="s">
        <v>113</v>
      </c>
      <c r="G33" s="210" t="s">
        <v>67</v>
      </c>
      <c r="H33" s="233">
        <v>244475</v>
      </c>
      <c r="I33" s="208"/>
      <c r="J33" s="212" t="s">
        <v>83</v>
      </c>
      <c r="K33" s="233">
        <v>244476</v>
      </c>
      <c r="L33" s="234">
        <v>1</v>
      </c>
      <c r="M33" s="235"/>
      <c r="Q33" s="237"/>
      <c r="R33" s="237"/>
    </row>
    <row r="34" spans="1:18">
      <c r="A34" s="207">
        <v>6</v>
      </c>
      <c r="B34" s="208" t="s">
        <v>117</v>
      </c>
      <c r="C34" s="208" t="s">
        <v>69</v>
      </c>
      <c r="D34" s="209" t="s">
        <v>463</v>
      </c>
      <c r="E34" s="208" t="s">
        <v>510</v>
      </c>
      <c r="F34" s="210">
        <v>11</v>
      </c>
      <c r="G34" s="210" t="s">
        <v>61</v>
      </c>
      <c r="H34" s="233">
        <v>244475</v>
      </c>
      <c r="I34" s="208" t="s">
        <v>293</v>
      </c>
      <c r="J34" s="212" t="s">
        <v>83</v>
      </c>
      <c r="K34" s="233">
        <v>244476</v>
      </c>
      <c r="L34" s="234">
        <v>1</v>
      </c>
      <c r="M34" s="235"/>
      <c r="P34" s="236"/>
      <c r="Q34" s="237"/>
      <c r="R34" s="237"/>
    </row>
    <row r="35" spans="1:18">
      <c r="A35" s="207">
        <v>7</v>
      </c>
      <c r="B35" s="208" t="s">
        <v>511</v>
      </c>
      <c r="C35" s="208" t="s">
        <v>69</v>
      </c>
      <c r="D35" s="209" t="s">
        <v>463</v>
      </c>
      <c r="E35" s="208" t="s">
        <v>512</v>
      </c>
      <c r="F35" s="210" t="s">
        <v>113</v>
      </c>
      <c r="G35" s="210" t="s">
        <v>67</v>
      </c>
      <c r="H35" s="233">
        <v>244476</v>
      </c>
      <c r="I35" s="208"/>
      <c r="J35" s="212" t="s">
        <v>83</v>
      </c>
      <c r="K35" s="233">
        <v>244476</v>
      </c>
      <c r="L35" s="234">
        <v>1</v>
      </c>
      <c r="M35" s="235"/>
      <c r="O35" s="236"/>
      <c r="P35" s="237"/>
    </row>
    <row r="36" spans="1:18">
      <c r="A36" s="207">
        <v>8</v>
      </c>
      <c r="B36" s="217" t="s">
        <v>495</v>
      </c>
      <c r="C36" s="208" t="s">
        <v>69</v>
      </c>
      <c r="D36" s="209" t="s">
        <v>463</v>
      </c>
      <c r="E36" s="217" t="s">
        <v>496</v>
      </c>
      <c r="F36" s="210" t="s">
        <v>113</v>
      </c>
      <c r="G36" s="210" t="s">
        <v>67</v>
      </c>
      <c r="H36" s="238">
        <v>244465</v>
      </c>
      <c r="I36" s="217" t="s">
        <v>497</v>
      </c>
      <c r="J36" s="212" t="s">
        <v>83</v>
      </c>
      <c r="K36" s="233">
        <v>244477</v>
      </c>
      <c r="L36" s="234">
        <v>2</v>
      </c>
      <c r="M36" s="235"/>
    </row>
    <row r="37" spans="1:18">
      <c r="A37" s="207">
        <v>9</v>
      </c>
      <c r="B37" s="208" t="s">
        <v>117</v>
      </c>
      <c r="C37" s="208" t="s">
        <v>69</v>
      </c>
      <c r="D37" s="209" t="s">
        <v>463</v>
      </c>
      <c r="E37" s="208" t="s">
        <v>122</v>
      </c>
      <c r="F37" s="210">
        <v>5</v>
      </c>
      <c r="G37" s="210" t="s">
        <v>63</v>
      </c>
      <c r="H37" s="233">
        <v>244479</v>
      </c>
      <c r="I37" s="208" t="s">
        <v>325</v>
      </c>
      <c r="J37" s="214" t="s">
        <v>85</v>
      </c>
      <c r="K37" s="233"/>
      <c r="L37" s="234"/>
      <c r="M37" s="235"/>
    </row>
    <row r="38" spans="1:18">
      <c r="A38" s="207">
        <v>10</v>
      </c>
      <c r="B38" s="208" t="s">
        <v>117</v>
      </c>
      <c r="C38" s="208" t="s">
        <v>69</v>
      </c>
      <c r="D38" s="209" t="s">
        <v>463</v>
      </c>
      <c r="E38" s="208" t="s">
        <v>124</v>
      </c>
      <c r="F38" s="210">
        <v>14</v>
      </c>
      <c r="G38" s="210" t="s">
        <v>67</v>
      </c>
      <c r="H38" s="233">
        <v>244479</v>
      </c>
      <c r="I38" s="208" t="s">
        <v>513</v>
      </c>
      <c r="J38" s="214" t="s">
        <v>83</v>
      </c>
      <c r="K38" s="233">
        <v>244473</v>
      </c>
      <c r="L38" s="234">
        <v>2</v>
      </c>
      <c r="M38" s="235"/>
    </row>
    <row r="39" spans="1:18">
      <c r="A39" s="207">
        <v>11</v>
      </c>
      <c r="B39" s="239" t="s">
        <v>514</v>
      </c>
      <c r="C39" s="208" t="s">
        <v>71</v>
      </c>
      <c r="D39" s="209" t="s">
        <v>465</v>
      </c>
      <c r="E39" s="239" t="s">
        <v>515</v>
      </c>
      <c r="F39" s="210">
        <v>12</v>
      </c>
      <c r="G39" s="210" t="s">
        <v>65</v>
      </c>
      <c r="H39" s="240">
        <v>244475</v>
      </c>
      <c r="I39" s="239"/>
      <c r="J39" s="214" t="s">
        <v>83</v>
      </c>
      <c r="K39" s="240" t="s">
        <v>439</v>
      </c>
      <c r="L39" s="234">
        <v>2</v>
      </c>
      <c r="M39" s="235"/>
    </row>
    <row r="40" spans="1:18">
      <c r="A40" s="207">
        <v>12</v>
      </c>
      <c r="B40" s="239" t="s">
        <v>514</v>
      </c>
      <c r="C40" s="208" t="s">
        <v>71</v>
      </c>
      <c r="D40" s="209" t="s">
        <v>465</v>
      </c>
      <c r="E40" s="239" t="s">
        <v>510</v>
      </c>
      <c r="F40" s="210">
        <v>12</v>
      </c>
      <c r="G40" s="210" t="s">
        <v>61</v>
      </c>
      <c r="H40" s="240">
        <v>244477</v>
      </c>
      <c r="I40" s="239" t="s">
        <v>293</v>
      </c>
      <c r="J40" s="241" t="s">
        <v>83</v>
      </c>
      <c r="K40" s="240">
        <v>244477</v>
      </c>
      <c r="L40" s="234">
        <v>2</v>
      </c>
      <c r="M40" s="235"/>
    </row>
    <row r="41" spans="1:18">
      <c r="A41" s="207">
        <v>13</v>
      </c>
      <c r="B41" s="242" t="s">
        <v>117</v>
      </c>
      <c r="C41" s="208" t="s">
        <v>69</v>
      </c>
      <c r="D41" s="209" t="s">
        <v>463</v>
      </c>
      <c r="E41" s="242" t="s">
        <v>516</v>
      </c>
      <c r="F41" s="210">
        <v>15</v>
      </c>
      <c r="G41" s="210" t="s">
        <v>67</v>
      </c>
      <c r="H41" s="243">
        <v>244480</v>
      </c>
      <c r="I41" s="242"/>
      <c r="J41" s="241" t="s">
        <v>83</v>
      </c>
      <c r="K41" s="243">
        <v>244480</v>
      </c>
      <c r="L41" s="234">
        <v>2</v>
      </c>
      <c r="M41" s="235"/>
    </row>
    <row r="42" spans="1:18">
      <c r="A42" s="207">
        <v>14</v>
      </c>
      <c r="B42" s="242" t="s">
        <v>517</v>
      </c>
      <c r="C42" s="208" t="s">
        <v>69</v>
      </c>
      <c r="D42" s="209" t="s">
        <v>463</v>
      </c>
      <c r="E42" s="242" t="s">
        <v>518</v>
      </c>
      <c r="F42" s="210" t="s">
        <v>113</v>
      </c>
      <c r="G42" s="210" t="s">
        <v>60</v>
      </c>
      <c r="H42" s="243">
        <v>244480</v>
      </c>
      <c r="I42" s="242"/>
      <c r="J42" s="241" t="s">
        <v>83</v>
      </c>
      <c r="K42" s="243">
        <v>244480</v>
      </c>
      <c r="L42" s="234">
        <v>2</v>
      </c>
      <c r="M42" s="235"/>
    </row>
    <row r="43" spans="1:18">
      <c r="A43" s="207">
        <v>15</v>
      </c>
      <c r="B43" s="242" t="s">
        <v>128</v>
      </c>
      <c r="C43" s="208" t="s">
        <v>69</v>
      </c>
      <c r="D43" s="209" t="s">
        <v>463</v>
      </c>
      <c r="E43" s="242" t="s">
        <v>519</v>
      </c>
      <c r="F43" s="210">
        <v>2</v>
      </c>
      <c r="G43" s="210" t="s">
        <v>60</v>
      </c>
      <c r="H43" s="243">
        <v>244481</v>
      </c>
      <c r="I43" s="242"/>
      <c r="J43" s="241" t="s">
        <v>83</v>
      </c>
      <c r="K43" s="243">
        <v>244481</v>
      </c>
      <c r="L43" s="234">
        <v>2</v>
      </c>
      <c r="M43" s="235"/>
    </row>
    <row r="44" spans="1:18">
      <c r="A44" s="207">
        <v>16</v>
      </c>
      <c r="B44" s="242" t="s">
        <v>520</v>
      </c>
      <c r="C44" s="208" t="s">
        <v>69</v>
      </c>
      <c r="D44" s="209" t="s">
        <v>463</v>
      </c>
      <c r="E44" s="242" t="s">
        <v>521</v>
      </c>
      <c r="F44" s="210">
        <v>11</v>
      </c>
      <c r="G44" s="210" t="s">
        <v>67</v>
      </c>
      <c r="H44" s="243">
        <v>244481</v>
      </c>
      <c r="I44" s="242"/>
      <c r="J44" s="241" t="s">
        <v>83</v>
      </c>
      <c r="K44" s="243">
        <v>244481</v>
      </c>
      <c r="L44" s="234">
        <v>2</v>
      </c>
      <c r="M44" s="235"/>
    </row>
    <row r="45" spans="1:18">
      <c r="A45" s="207">
        <v>17</v>
      </c>
      <c r="B45" s="242" t="s">
        <v>522</v>
      </c>
      <c r="C45" s="208" t="s">
        <v>69</v>
      </c>
      <c r="D45" s="209" t="s">
        <v>463</v>
      </c>
      <c r="E45" s="242" t="s">
        <v>523</v>
      </c>
      <c r="F45" s="210">
        <v>3</v>
      </c>
      <c r="G45" s="210" t="s">
        <v>60</v>
      </c>
      <c r="H45" s="243">
        <v>244481</v>
      </c>
      <c r="I45" s="242"/>
      <c r="J45" s="241" t="s">
        <v>83</v>
      </c>
      <c r="K45" s="243">
        <v>244481</v>
      </c>
      <c r="L45" s="234">
        <v>2</v>
      </c>
      <c r="M45" s="235"/>
    </row>
    <row r="46" spans="1:18">
      <c r="A46" s="207">
        <v>18</v>
      </c>
      <c r="B46" s="242" t="s">
        <v>70</v>
      </c>
      <c r="C46" s="208" t="s">
        <v>70</v>
      </c>
      <c r="D46" s="209" t="s">
        <v>524</v>
      </c>
      <c r="E46" s="242" t="s">
        <v>525</v>
      </c>
      <c r="F46" s="210">
        <v>12</v>
      </c>
      <c r="G46" s="210" t="s">
        <v>60</v>
      </c>
      <c r="H46" s="243">
        <v>244482</v>
      </c>
      <c r="I46" s="242"/>
      <c r="J46" s="241" t="s">
        <v>83</v>
      </c>
      <c r="K46" s="243">
        <v>244482</v>
      </c>
      <c r="L46" s="234">
        <v>2</v>
      </c>
      <c r="M46" s="235"/>
    </row>
    <row r="47" spans="1:18">
      <c r="A47" s="207">
        <v>19</v>
      </c>
      <c r="B47" s="242" t="s">
        <v>526</v>
      </c>
      <c r="C47" s="208" t="s">
        <v>69</v>
      </c>
      <c r="D47" s="209" t="s">
        <v>465</v>
      </c>
      <c r="E47" s="242" t="s">
        <v>527</v>
      </c>
      <c r="F47" s="210">
        <v>12</v>
      </c>
      <c r="G47" s="210" t="s">
        <v>61</v>
      </c>
      <c r="H47" s="243">
        <v>244482</v>
      </c>
      <c r="I47" s="242"/>
      <c r="J47" s="241" t="s">
        <v>83</v>
      </c>
      <c r="K47" s="243">
        <v>244482</v>
      </c>
      <c r="L47" s="234">
        <v>2</v>
      </c>
      <c r="M47" s="235"/>
    </row>
    <row r="48" spans="1:18">
      <c r="A48" s="207">
        <v>20</v>
      </c>
      <c r="B48" s="242" t="s">
        <v>128</v>
      </c>
      <c r="C48" s="208" t="s">
        <v>69</v>
      </c>
      <c r="D48" s="209" t="s">
        <v>465</v>
      </c>
      <c r="E48" s="242" t="s">
        <v>528</v>
      </c>
      <c r="F48" s="210">
        <v>15</v>
      </c>
      <c r="G48" s="210" t="s">
        <v>67</v>
      </c>
      <c r="H48" s="243">
        <v>244482</v>
      </c>
      <c r="I48" s="242"/>
      <c r="J48" s="241" t="s">
        <v>83</v>
      </c>
      <c r="K48" s="243">
        <v>244482</v>
      </c>
      <c r="L48" s="234">
        <v>2</v>
      </c>
      <c r="M48" s="235"/>
    </row>
    <row r="49" spans="1:13">
      <c r="A49" s="207">
        <v>21</v>
      </c>
      <c r="B49" s="242" t="s">
        <v>517</v>
      </c>
      <c r="C49" s="208" t="s">
        <v>69</v>
      </c>
      <c r="D49" s="209" t="s">
        <v>463</v>
      </c>
      <c r="E49" s="242" t="s">
        <v>529</v>
      </c>
      <c r="F49" s="210">
        <v>10</v>
      </c>
      <c r="G49" s="210" t="s">
        <v>67</v>
      </c>
      <c r="H49" s="243">
        <v>244482</v>
      </c>
      <c r="I49" s="242"/>
      <c r="J49" s="241" t="s">
        <v>83</v>
      </c>
      <c r="K49" s="243">
        <v>244482</v>
      </c>
      <c r="L49" s="234">
        <v>2</v>
      </c>
      <c r="M49" s="235"/>
    </row>
    <row r="50" spans="1:13">
      <c r="A50" s="207">
        <v>22</v>
      </c>
      <c r="B50" s="242" t="s">
        <v>71</v>
      </c>
      <c r="C50" s="208" t="s">
        <v>69</v>
      </c>
      <c r="D50" s="209" t="s">
        <v>465</v>
      </c>
      <c r="E50" s="242" t="s">
        <v>530</v>
      </c>
      <c r="F50" s="210">
        <v>7</v>
      </c>
      <c r="G50" s="210" t="s">
        <v>66</v>
      </c>
      <c r="H50" s="243">
        <v>244483</v>
      </c>
      <c r="I50" s="242"/>
      <c r="J50" s="241" t="s">
        <v>83</v>
      </c>
      <c r="K50" s="243">
        <v>244483</v>
      </c>
      <c r="L50" s="234">
        <v>2</v>
      </c>
      <c r="M50" s="235"/>
    </row>
    <row r="51" spans="1:13">
      <c r="A51" s="207">
        <v>23</v>
      </c>
      <c r="B51" s="242" t="s">
        <v>517</v>
      </c>
      <c r="C51" s="208" t="s">
        <v>69</v>
      </c>
      <c r="D51" s="209" t="s">
        <v>463</v>
      </c>
      <c r="E51" s="242" t="s">
        <v>531</v>
      </c>
      <c r="F51" s="210">
        <v>14</v>
      </c>
      <c r="G51" s="210" t="s">
        <v>67</v>
      </c>
      <c r="H51" s="243">
        <v>244483</v>
      </c>
      <c r="I51" s="242"/>
      <c r="J51" s="241" t="s">
        <v>83</v>
      </c>
      <c r="K51" s="243">
        <v>244483</v>
      </c>
      <c r="L51" s="234">
        <v>2</v>
      </c>
      <c r="M51" s="235"/>
    </row>
    <row r="52" spans="1:13">
      <c r="A52" s="207">
        <v>24</v>
      </c>
      <c r="B52" s="242" t="s">
        <v>532</v>
      </c>
      <c r="C52" s="208" t="s">
        <v>69</v>
      </c>
      <c r="D52" s="209" t="s">
        <v>463</v>
      </c>
      <c r="E52" s="242" t="s">
        <v>533</v>
      </c>
      <c r="F52" s="210">
        <v>14</v>
      </c>
      <c r="G52" s="210" t="s">
        <v>64</v>
      </c>
      <c r="H52" s="243">
        <v>244484</v>
      </c>
      <c r="I52" s="242"/>
      <c r="J52" s="241" t="s">
        <v>83</v>
      </c>
      <c r="K52" s="243">
        <v>244484</v>
      </c>
      <c r="L52" s="234">
        <v>3</v>
      </c>
      <c r="M52" s="235"/>
    </row>
    <row r="53" spans="1:13">
      <c r="A53" s="207">
        <v>25</v>
      </c>
      <c r="B53" s="242" t="s">
        <v>126</v>
      </c>
      <c r="C53" s="208" t="s">
        <v>69</v>
      </c>
      <c r="D53" s="209" t="s">
        <v>463</v>
      </c>
      <c r="E53" s="242" t="s">
        <v>127</v>
      </c>
      <c r="F53" s="210">
        <v>15</v>
      </c>
      <c r="G53" s="210" t="s">
        <v>60</v>
      </c>
      <c r="H53" s="243">
        <v>244480</v>
      </c>
      <c r="I53" s="242"/>
      <c r="J53" s="214" t="s">
        <v>85</v>
      </c>
      <c r="K53" s="243"/>
      <c r="L53" s="234"/>
      <c r="M53" s="235"/>
    </row>
    <row r="54" spans="1:13">
      <c r="A54" s="207">
        <v>26</v>
      </c>
      <c r="B54" s="242" t="s">
        <v>522</v>
      </c>
      <c r="C54" s="208" t="s">
        <v>69</v>
      </c>
      <c r="D54" s="209" t="s">
        <v>465</v>
      </c>
      <c r="E54" s="242" t="s">
        <v>534</v>
      </c>
      <c r="F54" s="210" t="s">
        <v>132</v>
      </c>
      <c r="G54" s="210" t="s">
        <v>67</v>
      </c>
      <c r="H54" s="243">
        <v>244484</v>
      </c>
      <c r="I54" s="242"/>
      <c r="J54" s="241" t="s">
        <v>83</v>
      </c>
      <c r="K54" s="243">
        <v>244484</v>
      </c>
      <c r="L54" s="234">
        <v>3</v>
      </c>
      <c r="M54" s="235"/>
    </row>
    <row r="55" spans="1:13">
      <c r="A55" s="207">
        <v>27</v>
      </c>
      <c r="B55" s="242" t="s">
        <v>130</v>
      </c>
      <c r="C55" s="208" t="s">
        <v>69</v>
      </c>
      <c r="D55" s="209" t="s">
        <v>463</v>
      </c>
      <c r="E55" s="242" t="s">
        <v>535</v>
      </c>
      <c r="F55" s="210">
        <v>9</v>
      </c>
      <c r="G55" s="210" t="s">
        <v>63</v>
      </c>
      <c r="H55" s="243">
        <v>244474</v>
      </c>
      <c r="I55" s="242"/>
      <c r="J55" s="241" t="s">
        <v>83</v>
      </c>
      <c r="K55" s="243">
        <v>244485</v>
      </c>
      <c r="L55" s="234">
        <v>3</v>
      </c>
      <c r="M55" s="235"/>
    </row>
    <row r="56" spans="1:13">
      <c r="A56" s="207">
        <v>28</v>
      </c>
      <c r="B56" s="242" t="s">
        <v>128</v>
      </c>
      <c r="C56" s="208" t="s">
        <v>69</v>
      </c>
      <c r="D56" s="209" t="s">
        <v>465</v>
      </c>
      <c r="E56" s="242" t="s">
        <v>536</v>
      </c>
      <c r="F56" s="210" t="s">
        <v>113</v>
      </c>
      <c r="G56" s="210" t="s">
        <v>67</v>
      </c>
      <c r="H56" s="243">
        <v>244486</v>
      </c>
      <c r="I56" s="242"/>
      <c r="J56" s="241" t="s">
        <v>83</v>
      </c>
      <c r="K56" s="243">
        <v>244486</v>
      </c>
      <c r="L56" s="234">
        <v>3</v>
      </c>
      <c r="M56" s="235"/>
    </row>
    <row r="57" spans="1:13">
      <c r="A57" s="207">
        <v>29</v>
      </c>
      <c r="B57" s="242" t="s">
        <v>128</v>
      </c>
      <c r="C57" s="208" t="s">
        <v>69</v>
      </c>
      <c r="D57" s="209" t="s">
        <v>465</v>
      </c>
      <c r="E57" s="242" t="s">
        <v>129</v>
      </c>
      <c r="F57" s="210">
        <v>10</v>
      </c>
      <c r="G57" s="210" t="s">
        <v>67</v>
      </c>
      <c r="H57" s="243">
        <v>244488</v>
      </c>
      <c r="I57" s="242"/>
      <c r="J57" s="214" t="s">
        <v>85</v>
      </c>
      <c r="K57" s="243"/>
      <c r="L57" s="234"/>
      <c r="M57" s="235"/>
    </row>
    <row r="58" spans="1:13">
      <c r="A58" s="207">
        <v>30</v>
      </c>
      <c r="B58" s="242" t="s">
        <v>130</v>
      </c>
      <c r="C58" s="208" t="s">
        <v>69</v>
      </c>
      <c r="D58" s="209" t="s">
        <v>463</v>
      </c>
      <c r="E58" s="242" t="s">
        <v>131</v>
      </c>
      <c r="F58" s="210">
        <v>11</v>
      </c>
      <c r="G58" s="210" t="s">
        <v>66</v>
      </c>
      <c r="H58" s="243">
        <v>244489</v>
      </c>
      <c r="I58" s="242"/>
      <c r="J58" s="214" t="s">
        <v>85</v>
      </c>
      <c r="K58" s="243"/>
      <c r="L58" s="234"/>
      <c r="M58" s="235"/>
    </row>
    <row r="59" spans="1:13">
      <c r="A59" s="207">
        <v>31</v>
      </c>
      <c r="B59" s="242" t="s">
        <v>130</v>
      </c>
      <c r="C59" s="208" t="s">
        <v>69</v>
      </c>
      <c r="D59" s="209" t="s">
        <v>463</v>
      </c>
      <c r="E59" s="242" t="s">
        <v>537</v>
      </c>
      <c r="F59" s="210">
        <v>11</v>
      </c>
      <c r="G59" s="210" t="s">
        <v>67</v>
      </c>
      <c r="H59" s="243">
        <v>244489</v>
      </c>
      <c r="I59" s="242"/>
      <c r="J59" s="241" t="s">
        <v>83</v>
      </c>
      <c r="K59" s="243">
        <v>244493</v>
      </c>
      <c r="L59" s="234">
        <v>4</v>
      </c>
      <c r="M59" s="235"/>
    </row>
    <row r="60" spans="1:13">
      <c r="A60" s="207">
        <v>32</v>
      </c>
      <c r="B60" s="242" t="s">
        <v>517</v>
      </c>
      <c r="C60" s="208" t="s">
        <v>69</v>
      </c>
      <c r="D60" s="209" t="s">
        <v>463</v>
      </c>
      <c r="E60" s="242" t="s">
        <v>538</v>
      </c>
      <c r="F60" s="210" t="s">
        <v>113</v>
      </c>
      <c r="G60" s="210" t="s">
        <v>67</v>
      </c>
      <c r="H60" s="243">
        <v>244489</v>
      </c>
      <c r="I60" s="242"/>
      <c r="J60" s="241" t="s">
        <v>83</v>
      </c>
      <c r="K60" s="243">
        <v>244491</v>
      </c>
      <c r="L60" s="234">
        <v>4</v>
      </c>
      <c r="M60" s="235"/>
    </row>
    <row r="61" spans="1:13">
      <c r="A61" s="207">
        <v>33</v>
      </c>
      <c r="B61" s="242" t="s">
        <v>119</v>
      </c>
      <c r="C61" s="208" t="s">
        <v>69</v>
      </c>
      <c r="D61" s="209" t="s">
        <v>465</v>
      </c>
      <c r="E61" s="242" t="s">
        <v>133</v>
      </c>
      <c r="F61" s="210" t="s">
        <v>132</v>
      </c>
      <c r="G61" s="210" t="s">
        <v>67</v>
      </c>
      <c r="H61" s="243">
        <v>244489</v>
      </c>
      <c r="I61" s="242"/>
      <c r="J61" s="214" t="s">
        <v>85</v>
      </c>
      <c r="K61" s="243"/>
      <c r="L61" s="234"/>
      <c r="M61" s="235"/>
    </row>
    <row r="62" spans="1:13">
      <c r="A62" s="207">
        <v>34</v>
      </c>
      <c r="B62" s="242" t="s">
        <v>119</v>
      </c>
      <c r="C62" s="208" t="s">
        <v>69</v>
      </c>
      <c r="D62" s="209" t="s">
        <v>465</v>
      </c>
      <c r="E62" s="242" t="s">
        <v>539</v>
      </c>
      <c r="F62" s="210">
        <v>14</v>
      </c>
      <c r="G62" s="210" t="s">
        <v>67</v>
      </c>
      <c r="H62" s="243">
        <v>244489</v>
      </c>
      <c r="I62" s="242"/>
      <c r="J62" s="241" t="s">
        <v>83</v>
      </c>
      <c r="K62" s="243">
        <v>244492</v>
      </c>
      <c r="L62" s="234">
        <v>4</v>
      </c>
      <c r="M62" s="235"/>
    </row>
    <row r="63" spans="1:13">
      <c r="A63" s="207">
        <v>35</v>
      </c>
      <c r="B63" s="242" t="s">
        <v>119</v>
      </c>
      <c r="C63" s="208" t="s">
        <v>69</v>
      </c>
      <c r="D63" s="209" t="s">
        <v>465</v>
      </c>
      <c r="E63" s="242" t="s">
        <v>540</v>
      </c>
      <c r="F63" s="210">
        <v>14</v>
      </c>
      <c r="G63" s="210" t="s">
        <v>67</v>
      </c>
      <c r="H63" s="243">
        <v>244489</v>
      </c>
      <c r="I63" s="242"/>
      <c r="J63" s="241" t="s">
        <v>83</v>
      </c>
      <c r="K63" s="243">
        <v>244492</v>
      </c>
      <c r="L63" s="234">
        <v>4</v>
      </c>
      <c r="M63" s="235"/>
    </row>
    <row r="64" spans="1:13">
      <c r="A64" s="207">
        <v>36</v>
      </c>
      <c r="B64" s="242" t="s">
        <v>119</v>
      </c>
      <c r="C64" s="208" t="s">
        <v>69</v>
      </c>
      <c r="D64" s="209" t="s">
        <v>465</v>
      </c>
      <c r="E64" s="242" t="s">
        <v>541</v>
      </c>
      <c r="F64" s="210">
        <v>14</v>
      </c>
      <c r="G64" s="210" t="s">
        <v>68</v>
      </c>
      <c r="H64" s="243">
        <v>244489</v>
      </c>
      <c r="I64" s="242"/>
      <c r="J64" s="241" t="s">
        <v>83</v>
      </c>
      <c r="K64" s="243">
        <v>244492</v>
      </c>
      <c r="L64" s="244">
        <v>4</v>
      </c>
      <c r="M64" s="235"/>
    </row>
    <row r="65" spans="1:13">
      <c r="A65" s="207">
        <v>37</v>
      </c>
      <c r="B65" s="245" t="s">
        <v>542</v>
      </c>
      <c r="C65" s="208" t="s">
        <v>69</v>
      </c>
      <c r="D65" s="246" t="s">
        <v>465</v>
      </c>
      <c r="E65" s="245" t="s">
        <v>543</v>
      </c>
      <c r="F65" s="223" t="s">
        <v>113</v>
      </c>
      <c r="G65" s="223" t="s">
        <v>68</v>
      </c>
      <c r="H65" s="247">
        <v>244489</v>
      </c>
      <c r="I65" s="245"/>
      <c r="J65" s="214" t="s">
        <v>83</v>
      </c>
      <c r="K65" s="247">
        <v>244492</v>
      </c>
      <c r="L65" s="234">
        <v>4</v>
      </c>
      <c r="M65" s="235"/>
    </row>
    <row r="66" spans="1:13">
      <c r="A66" s="207">
        <v>38</v>
      </c>
      <c r="B66" s="242" t="s">
        <v>522</v>
      </c>
      <c r="C66" s="208" t="s">
        <v>69</v>
      </c>
      <c r="D66" s="248" t="s">
        <v>465</v>
      </c>
      <c r="E66" s="242" t="s">
        <v>544</v>
      </c>
      <c r="F66" s="234">
        <v>12</v>
      </c>
      <c r="G66" s="234" t="s">
        <v>66</v>
      </c>
      <c r="H66" s="243">
        <v>244492</v>
      </c>
      <c r="I66" s="242"/>
      <c r="J66" s="241" t="s">
        <v>83</v>
      </c>
      <c r="K66" s="243">
        <v>244493</v>
      </c>
      <c r="L66" s="244">
        <v>4</v>
      </c>
      <c r="M66" s="235"/>
    </row>
    <row r="67" spans="1:13">
      <c r="A67" s="207">
        <v>39</v>
      </c>
      <c r="B67" s="242" t="s">
        <v>119</v>
      </c>
      <c r="C67" s="208" t="s">
        <v>69</v>
      </c>
      <c r="D67" s="248" t="s">
        <v>465</v>
      </c>
      <c r="E67" s="242" t="s">
        <v>134</v>
      </c>
      <c r="F67" s="234">
        <v>14</v>
      </c>
      <c r="G67" s="234" t="s">
        <v>67</v>
      </c>
      <c r="H67" s="243">
        <v>244489</v>
      </c>
      <c r="I67" s="242"/>
      <c r="J67" s="214" t="s">
        <v>85</v>
      </c>
      <c r="K67" s="243"/>
      <c r="L67" s="244"/>
      <c r="M67" s="235"/>
    </row>
    <row r="68" spans="1:13">
      <c r="A68" s="207">
        <v>40</v>
      </c>
      <c r="B68" s="242" t="s">
        <v>532</v>
      </c>
      <c r="C68" s="208" t="s">
        <v>69</v>
      </c>
      <c r="D68" s="248" t="s">
        <v>463</v>
      </c>
      <c r="E68" s="242" t="s">
        <v>545</v>
      </c>
      <c r="F68" s="234" t="s">
        <v>113</v>
      </c>
      <c r="G68" s="234" t="s">
        <v>60</v>
      </c>
      <c r="H68" s="243">
        <v>244490</v>
      </c>
      <c r="I68" s="242"/>
      <c r="J68" s="241" t="s">
        <v>83</v>
      </c>
      <c r="K68" s="243">
        <v>244493</v>
      </c>
      <c r="L68" s="244">
        <v>3</v>
      </c>
      <c r="M68" s="235"/>
    </row>
    <row r="69" spans="1:13">
      <c r="A69" s="207">
        <v>41</v>
      </c>
      <c r="B69" s="242" t="s">
        <v>532</v>
      </c>
      <c r="C69" s="208" t="s">
        <v>69</v>
      </c>
      <c r="D69" s="248" t="s">
        <v>463</v>
      </c>
      <c r="E69" s="242" t="s">
        <v>546</v>
      </c>
      <c r="F69" s="234" t="s">
        <v>113</v>
      </c>
      <c r="G69" s="234" t="s">
        <v>60</v>
      </c>
      <c r="H69" s="243">
        <v>244490</v>
      </c>
      <c r="I69" s="242" t="s">
        <v>547</v>
      </c>
      <c r="J69" s="241" t="s">
        <v>83</v>
      </c>
      <c r="K69" s="243">
        <v>244493</v>
      </c>
      <c r="L69" s="244">
        <v>4</v>
      </c>
      <c r="M69" s="235"/>
    </row>
    <row r="70" spans="1:13">
      <c r="A70" s="207">
        <v>42</v>
      </c>
      <c r="B70" s="249" t="s">
        <v>532</v>
      </c>
      <c r="C70" s="208" t="s">
        <v>69</v>
      </c>
      <c r="D70" s="250" t="s">
        <v>463</v>
      </c>
      <c r="E70" s="250" t="s">
        <v>548</v>
      </c>
      <c r="F70" s="244" t="s">
        <v>113</v>
      </c>
      <c r="G70" s="223" t="s">
        <v>60</v>
      </c>
      <c r="H70" s="240"/>
      <c r="I70" s="250" t="s">
        <v>549</v>
      </c>
      <c r="J70" s="214" t="s">
        <v>83</v>
      </c>
      <c r="K70" s="240">
        <v>244493</v>
      </c>
      <c r="L70" s="244">
        <v>4</v>
      </c>
      <c r="M70" s="235"/>
    </row>
    <row r="71" spans="1:13">
      <c r="A71" s="207">
        <v>43</v>
      </c>
      <c r="B71" s="249" t="s">
        <v>110</v>
      </c>
      <c r="C71" s="208" t="s">
        <v>69</v>
      </c>
      <c r="D71" s="250" t="s">
        <v>463</v>
      </c>
      <c r="E71" s="250" t="s">
        <v>550</v>
      </c>
      <c r="F71" s="244">
        <v>12</v>
      </c>
      <c r="G71" s="223" t="s">
        <v>66</v>
      </c>
      <c r="H71" s="251">
        <v>244459</v>
      </c>
      <c r="I71" s="250" t="s">
        <v>473</v>
      </c>
      <c r="J71" s="214" t="s">
        <v>83</v>
      </c>
      <c r="K71" s="240">
        <v>244493</v>
      </c>
      <c r="L71" s="244">
        <v>4</v>
      </c>
      <c r="M71" s="235"/>
    </row>
    <row r="72" spans="1:13">
      <c r="A72" s="207">
        <v>44</v>
      </c>
      <c r="B72" s="242" t="s">
        <v>532</v>
      </c>
      <c r="C72" s="208" t="s">
        <v>69</v>
      </c>
      <c r="D72" s="242" t="s">
        <v>463</v>
      </c>
      <c r="E72" s="242" t="s">
        <v>551</v>
      </c>
      <c r="F72" s="252">
        <v>7</v>
      </c>
      <c r="G72" s="223" t="s">
        <v>64</v>
      </c>
      <c r="H72" s="243">
        <v>244496</v>
      </c>
      <c r="I72" s="242" t="s">
        <v>552</v>
      </c>
      <c r="J72" s="214" t="s">
        <v>83</v>
      </c>
      <c r="K72" s="243">
        <v>244496</v>
      </c>
      <c r="L72" s="234">
        <v>4</v>
      </c>
      <c r="M72" s="235"/>
    </row>
    <row r="73" spans="1:13">
      <c r="A73" s="207">
        <v>45</v>
      </c>
      <c r="B73" s="242" t="s">
        <v>553</v>
      </c>
      <c r="C73" s="208" t="s">
        <v>80</v>
      </c>
      <c r="D73" s="242" t="s">
        <v>463</v>
      </c>
      <c r="E73" s="242" t="s">
        <v>554</v>
      </c>
      <c r="F73" s="252">
        <v>10</v>
      </c>
      <c r="G73" s="223" t="s">
        <v>63</v>
      </c>
      <c r="H73" s="243">
        <v>244496</v>
      </c>
      <c r="I73" s="242" t="s">
        <v>555</v>
      </c>
      <c r="J73" s="214" t="s">
        <v>83</v>
      </c>
      <c r="K73" s="243">
        <v>244496</v>
      </c>
      <c r="L73" s="234">
        <v>4</v>
      </c>
      <c r="M73" s="235"/>
    </row>
    <row r="74" spans="1:13">
      <c r="A74" s="207">
        <v>46</v>
      </c>
      <c r="B74" s="242" t="s">
        <v>553</v>
      </c>
      <c r="C74" s="208" t="s">
        <v>80</v>
      </c>
      <c r="D74" s="242" t="s">
        <v>463</v>
      </c>
      <c r="E74" s="242" t="s">
        <v>556</v>
      </c>
      <c r="F74" s="252">
        <v>10</v>
      </c>
      <c r="G74" s="223" t="s">
        <v>63</v>
      </c>
      <c r="H74" s="243">
        <v>244496</v>
      </c>
      <c r="I74" s="242" t="s">
        <v>557</v>
      </c>
      <c r="J74" s="214" t="s">
        <v>83</v>
      </c>
      <c r="K74" s="243">
        <v>244502</v>
      </c>
      <c r="L74" s="234">
        <v>5</v>
      </c>
      <c r="M74" s="235"/>
    </row>
    <row r="75" spans="1:13">
      <c r="A75" s="207">
        <v>47</v>
      </c>
      <c r="B75" s="242" t="s">
        <v>511</v>
      </c>
      <c r="C75" s="208" t="s">
        <v>69</v>
      </c>
      <c r="D75" s="242" t="s">
        <v>463</v>
      </c>
      <c r="E75" s="242" t="s">
        <v>558</v>
      </c>
      <c r="F75" s="210" t="s">
        <v>113</v>
      </c>
      <c r="G75" s="223" t="s">
        <v>67</v>
      </c>
      <c r="H75" s="243">
        <v>244496</v>
      </c>
      <c r="I75" s="242" t="s">
        <v>170</v>
      </c>
      <c r="J75" s="214" t="s">
        <v>83</v>
      </c>
      <c r="K75" s="243">
        <v>244498</v>
      </c>
      <c r="L75" s="234">
        <v>5</v>
      </c>
      <c r="M75" s="235"/>
    </row>
    <row r="76" spans="1:13">
      <c r="A76" s="207">
        <v>48</v>
      </c>
      <c r="B76" s="242" t="s">
        <v>71</v>
      </c>
      <c r="C76" s="208" t="s">
        <v>71</v>
      </c>
      <c r="D76" s="209" t="s">
        <v>465</v>
      </c>
      <c r="E76" s="242" t="s">
        <v>559</v>
      </c>
      <c r="F76" s="210">
        <v>6</v>
      </c>
      <c r="G76" s="223" t="s">
        <v>61</v>
      </c>
      <c r="H76" s="243">
        <v>244498</v>
      </c>
      <c r="I76" s="242" t="s">
        <v>560</v>
      </c>
      <c r="J76" s="214" t="s">
        <v>83</v>
      </c>
      <c r="K76" s="243">
        <v>244498</v>
      </c>
      <c r="L76" s="234">
        <v>5</v>
      </c>
      <c r="M76" s="235"/>
    </row>
    <row r="77" spans="1:13">
      <c r="A77" s="207">
        <v>49</v>
      </c>
      <c r="B77" s="242" t="s">
        <v>71</v>
      </c>
      <c r="C77" s="208" t="s">
        <v>71</v>
      </c>
      <c r="D77" s="209" t="s">
        <v>465</v>
      </c>
      <c r="E77" s="242" t="s">
        <v>561</v>
      </c>
      <c r="F77" s="210">
        <v>6</v>
      </c>
      <c r="G77" s="223" t="s">
        <v>67</v>
      </c>
      <c r="H77" s="243">
        <v>244498</v>
      </c>
      <c r="I77" s="242" t="s">
        <v>229</v>
      </c>
      <c r="J77" s="214" t="s">
        <v>83</v>
      </c>
      <c r="K77" s="243">
        <v>244498</v>
      </c>
      <c r="L77" s="234">
        <v>5</v>
      </c>
      <c r="M77" s="235"/>
    </row>
    <row r="78" spans="1:13">
      <c r="A78" s="207">
        <v>50</v>
      </c>
      <c r="B78" s="253" t="s">
        <v>110</v>
      </c>
      <c r="C78" s="208" t="s">
        <v>69</v>
      </c>
      <c r="D78" s="209" t="s">
        <v>465</v>
      </c>
      <c r="E78" s="242" t="s">
        <v>562</v>
      </c>
      <c r="F78" s="210" t="s">
        <v>113</v>
      </c>
      <c r="G78" s="223" t="s">
        <v>67</v>
      </c>
      <c r="H78" s="243">
        <v>244499</v>
      </c>
      <c r="I78" s="242" t="s">
        <v>563</v>
      </c>
      <c r="J78" s="214" t="s">
        <v>83</v>
      </c>
      <c r="K78" s="243">
        <v>244499</v>
      </c>
      <c r="L78" s="234">
        <v>5</v>
      </c>
      <c r="M78" s="235"/>
    </row>
    <row r="79" spans="1:13" ht="30" customHeight="1">
      <c r="A79" s="508"/>
      <c r="B79" s="510" t="s">
        <v>455</v>
      </c>
      <c r="C79" s="511"/>
      <c r="D79" s="511"/>
      <c r="E79" s="511"/>
      <c r="F79" s="511"/>
      <c r="G79" s="511"/>
      <c r="H79" s="511"/>
      <c r="I79" s="511"/>
      <c r="J79" s="511"/>
      <c r="K79" s="511"/>
      <c r="L79" s="511"/>
      <c r="M79" s="226"/>
    </row>
    <row r="80" spans="1:13" ht="30" customHeight="1">
      <c r="A80" s="509"/>
      <c r="B80" s="510" t="s">
        <v>564</v>
      </c>
      <c r="C80" s="511"/>
      <c r="D80" s="511"/>
      <c r="E80" s="511"/>
      <c r="F80" s="511"/>
      <c r="G80" s="511"/>
      <c r="H80" s="511"/>
      <c r="I80" s="511"/>
      <c r="J80" s="511"/>
      <c r="K80" s="511"/>
      <c r="L80" s="511"/>
      <c r="M80" s="226"/>
    </row>
    <row r="81" spans="1:19" s="195" customFormat="1" ht="25.05" customHeight="1">
      <c r="A81" s="254" t="s">
        <v>92</v>
      </c>
      <c r="B81" s="255" t="s">
        <v>505</v>
      </c>
      <c r="C81" s="255" t="s">
        <v>96</v>
      </c>
      <c r="D81" s="255" t="s">
        <v>459</v>
      </c>
      <c r="E81" s="255" t="s">
        <v>460</v>
      </c>
      <c r="F81" s="255" t="s">
        <v>97</v>
      </c>
      <c r="G81" s="255" t="s">
        <v>89</v>
      </c>
      <c r="H81" s="256" t="s">
        <v>461</v>
      </c>
      <c r="I81" s="255" t="s">
        <v>139</v>
      </c>
      <c r="J81" s="257" t="s">
        <v>462</v>
      </c>
      <c r="K81" s="256" t="s">
        <v>144</v>
      </c>
      <c r="L81" s="258" t="s">
        <v>42</v>
      </c>
      <c r="M81" s="259"/>
    </row>
    <row r="82" spans="1:19">
      <c r="A82" s="208">
        <v>1</v>
      </c>
      <c r="B82" s="208" t="s">
        <v>128</v>
      </c>
      <c r="C82" s="208" t="s">
        <v>69</v>
      </c>
      <c r="D82" s="209" t="s">
        <v>465</v>
      </c>
      <c r="E82" s="208" t="s">
        <v>565</v>
      </c>
      <c r="F82" s="210">
        <v>15</v>
      </c>
      <c r="G82" s="210" t="s">
        <v>60</v>
      </c>
      <c r="H82" s="233">
        <v>244502</v>
      </c>
      <c r="I82" s="208" t="s">
        <v>566</v>
      </c>
      <c r="J82" s="212" t="s">
        <v>83</v>
      </c>
      <c r="K82" s="233">
        <v>244502</v>
      </c>
      <c r="L82" s="234">
        <v>1</v>
      </c>
      <c r="M82" s="235"/>
      <c r="O82" s="512"/>
      <c r="P82" s="512"/>
      <c r="Q82" s="512"/>
      <c r="R82" s="512"/>
      <c r="S82" s="512"/>
    </row>
    <row r="83" spans="1:19">
      <c r="A83" s="208">
        <v>2</v>
      </c>
      <c r="B83" s="253" t="s">
        <v>110</v>
      </c>
      <c r="C83" s="208" t="s">
        <v>69</v>
      </c>
      <c r="D83" s="209" t="s">
        <v>465</v>
      </c>
      <c r="E83" s="208" t="s">
        <v>567</v>
      </c>
      <c r="F83" s="210">
        <v>5</v>
      </c>
      <c r="G83" s="210" t="s">
        <v>67</v>
      </c>
      <c r="H83" s="233">
        <v>244502</v>
      </c>
      <c r="I83" s="208" t="s">
        <v>568</v>
      </c>
      <c r="J83" s="212" t="s">
        <v>83</v>
      </c>
      <c r="K83" s="233">
        <v>244502</v>
      </c>
      <c r="L83" s="234">
        <v>1</v>
      </c>
      <c r="M83" s="235"/>
    </row>
    <row r="84" spans="1:19">
      <c r="A84" s="208">
        <v>3</v>
      </c>
      <c r="B84" s="208" t="s">
        <v>532</v>
      </c>
      <c r="C84" s="208" t="s">
        <v>69</v>
      </c>
      <c r="D84" s="209" t="s">
        <v>465</v>
      </c>
      <c r="E84" s="208" t="s">
        <v>569</v>
      </c>
      <c r="F84" s="210">
        <v>9</v>
      </c>
      <c r="G84" s="210" t="s">
        <v>62</v>
      </c>
      <c r="H84" s="233">
        <v>244504</v>
      </c>
      <c r="I84" s="208" t="s">
        <v>570</v>
      </c>
      <c r="J84" s="212" t="s">
        <v>83</v>
      </c>
      <c r="K84" s="233">
        <v>244513</v>
      </c>
      <c r="L84" s="234">
        <v>2</v>
      </c>
      <c r="M84" s="235"/>
    </row>
    <row r="85" spans="1:19">
      <c r="A85" s="208">
        <v>4</v>
      </c>
      <c r="B85" s="208" t="s">
        <v>571</v>
      </c>
      <c r="C85" s="208" t="s">
        <v>69</v>
      </c>
      <c r="D85" s="209" t="s">
        <v>463</v>
      </c>
      <c r="E85" s="208" t="s">
        <v>572</v>
      </c>
      <c r="F85" s="210">
        <v>2</v>
      </c>
      <c r="G85" s="210" t="s">
        <v>62</v>
      </c>
      <c r="H85" s="233">
        <v>244504</v>
      </c>
      <c r="I85" s="208" t="s">
        <v>573</v>
      </c>
      <c r="J85" s="212" t="s">
        <v>83</v>
      </c>
      <c r="K85" s="233">
        <v>244504</v>
      </c>
      <c r="L85" s="234">
        <v>1</v>
      </c>
      <c r="M85" s="235"/>
    </row>
    <row r="86" spans="1:19">
      <c r="A86" s="208">
        <v>5</v>
      </c>
      <c r="B86" s="208" t="s">
        <v>574</v>
      </c>
      <c r="C86" s="208" t="s">
        <v>69</v>
      </c>
      <c r="D86" s="209" t="s">
        <v>465</v>
      </c>
      <c r="E86" s="208" t="s">
        <v>575</v>
      </c>
      <c r="F86" s="210"/>
      <c r="G86" s="210" t="s">
        <v>67</v>
      </c>
      <c r="H86" s="233">
        <v>244505</v>
      </c>
      <c r="I86" s="208" t="s">
        <v>576</v>
      </c>
      <c r="J86" s="212" t="s">
        <v>85</v>
      </c>
      <c r="K86" s="233"/>
      <c r="L86" s="234"/>
      <c r="M86" s="235"/>
    </row>
    <row r="87" spans="1:19">
      <c r="A87" s="208">
        <v>6</v>
      </c>
      <c r="B87" s="208" t="s">
        <v>577</v>
      </c>
      <c r="C87" s="208" t="s">
        <v>69</v>
      </c>
      <c r="D87" s="209" t="s">
        <v>465</v>
      </c>
      <c r="E87" s="208" t="s">
        <v>578</v>
      </c>
      <c r="F87" s="210">
        <v>11</v>
      </c>
      <c r="G87" s="210" t="s">
        <v>66</v>
      </c>
      <c r="H87" s="233">
        <v>244506</v>
      </c>
      <c r="I87" s="208" t="s">
        <v>579</v>
      </c>
      <c r="J87" s="212" t="s">
        <v>83</v>
      </c>
      <c r="K87" s="233">
        <v>244506</v>
      </c>
      <c r="L87" s="234">
        <v>1</v>
      </c>
      <c r="M87" s="235"/>
    </row>
    <row r="88" spans="1:19">
      <c r="A88" s="208">
        <v>7</v>
      </c>
      <c r="B88" s="208" t="s">
        <v>522</v>
      </c>
      <c r="C88" s="208" t="s">
        <v>69</v>
      </c>
      <c r="D88" s="209" t="s">
        <v>465</v>
      </c>
      <c r="E88" s="208" t="s">
        <v>580</v>
      </c>
      <c r="F88" s="210">
        <v>12</v>
      </c>
      <c r="G88" s="210" t="s">
        <v>61</v>
      </c>
      <c r="H88" s="233">
        <v>244506</v>
      </c>
      <c r="I88" s="208" t="s">
        <v>179</v>
      </c>
      <c r="J88" s="212" t="s">
        <v>83</v>
      </c>
      <c r="K88" s="233">
        <v>244513</v>
      </c>
      <c r="L88" s="234">
        <v>2</v>
      </c>
      <c r="M88" s="235"/>
    </row>
    <row r="89" spans="1:19">
      <c r="A89" s="208">
        <v>8</v>
      </c>
      <c r="B89" s="208" t="s">
        <v>577</v>
      </c>
      <c r="C89" s="208" t="s">
        <v>69</v>
      </c>
      <c r="D89" s="209" t="s">
        <v>463</v>
      </c>
      <c r="E89" s="208" t="s">
        <v>581</v>
      </c>
      <c r="F89" s="210">
        <v>5</v>
      </c>
      <c r="G89" s="210" t="s">
        <v>67</v>
      </c>
      <c r="H89" s="233">
        <v>244508</v>
      </c>
      <c r="I89" s="208" t="s">
        <v>179</v>
      </c>
      <c r="J89" s="212" t="s">
        <v>83</v>
      </c>
      <c r="K89" s="233">
        <v>244509</v>
      </c>
      <c r="L89" s="234">
        <v>1</v>
      </c>
      <c r="M89" s="235"/>
    </row>
    <row r="90" spans="1:19">
      <c r="A90" s="208">
        <v>9</v>
      </c>
      <c r="B90" s="208" t="s">
        <v>522</v>
      </c>
      <c r="C90" s="208" t="s">
        <v>69</v>
      </c>
      <c r="D90" s="209" t="s">
        <v>463</v>
      </c>
      <c r="E90" s="208" t="s">
        <v>582</v>
      </c>
      <c r="F90" s="210">
        <v>15</v>
      </c>
      <c r="G90" s="210" t="s">
        <v>61</v>
      </c>
      <c r="H90" s="233">
        <v>244509</v>
      </c>
      <c r="I90" s="208" t="s">
        <v>583</v>
      </c>
      <c r="J90" s="212" t="s">
        <v>83</v>
      </c>
      <c r="K90" s="233">
        <v>244513</v>
      </c>
      <c r="L90" s="234">
        <v>2</v>
      </c>
      <c r="M90" s="235"/>
    </row>
    <row r="91" spans="1:19">
      <c r="A91" s="208">
        <v>10</v>
      </c>
      <c r="B91" s="208" t="s">
        <v>522</v>
      </c>
      <c r="C91" s="208" t="s">
        <v>69</v>
      </c>
      <c r="D91" s="209" t="s">
        <v>463</v>
      </c>
      <c r="E91" s="208" t="s">
        <v>584</v>
      </c>
      <c r="F91" s="210">
        <v>12</v>
      </c>
      <c r="G91" s="210" t="s">
        <v>66</v>
      </c>
      <c r="H91" s="233">
        <v>244509</v>
      </c>
      <c r="I91" s="208" t="s">
        <v>202</v>
      </c>
      <c r="J91" s="212" t="s">
        <v>83</v>
      </c>
      <c r="K91" s="233" t="s">
        <v>585</v>
      </c>
      <c r="L91" s="234">
        <v>4</v>
      </c>
      <c r="M91" s="235"/>
    </row>
    <row r="92" spans="1:19">
      <c r="A92" s="208">
        <v>11</v>
      </c>
      <c r="B92" s="208" t="s">
        <v>577</v>
      </c>
      <c r="C92" s="208" t="s">
        <v>69</v>
      </c>
      <c r="D92" s="209" t="s">
        <v>463</v>
      </c>
      <c r="E92" s="208" t="s">
        <v>586</v>
      </c>
      <c r="F92" s="210" t="s">
        <v>113</v>
      </c>
      <c r="G92" s="210" t="s">
        <v>87</v>
      </c>
      <c r="H92" s="233">
        <v>244510</v>
      </c>
      <c r="I92" s="208" t="s">
        <v>267</v>
      </c>
      <c r="J92" s="212" t="s">
        <v>83</v>
      </c>
      <c r="K92" s="233">
        <v>244524</v>
      </c>
      <c r="L92" s="234">
        <v>4</v>
      </c>
      <c r="M92" s="235"/>
    </row>
    <row r="93" spans="1:19">
      <c r="A93" s="208">
        <v>12</v>
      </c>
      <c r="B93" s="208" t="s">
        <v>587</v>
      </c>
      <c r="C93" s="208" t="s">
        <v>69</v>
      </c>
      <c r="D93" s="209" t="s">
        <v>465</v>
      </c>
      <c r="E93" s="208" t="s">
        <v>588</v>
      </c>
      <c r="F93" s="210" t="s">
        <v>113</v>
      </c>
      <c r="G93" s="210" t="s">
        <v>62</v>
      </c>
      <c r="H93" s="233">
        <v>244511</v>
      </c>
      <c r="I93" s="208" t="s">
        <v>589</v>
      </c>
      <c r="J93" s="212" t="s">
        <v>85</v>
      </c>
      <c r="K93" s="233"/>
      <c r="L93" s="234"/>
      <c r="M93" s="235"/>
    </row>
    <row r="94" spans="1:19">
      <c r="A94" s="208">
        <v>13</v>
      </c>
      <c r="B94" s="208" t="s">
        <v>574</v>
      </c>
      <c r="C94" s="208" t="s">
        <v>69</v>
      </c>
      <c r="D94" s="209" t="s">
        <v>465</v>
      </c>
      <c r="E94" s="208" t="s">
        <v>590</v>
      </c>
      <c r="F94" s="210" t="s">
        <v>132</v>
      </c>
      <c r="G94" s="210" t="s">
        <v>67</v>
      </c>
      <c r="H94" s="233">
        <v>244512</v>
      </c>
      <c r="I94" s="208" t="s">
        <v>591</v>
      </c>
      <c r="J94" s="212" t="s">
        <v>85</v>
      </c>
      <c r="K94" s="233"/>
      <c r="L94" s="234"/>
      <c r="M94" s="235"/>
    </row>
    <row r="95" spans="1:19">
      <c r="A95" s="208">
        <v>14</v>
      </c>
      <c r="B95" s="208" t="s">
        <v>574</v>
      </c>
      <c r="C95" s="208" t="s">
        <v>69</v>
      </c>
      <c r="D95" s="209" t="s">
        <v>465</v>
      </c>
      <c r="E95" s="208" t="s">
        <v>592</v>
      </c>
      <c r="F95" s="210" t="s">
        <v>132</v>
      </c>
      <c r="G95" s="210" t="s">
        <v>87</v>
      </c>
      <c r="H95" s="233">
        <v>244512</v>
      </c>
      <c r="I95" s="208" t="s">
        <v>593</v>
      </c>
      <c r="J95" s="212" t="s">
        <v>85</v>
      </c>
      <c r="K95" s="233"/>
      <c r="L95" s="234"/>
      <c r="M95" s="235"/>
    </row>
    <row r="96" spans="1:19">
      <c r="A96" s="208">
        <v>15</v>
      </c>
      <c r="B96" s="208" t="s">
        <v>522</v>
      </c>
      <c r="C96" s="208" t="s">
        <v>69</v>
      </c>
      <c r="D96" s="209" t="s">
        <v>463</v>
      </c>
      <c r="E96" s="208" t="s">
        <v>594</v>
      </c>
      <c r="F96" s="210" t="s">
        <v>132</v>
      </c>
      <c r="G96" s="210" t="s">
        <v>87</v>
      </c>
      <c r="H96" s="233">
        <v>244512</v>
      </c>
      <c r="I96" s="208" t="s">
        <v>593</v>
      </c>
      <c r="J96" s="212" t="s">
        <v>85</v>
      </c>
      <c r="K96" s="233"/>
      <c r="L96" s="234"/>
      <c r="M96" s="235"/>
    </row>
    <row r="97" spans="1:13">
      <c r="A97" s="208">
        <v>16</v>
      </c>
      <c r="B97" s="208" t="s">
        <v>126</v>
      </c>
      <c r="C97" s="208" t="s">
        <v>69</v>
      </c>
      <c r="D97" s="209" t="s">
        <v>463</v>
      </c>
      <c r="E97" s="208" t="s">
        <v>595</v>
      </c>
      <c r="F97" s="210" t="s">
        <v>113</v>
      </c>
      <c r="G97" s="210" t="s">
        <v>87</v>
      </c>
      <c r="H97" s="233">
        <v>244511</v>
      </c>
      <c r="I97" s="208" t="s">
        <v>151</v>
      </c>
      <c r="J97" s="212" t="s">
        <v>83</v>
      </c>
      <c r="K97" s="233">
        <v>244513</v>
      </c>
      <c r="L97" s="234">
        <v>2</v>
      </c>
      <c r="M97" s="235"/>
    </row>
    <row r="98" spans="1:13">
      <c r="A98" s="208">
        <v>17</v>
      </c>
      <c r="B98" s="208" t="s">
        <v>514</v>
      </c>
      <c r="C98" s="208" t="s">
        <v>71</v>
      </c>
      <c r="D98" s="209" t="s">
        <v>465</v>
      </c>
      <c r="E98" s="208" t="s">
        <v>596</v>
      </c>
      <c r="F98" s="210" t="s">
        <v>113</v>
      </c>
      <c r="G98" s="210" t="s">
        <v>61</v>
      </c>
      <c r="H98" s="233">
        <v>244513</v>
      </c>
      <c r="I98" s="208" t="s">
        <v>597</v>
      </c>
      <c r="J98" s="212" t="s">
        <v>83</v>
      </c>
      <c r="K98" s="233">
        <v>244513</v>
      </c>
      <c r="L98" s="234">
        <v>2</v>
      </c>
      <c r="M98" s="235"/>
    </row>
    <row r="99" spans="1:13">
      <c r="A99" s="208">
        <v>18</v>
      </c>
      <c r="B99" s="208" t="s">
        <v>522</v>
      </c>
      <c r="C99" s="208" t="s">
        <v>69</v>
      </c>
      <c r="D99" s="209" t="s">
        <v>465</v>
      </c>
      <c r="E99" s="208" t="s">
        <v>598</v>
      </c>
      <c r="F99" s="210">
        <v>9</v>
      </c>
      <c r="G99" s="210" t="s">
        <v>61</v>
      </c>
      <c r="H99" s="233">
        <v>244513</v>
      </c>
      <c r="I99" s="208" t="s">
        <v>570</v>
      </c>
      <c r="J99" s="212" t="s">
        <v>83</v>
      </c>
      <c r="K99" s="233">
        <v>244513</v>
      </c>
      <c r="L99" s="234">
        <v>2</v>
      </c>
      <c r="M99" s="235"/>
    </row>
    <row r="100" spans="1:13">
      <c r="A100" s="208">
        <v>19</v>
      </c>
      <c r="B100" s="260" t="s">
        <v>522</v>
      </c>
      <c r="C100" s="260" t="s">
        <v>69</v>
      </c>
      <c r="D100" s="261" t="s">
        <v>465</v>
      </c>
      <c r="E100" s="260" t="s">
        <v>582</v>
      </c>
      <c r="F100" s="262">
        <v>15</v>
      </c>
      <c r="G100" s="262" t="s">
        <v>61</v>
      </c>
      <c r="H100" s="263">
        <v>244509</v>
      </c>
      <c r="I100" s="260" t="s">
        <v>599</v>
      </c>
      <c r="J100" s="264" t="s">
        <v>85</v>
      </c>
      <c r="K100" s="263"/>
      <c r="L100" s="265"/>
      <c r="M100" s="266"/>
    </row>
    <row r="101" spans="1:13">
      <c r="A101" s="208">
        <v>20</v>
      </c>
      <c r="B101" s="208" t="s">
        <v>532</v>
      </c>
      <c r="C101" s="208" t="s">
        <v>69</v>
      </c>
      <c r="D101" s="209" t="s">
        <v>463</v>
      </c>
      <c r="E101" s="208" t="s">
        <v>600</v>
      </c>
      <c r="F101" s="210" t="s">
        <v>113</v>
      </c>
      <c r="G101" s="210" t="s">
        <v>60</v>
      </c>
      <c r="H101" s="233">
        <v>244509</v>
      </c>
      <c r="I101" s="208" t="s">
        <v>601</v>
      </c>
      <c r="J101" s="212" t="s">
        <v>83</v>
      </c>
      <c r="K101" s="233">
        <v>244525</v>
      </c>
      <c r="L101" s="234">
        <v>4</v>
      </c>
      <c r="M101" s="235"/>
    </row>
    <row r="102" spans="1:13">
      <c r="A102" s="208">
        <v>21</v>
      </c>
      <c r="B102" s="208" t="s">
        <v>517</v>
      </c>
      <c r="C102" s="208" t="s">
        <v>69</v>
      </c>
      <c r="D102" s="209" t="s">
        <v>463</v>
      </c>
      <c r="E102" s="208" t="s">
        <v>602</v>
      </c>
      <c r="F102" s="210">
        <v>8</v>
      </c>
      <c r="G102" s="210" t="s">
        <v>61</v>
      </c>
      <c r="H102" s="233">
        <v>244516</v>
      </c>
      <c r="I102" s="208" t="s">
        <v>603</v>
      </c>
      <c r="J102" s="212" t="s">
        <v>83</v>
      </c>
      <c r="K102" s="233">
        <v>244516</v>
      </c>
      <c r="L102" s="234">
        <v>3</v>
      </c>
      <c r="M102" s="235"/>
    </row>
    <row r="103" spans="1:13">
      <c r="A103" s="208">
        <v>22</v>
      </c>
      <c r="B103" s="208" t="s">
        <v>532</v>
      </c>
      <c r="C103" s="208" t="s">
        <v>69</v>
      </c>
      <c r="D103" s="209" t="s">
        <v>463</v>
      </c>
      <c r="E103" s="208" t="s">
        <v>604</v>
      </c>
      <c r="F103" s="210" t="s">
        <v>113</v>
      </c>
      <c r="G103" s="210" t="s">
        <v>68</v>
      </c>
      <c r="H103" s="233">
        <v>244517</v>
      </c>
      <c r="I103" s="208" t="s">
        <v>605</v>
      </c>
      <c r="J103" s="212" t="s">
        <v>83</v>
      </c>
      <c r="K103" s="233">
        <v>244525</v>
      </c>
      <c r="L103" s="234">
        <v>4</v>
      </c>
      <c r="M103" s="235"/>
    </row>
    <row r="104" spans="1:13">
      <c r="A104" s="208">
        <v>23</v>
      </c>
      <c r="B104" s="208" t="s">
        <v>532</v>
      </c>
      <c r="C104" s="208" t="s">
        <v>69</v>
      </c>
      <c r="D104" s="209" t="s">
        <v>463</v>
      </c>
      <c r="E104" s="208" t="s">
        <v>606</v>
      </c>
      <c r="F104" s="210"/>
      <c r="G104" s="210" t="s">
        <v>67</v>
      </c>
      <c r="H104" s="233">
        <v>244517</v>
      </c>
      <c r="I104" s="208" t="s">
        <v>175</v>
      </c>
      <c r="J104" s="212" t="s">
        <v>83</v>
      </c>
      <c r="K104" s="233">
        <v>244524</v>
      </c>
      <c r="L104" s="234">
        <v>4</v>
      </c>
      <c r="M104" s="235"/>
    </row>
    <row r="105" spans="1:13">
      <c r="A105" s="208">
        <v>24</v>
      </c>
      <c r="B105" s="208" t="s">
        <v>522</v>
      </c>
      <c r="C105" s="208" t="s">
        <v>71</v>
      </c>
      <c r="D105" s="209" t="s">
        <v>463</v>
      </c>
      <c r="E105" s="208" t="s">
        <v>607</v>
      </c>
      <c r="F105" s="210">
        <v>2</v>
      </c>
      <c r="G105" s="210" t="s">
        <v>68</v>
      </c>
      <c r="H105" s="233">
        <v>244515</v>
      </c>
      <c r="I105" s="208" t="s">
        <v>608</v>
      </c>
      <c r="J105" s="212" t="s">
        <v>83</v>
      </c>
      <c r="K105" s="233">
        <v>244519</v>
      </c>
      <c r="L105" s="234">
        <v>3</v>
      </c>
      <c r="M105" s="235"/>
    </row>
    <row r="106" spans="1:13">
      <c r="A106" s="208">
        <v>25</v>
      </c>
      <c r="B106" s="208" t="s">
        <v>517</v>
      </c>
      <c r="C106" s="208" t="s">
        <v>69</v>
      </c>
      <c r="D106" s="209" t="s">
        <v>465</v>
      </c>
      <c r="E106" s="208" t="s">
        <v>609</v>
      </c>
      <c r="F106" s="210" t="s">
        <v>113</v>
      </c>
      <c r="G106" s="210" t="s">
        <v>67</v>
      </c>
      <c r="H106" s="233">
        <v>244517</v>
      </c>
      <c r="I106" s="208" t="s">
        <v>610</v>
      </c>
      <c r="J106" s="212" t="s">
        <v>83</v>
      </c>
      <c r="K106" s="233">
        <v>244518</v>
      </c>
      <c r="L106" s="234">
        <v>3</v>
      </c>
      <c r="M106" s="235"/>
    </row>
    <row r="107" spans="1:13">
      <c r="A107" s="208">
        <v>26</v>
      </c>
      <c r="B107" s="208" t="s">
        <v>611</v>
      </c>
      <c r="C107" s="208" t="s">
        <v>69</v>
      </c>
      <c r="D107" s="209" t="s">
        <v>465</v>
      </c>
      <c r="E107" s="208" t="s">
        <v>612</v>
      </c>
      <c r="F107" s="210">
        <v>15</v>
      </c>
      <c r="G107" s="210" t="s">
        <v>87</v>
      </c>
      <c r="H107" s="233">
        <v>244517</v>
      </c>
      <c r="I107" s="208" t="s">
        <v>613</v>
      </c>
      <c r="J107" s="212" t="s">
        <v>85</v>
      </c>
      <c r="K107" s="233"/>
      <c r="L107" s="234"/>
      <c r="M107" s="235"/>
    </row>
    <row r="108" spans="1:13">
      <c r="A108" s="208">
        <v>27</v>
      </c>
      <c r="B108" s="208" t="s">
        <v>71</v>
      </c>
      <c r="C108" s="208" t="s">
        <v>71</v>
      </c>
      <c r="D108" s="209" t="s">
        <v>465</v>
      </c>
      <c r="E108" s="208" t="s">
        <v>614</v>
      </c>
      <c r="F108" s="210">
        <v>5</v>
      </c>
      <c r="G108" s="210" t="s">
        <v>66</v>
      </c>
      <c r="H108" s="233">
        <v>244509</v>
      </c>
      <c r="I108" s="208" t="s">
        <v>615</v>
      </c>
      <c r="J108" s="212" t="s">
        <v>83</v>
      </c>
      <c r="K108" s="233">
        <v>244519</v>
      </c>
      <c r="L108" s="234">
        <v>3</v>
      </c>
      <c r="M108" s="235"/>
    </row>
    <row r="109" spans="1:13">
      <c r="A109" s="208">
        <v>28</v>
      </c>
      <c r="B109" s="208" t="s">
        <v>522</v>
      </c>
      <c r="C109" s="208" t="s">
        <v>69</v>
      </c>
      <c r="D109" s="209" t="s">
        <v>463</v>
      </c>
      <c r="E109" s="208" t="s">
        <v>616</v>
      </c>
      <c r="F109" s="210">
        <v>10</v>
      </c>
      <c r="G109" s="210" t="s">
        <v>61</v>
      </c>
      <c r="H109" s="233">
        <v>244522</v>
      </c>
      <c r="I109" s="208" t="s">
        <v>382</v>
      </c>
      <c r="J109" s="212" t="s">
        <v>83</v>
      </c>
      <c r="K109" s="233">
        <v>244524</v>
      </c>
      <c r="L109" s="234">
        <v>4</v>
      </c>
      <c r="M109" s="235"/>
    </row>
    <row r="110" spans="1:13">
      <c r="A110" s="208">
        <v>29</v>
      </c>
      <c r="B110" s="208" t="s">
        <v>517</v>
      </c>
      <c r="C110" s="208" t="s">
        <v>69</v>
      </c>
      <c r="D110" s="209" t="s">
        <v>463</v>
      </c>
      <c r="E110" s="208" t="s">
        <v>617</v>
      </c>
      <c r="F110" s="210">
        <v>6</v>
      </c>
      <c r="G110" s="210" t="s">
        <v>61</v>
      </c>
      <c r="H110" s="233">
        <v>244522</v>
      </c>
      <c r="I110" s="208" t="s">
        <v>415</v>
      </c>
      <c r="J110" s="212" t="s">
        <v>85</v>
      </c>
      <c r="K110" s="233"/>
      <c r="L110" s="234"/>
      <c r="M110" s="235"/>
    </row>
    <row r="111" spans="1:13">
      <c r="A111" s="208">
        <v>30</v>
      </c>
      <c r="B111" s="208" t="s">
        <v>517</v>
      </c>
      <c r="C111" s="208" t="s">
        <v>69</v>
      </c>
      <c r="D111" s="209" t="s">
        <v>463</v>
      </c>
      <c r="E111" s="208" t="s">
        <v>618</v>
      </c>
      <c r="F111" s="210">
        <v>6</v>
      </c>
      <c r="G111" s="210" t="s">
        <v>61</v>
      </c>
      <c r="H111" s="233">
        <v>244522</v>
      </c>
      <c r="I111" s="208" t="s">
        <v>619</v>
      </c>
      <c r="J111" s="212" t="s">
        <v>83</v>
      </c>
      <c r="K111" s="233">
        <v>244524</v>
      </c>
      <c r="L111" s="234">
        <v>4</v>
      </c>
      <c r="M111" s="235"/>
    </row>
    <row r="112" spans="1:13">
      <c r="A112" s="208">
        <v>31</v>
      </c>
      <c r="B112" s="208" t="s">
        <v>532</v>
      </c>
      <c r="C112" s="208" t="s">
        <v>69</v>
      </c>
      <c r="D112" s="209" t="s">
        <v>463</v>
      </c>
      <c r="E112" s="208" t="s">
        <v>620</v>
      </c>
      <c r="F112" s="210">
        <v>8</v>
      </c>
      <c r="G112" s="210" t="s">
        <v>61</v>
      </c>
      <c r="H112" s="233">
        <v>244523</v>
      </c>
      <c r="I112" s="208" t="s">
        <v>179</v>
      </c>
      <c r="J112" s="212" t="s">
        <v>83</v>
      </c>
      <c r="K112" s="233">
        <v>244528</v>
      </c>
      <c r="L112" s="234">
        <v>4</v>
      </c>
      <c r="M112" s="235"/>
    </row>
    <row r="113" spans="1:13">
      <c r="A113" s="208">
        <v>32</v>
      </c>
      <c r="B113" s="208" t="s">
        <v>522</v>
      </c>
      <c r="C113" s="208" t="s">
        <v>69</v>
      </c>
      <c r="D113" s="209" t="s">
        <v>465</v>
      </c>
      <c r="E113" s="208" t="s">
        <v>621</v>
      </c>
      <c r="F113" s="210">
        <v>5</v>
      </c>
      <c r="G113" s="210" t="s">
        <v>60</v>
      </c>
      <c r="H113" s="233">
        <v>244524</v>
      </c>
      <c r="I113" s="208" t="s">
        <v>622</v>
      </c>
      <c r="J113" s="212" t="s">
        <v>83</v>
      </c>
      <c r="K113" s="233">
        <v>244528</v>
      </c>
      <c r="L113" s="234">
        <v>4</v>
      </c>
      <c r="M113" s="235"/>
    </row>
    <row r="114" spans="1:13">
      <c r="A114" s="208">
        <v>33</v>
      </c>
      <c r="B114" s="208" t="s">
        <v>623</v>
      </c>
      <c r="C114" s="208" t="s">
        <v>69</v>
      </c>
      <c r="D114" s="209" t="s">
        <v>465</v>
      </c>
      <c r="E114" s="208" t="s">
        <v>624</v>
      </c>
      <c r="F114" s="210">
        <v>12</v>
      </c>
      <c r="G114" s="210" t="s">
        <v>66</v>
      </c>
      <c r="H114" s="233">
        <v>244524</v>
      </c>
      <c r="I114" s="208"/>
      <c r="J114" s="212" t="s">
        <v>83</v>
      </c>
      <c r="K114" s="233">
        <v>244528</v>
      </c>
      <c r="L114" s="234">
        <v>4</v>
      </c>
      <c r="M114" s="235"/>
    </row>
    <row r="115" spans="1:13">
      <c r="A115" s="208">
        <v>34</v>
      </c>
      <c r="B115" s="208" t="s">
        <v>623</v>
      </c>
      <c r="C115" s="208" t="s">
        <v>69</v>
      </c>
      <c r="D115" s="209" t="s">
        <v>463</v>
      </c>
      <c r="E115" s="208" t="s">
        <v>625</v>
      </c>
      <c r="F115" s="210">
        <v>10</v>
      </c>
      <c r="G115" s="210" t="s">
        <v>66</v>
      </c>
      <c r="H115" s="233">
        <v>244524</v>
      </c>
      <c r="I115" s="208"/>
      <c r="J115" s="212" t="s">
        <v>85</v>
      </c>
      <c r="K115" s="233"/>
      <c r="L115" s="234"/>
      <c r="M115" s="235"/>
    </row>
    <row r="116" spans="1:13">
      <c r="A116" s="208">
        <v>35</v>
      </c>
      <c r="B116" s="208" t="s">
        <v>623</v>
      </c>
      <c r="C116" s="208" t="s">
        <v>69</v>
      </c>
      <c r="D116" s="209" t="s">
        <v>463</v>
      </c>
      <c r="E116" s="208" t="s">
        <v>626</v>
      </c>
      <c r="F116" s="210">
        <v>10</v>
      </c>
      <c r="G116" s="210" t="s">
        <v>67</v>
      </c>
      <c r="H116" s="233">
        <v>244524</v>
      </c>
      <c r="I116" s="208"/>
      <c r="J116" s="212" t="s">
        <v>83</v>
      </c>
      <c r="K116" s="233">
        <v>244528</v>
      </c>
      <c r="L116" s="234">
        <v>4</v>
      </c>
      <c r="M116" s="235"/>
    </row>
    <row r="117" spans="1:13">
      <c r="A117" s="208">
        <v>36</v>
      </c>
      <c r="B117" s="208" t="s">
        <v>532</v>
      </c>
      <c r="C117" s="208" t="s">
        <v>69</v>
      </c>
      <c r="D117" s="209" t="s">
        <v>463</v>
      </c>
      <c r="E117" s="208" t="s">
        <v>627</v>
      </c>
      <c r="F117" s="210">
        <v>7</v>
      </c>
      <c r="G117" s="210" t="s">
        <v>61</v>
      </c>
      <c r="H117" s="233">
        <v>244525</v>
      </c>
      <c r="I117" s="208" t="s">
        <v>293</v>
      </c>
      <c r="J117" s="212" t="s">
        <v>83</v>
      </c>
      <c r="K117" s="233">
        <v>244526</v>
      </c>
      <c r="L117" s="234">
        <v>4</v>
      </c>
      <c r="M117" s="235"/>
    </row>
    <row r="118" spans="1:13">
      <c r="A118" s="208">
        <v>37</v>
      </c>
      <c r="B118" s="208" t="s">
        <v>532</v>
      </c>
      <c r="C118" s="208" t="s">
        <v>69</v>
      </c>
      <c r="D118" s="209" t="s">
        <v>463</v>
      </c>
      <c r="E118" s="208" t="s">
        <v>628</v>
      </c>
      <c r="F118" s="210">
        <v>8</v>
      </c>
      <c r="G118" s="210" t="s">
        <v>61</v>
      </c>
      <c r="H118" s="233">
        <v>244525</v>
      </c>
      <c r="I118" s="208" t="s">
        <v>629</v>
      </c>
      <c r="J118" s="212" t="s">
        <v>83</v>
      </c>
      <c r="K118" s="233">
        <v>244528</v>
      </c>
      <c r="L118" s="234">
        <v>4</v>
      </c>
      <c r="M118" s="235"/>
    </row>
    <row r="119" spans="1:13">
      <c r="A119" s="208">
        <v>38</v>
      </c>
      <c r="B119" s="208" t="s">
        <v>571</v>
      </c>
      <c r="C119" s="208" t="s">
        <v>69</v>
      </c>
      <c r="D119" s="209" t="s">
        <v>463</v>
      </c>
      <c r="E119" s="208" t="s">
        <v>630</v>
      </c>
      <c r="F119" s="210">
        <v>10</v>
      </c>
      <c r="G119" s="210" t="s">
        <v>68</v>
      </c>
      <c r="H119" s="233">
        <v>244525</v>
      </c>
      <c r="I119" s="208" t="s">
        <v>631</v>
      </c>
      <c r="J119" s="212" t="s">
        <v>83</v>
      </c>
      <c r="K119" s="233">
        <v>244528</v>
      </c>
      <c r="L119" s="234">
        <v>4</v>
      </c>
      <c r="M119" s="235"/>
    </row>
    <row r="120" spans="1:13">
      <c r="A120" s="208">
        <v>39</v>
      </c>
      <c r="B120" s="208" t="s">
        <v>532</v>
      </c>
      <c r="C120" s="208" t="s">
        <v>69</v>
      </c>
      <c r="D120" s="209" t="s">
        <v>463</v>
      </c>
      <c r="E120" s="208" t="s">
        <v>632</v>
      </c>
      <c r="F120" s="210" t="s">
        <v>113</v>
      </c>
      <c r="G120" s="210" t="s">
        <v>68</v>
      </c>
      <c r="H120" s="233">
        <v>244524</v>
      </c>
      <c r="I120" s="208"/>
      <c r="J120" s="212" t="s">
        <v>83</v>
      </c>
      <c r="K120" s="233">
        <v>244525</v>
      </c>
      <c r="L120" s="234">
        <v>4</v>
      </c>
      <c r="M120" s="235"/>
    </row>
    <row r="121" spans="1:13">
      <c r="A121" s="208">
        <v>40</v>
      </c>
      <c r="B121" s="208" t="s">
        <v>532</v>
      </c>
      <c r="C121" s="208" t="s">
        <v>69</v>
      </c>
      <c r="D121" s="209" t="s">
        <v>463</v>
      </c>
      <c r="E121" s="208" t="s">
        <v>633</v>
      </c>
      <c r="F121" s="210" t="s">
        <v>113</v>
      </c>
      <c r="G121" s="210" t="s">
        <v>68</v>
      </c>
      <c r="H121" s="233">
        <v>244524</v>
      </c>
      <c r="I121" s="208" t="s">
        <v>634</v>
      </c>
      <c r="J121" s="212" t="s">
        <v>83</v>
      </c>
      <c r="K121" s="233">
        <v>244525</v>
      </c>
      <c r="L121" s="234">
        <v>4</v>
      </c>
      <c r="M121" s="235"/>
    </row>
    <row r="122" spans="1:13">
      <c r="A122" s="208">
        <v>41</v>
      </c>
      <c r="B122" s="208" t="s">
        <v>532</v>
      </c>
      <c r="C122" s="208" t="s">
        <v>69</v>
      </c>
      <c r="D122" s="209" t="s">
        <v>463</v>
      </c>
      <c r="E122" s="208" t="s">
        <v>635</v>
      </c>
      <c r="F122" s="210">
        <v>5</v>
      </c>
      <c r="G122" s="210" t="s">
        <v>68</v>
      </c>
      <c r="H122" s="233">
        <v>244524</v>
      </c>
      <c r="I122" s="208" t="s">
        <v>634</v>
      </c>
      <c r="J122" s="212" t="s">
        <v>83</v>
      </c>
      <c r="K122" s="233">
        <v>244525</v>
      </c>
      <c r="L122" s="234">
        <v>4</v>
      </c>
      <c r="M122" s="235"/>
    </row>
    <row r="123" spans="1:13">
      <c r="A123" s="208">
        <v>42</v>
      </c>
      <c r="B123" s="208" t="s">
        <v>532</v>
      </c>
      <c r="C123" s="208" t="s">
        <v>69</v>
      </c>
      <c r="D123" s="209" t="s">
        <v>463</v>
      </c>
      <c r="E123" s="208" t="s">
        <v>636</v>
      </c>
      <c r="F123" s="210" t="s">
        <v>113</v>
      </c>
      <c r="G123" s="210" t="s">
        <v>68</v>
      </c>
      <c r="H123" s="233">
        <v>244524</v>
      </c>
      <c r="I123" s="208" t="s">
        <v>637</v>
      </c>
      <c r="J123" s="212" t="s">
        <v>83</v>
      </c>
      <c r="K123" s="233">
        <v>244525</v>
      </c>
      <c r="L123" s="234">
        <v>4</v>
      </c>
      <c r="M123" s="235"/>
    </row>
    <row r="124" spans="1:13">
      <c r="A124" s="208">
        <v>43</v>
      </c>
      <c r="B124" s="208" t="s">
        <v>532</v>
      </c>
      <c r="C124" s="208" t="s">
        <v>69</v>
      </c>
      <c r="D124" s="209" t="s">
        <v>463</v>
      </c>
      <c r="E124" s="208" t="s">
        <v>638</v>
      </c>
      <c r="F124" s="210" t="s">
        <v>113</v>
      </c>
      <c r="G124" s="210" t="s">
        <v>68</v>
      </c>
      <c r="H124" s="233">
        <v>244524</v>
      </c>
      <c r="I124" s="208" t="s">
        <v>639</v>
      </c>
      <c r="J124" s="212" t="s">
        <v>83</v>
      </c>
      <c r="K124" s="233">
        <v>244525</v>
      </c>
      <c r="L124" s="234">
        <v>4</v>
      </c>
      <c r="M124" s="235"/>
    </row>
    <row r="125" spans="1:13">
      <c r="A125" s="208">
        <v>44</v>
      </c>
      <c r="B125" s="208" t="s">
        <v>522</v>
      </c>
      <c r="C125" s="208" t="s">
        <v>69</v>
      </c>
      <c r="D125" s="209" t="s">
        <v>465</v>
      </c>
      <c r="E125" s="208" t="s">
        <v>640</v>
      </c>
      <c r="F125" s="210">
        <v>14</v>
      </c>
      <c r="G125" s="210" t="s">
        <v>87</v>
      </c>
      <c r="H125" s="233">
        <v>244525</v>
      </c>
      <c r="I125" s="208" t="s">
        <v>641</v>
      </c>
      <c r="J125" s="212" t="s">
        <v>83</v>
      </c>
      <c r="K125" s="233">
        <v>244525</v>
      </c>
      <c r="L125" s="234">
        <v>4</v>
      </c>
      <c r="M125" s="235"/>
    </row>
    <row r="126" spans="1:13">
      <c r="A126" s="208">
        <v>45</v>
      </c>
      <c r="B126" s="208" t="s">
        <v>522</v>
      </c>
      <c r="C126" s="208" t="s">
        <v>69</v>
      </c>
      <c r="D126" s="209" t="s">
        <v>465</v>
      </c>
      <c r="E126" s="208" t="s">
        <v>642</v>
      </c>
      <c r="F126" s="210">
        <v>5</v>
      </c>
      <c r="G126" s="210" t="s">
        <v>60</v>
      </c>
      <c r="H126" s="233">
        <v>244527</v>
      </c>
      <c r="I126" s="208" t="s">
        <v>210</v>
      </c>
      <c r="J126" s="212" t="s">
        <v>83</v>
      </c>
      <c r="K126" s="233">
        <v>244534</v>
      </c>
      <c r="L126" s="234">
        <v>1</v>
      </c>
      <c r="M126" s="235"/>
    </row>
    <row r="127" spans="1:13">
      <c r="A127" s="208">
        <v>46</v>
      </c>
      <c r="B127" s="222" t="s">
        <v>643</v>
      </c>
      <c r="C127" s="222" t="s">
        <v>69</v>
      </c>
      <c r="D127" s="246" t="s">
        <v>463</v>
      </c>
      <c r="E127" s="222" t="s">
        <v>644</v>
      </c>
      <c r="F127" s="223" t="s">
        <v>113</v>
      </c>
      <c r="G127" s="223" t="s">
        <v>87</v>
      </c>
      <c r="H127" s="233">
        <v>244527</v>
      </c>
      <c r="I127" s="222" t="s">
        <v>646</v>
      </c>
      <c r="J127" s="212" t="s">
        <v>83</v>
      </c>
      <c r="K127" s="233">
        <v>244528</v>
      </c>
      <c r="L127" s="234">
        <v>4</v>
      </c>
      <c r="M127" s="235"/>
    </row>
    <row r="128" spans="1:13">
      <c r="A128" s="208">
        <v>47</v>
      </c>
      <c r="B128" s="208" t="s">
        <v>71</v>
      </c>
      <c r="C128" s="208" t="s">
        <v>71</v>
      </c>
      <c r="D128" s="209" t="s">
        <v>465</v>
      </c>
      <c r="E128" s="222" t="s">
        <v>647</v>
      </c>
      <c r="F128" s="223" t="s">
        <v>113</v>
      </c>
      <c r="G128" s="223" t="s">
        <v>68</v>
      </c>
      <c r="H128" s="233">
        <v>244529</v>
      </c>
      <c r="I128" s="208" t="s">
        <v>648</v>
      </c>
      <c r="J128" s="212" t="s">
        <v>85</v>
      </c>
      <c r="K128" s="233"/>
      <c r="L128" s="234"/>
      <c r="M128" s="235"/>
    </row>
    <row r="129" spans="1:13">
      <c r="A129" s="208">
        <v>48</v>
      </c>
      <c r="B129" s="222" t="s">
        <v>577</v>
      </c>
      <c r="C129" s="222" t="s">
        <v>69</v>
      </c>
      <c r="D129" s="246" t="s">
        <v>465</v>
      </c>
      <c r="E129" s="222" t="s">
        <v>649</v>
      </c>
      <c r="F129" s="223">
        <v>12</v>
      </c>
      <c r="G129" s="223" t="s">
        <v>66</v>
      </c>
      <c r="H129" s="233">
        <v>244528</v>
      </c>
      <c r="I129" s="222" t="s">
        <v>473</v>
      </c>
      <c r="J129" s="212" t="s">
        <v>83</v>
      </c>
      <c r="K129" s="233">
        <v>244528</v>
      </c>
      <c r="L129" s="234">
        <v>4</v>
      </c>
      <c r="M129" s="235"/>
    </row>
    <row r="130" spans="1:13" ht="30" customHeight="1">
      <c r="A130" s="508"/>
      <c r="B130" s="510" t="s">
        <v>455</v>
      </c>
      <c r="C130" s="511"/>
      <c r="D130" s="511"/>
      <c r="E130" s="511"/>
      <c r="F130" s="511"/>
      <c r="G130" s="511"/>
      <c r="H130" s="511"/>
      <c r="I130" s="511"/>
      <c r="J130" s="511"/>
      <c r="K130" s="511"/>
      <c r="L130" s="511"/>
      <c r="M130" s="226"/>
    </row>
    <row r="131" spans="1:13" ht="30" customHeight="1">
      <c r="A131" s="508"/>
      <c r="B131" s="510" t="s">
        <v>650</v>
      </c>
      <c r="C131" s="511"/>
      <c r="D131" s="511"/>
      <c r="E131" s="511"/>
      <c r="F131" s="511"/>
      <c r="G131" s="511"/>
      <c r="H131" s="511"/>
      <c r="I131" s="511"/>
      <c r="J131" s="511"/>
      <c r="K131" s="511"/>
      <c r="L131" s="511"/>
      <c r="M131" s="226"/>
    </row>
    <row r="132" spans="1:13" s="195" customFormat="1" ht="25.05" customHeight="1">
      <c r="A132" s="267" t="s">
        <v>92</v>
      </c>
      <c r="B132" s="267" t="s">
        <v>505</v>
      </c>
      <c r="C132" s="267" t="s">
        <v>96</v>
      </c>
      <c r="D132" s="267" t="s">
        <v>459</v>
      </c>
      <c r="E132" s="267" t="s">
        <v>460</v>
      </c>
      <c r="F132" s="267" t="s">
        <v>97</v>
      </c>
      <c r="G132" s="267" t="s">
        <v>89</v>
      </c>
      <c r="H132" s="268" t="s">
        <v>461</v>
      </c>
      <c r="I132" s="267" t="s">
        <v>139</v>
      </c>
      <c r="J132" s="269" t="s">
        <v>462</v>
      </c>
      <c r="K132" s="268" t="s">
        <v>144</v>
      </c>
      <c r="L132" s="268" t="s">
        <v>42</v>
      </c>
      <c r="M132" s="268" t="s">
        <v>651</v>
      </c>
    </row>
    <row r="133" spans="1:13">
      <c r="A133" s="239">
        <v>1</v>
      </c>
      <c r="B133" s="239" t="s">
        <v>652</v>
      </c>
      <c r="C133" s="239" t="s">
        <v>76</v>
      </c>
      <c r="D133" s="248" t="s">
        <v>465</v>
      </c>
      <c r="E133" s="239" t="s">
        <v>653</v>
      </c>
      <c r="F133" s="234">
        <v>4</v>
      </c>
      <c r="G133" s="234" t="s">
        <v>66</v>
      </c>
      <c r="H133" s="240">
        <v>244531</v>
      </c>
      <c r="I133" s="239" t="s">
        <v>654</v>
      </c>
      <c r="J133" s="241" t="s">
        <v>3</v>
      </c>
      <c r="K133" s="240"/>
      <c r="L133" s="234"/>
      <c r="M133" s="234">
        <v>1</v>
      </c>
    </row>
    <row r="134" spans="1:13">
      <c r="A134" s="239">
        <v>2</v>
      </c>
      <c r="B134" s="239" t="s">
        <v>71</v>
      </c>
      <c r="C134" s="239" t="s">
        <v>71</v>
      </c>
      <c r="D134" s="248" t="s">
        <v>465</v>
      </c>
      <c r="E134" s="438" t="s">
        <v>647</v>
      </c>
      <c r="F134" s="234" t="s">
        <v>113</v>
      </c>
      <c r="G134" s="234" t="s">
        <v>68</v>
      </c>
      <c r="H134" s="240">
        <v>244529</v>
      </c>
      <c r="I134" s="239" t="s">
        <v>648</v>
      </c>
      <c r="J134" s="241" t="s">
        <v>83</v>
      </c>
      <c r="K134" s="240">
        <v>244535</v>
      </c>
      <c r="L134" s="234">
        <v>1</v>
      </c>
      <c r="M134" s="234">
        <v>1</v>
      </c>
    </row>
    <row r="135" spans="1:13">
      <c r="A135" s="239">
        <v>3</v>
      </c>
      <c r="B135" s="239" t="s">
        <v>574</v>
      </c>
      <c r="C135" s="239" t="s">
        <v>69</v>
      </c>
      <c r="D135" s="248" t="s">
        <v>465</v>
      </c>
      <c r="E135" s="239" t="s">
        <v>575</v>
      </c>
      <c r="F135" s="234"/>
      <c r="G135" s="234" t="s">
        <v>67</v>
      </c>
      <c r="H135" s="240">
        <v>244505</v>
      </c>
      <c r="I135" s="239" t="s">
        <v>576</v>
      </c>
      <c r="J135" s="241" t="s">
        <v>3</v>
      </c>
      <c r="K135" s="240"/>
      <c r="L135" s="234"/>
      <c r="M135" s="234">
        <v>1</v>
      </c>
    </row>
    <row r="136" spans="1:13">
      <c r="A136" s="239">
        <v>4</v>
      </c>
      <c r="B136" s="239" t="s">
        <v>587</v>
      </c>
      <c r="C136" s="239" t="s">
        <v>69</v>
      </c>
      <c r="D136" s="248" t="s">
        <v>465</v>
      </c>
      <c r="E136" s="239" t="s">
        <v>588</v>
      </c>
      <c r="F136" s="234" t="s">
        <v>113</v>
      </c>
      <c r="G136" s="234" t="s">
        <v>62</v>
      </c>
      <c r="H136" s="240">
        <v>244511</v>
      </c>
      <c r="I136" s="239" t="s">
        <v>589</v>
      </c>
      <c r="J136" s="241" t="s">
        <v>3</v>
      </c>
      <c r="K136" s="240"/>
      <c r="L136" s="234"/>
      <c r="M136" s="234">
        <v>1</v>
      </c>
    </row>
    <row r="137" spans="1:13">
      <c r="A137" s="239">
        <v>5</v>
      </c>
      <c r="B137" s="239" t="s">
        <v>574</v>
      </c>
      <c r="C137" s="239" t="s">
        <v>69</v>
      </c>
      <c r="D137" s="248" t="s">
        <v>465</v>
      </c>
      <c r="E137" s="239" t="s">
        <v>590</v>
      </c>
      <c r="F137" s="234" t="s">
        <v>132</v>
      </c>
      <c r="G137" s="234" t="s">
        <v>67</v>
      </c>
      <c r="H137" s="240">
        <v>244512</v>
      </c>
      <c r="I137" s="239" t="s">
        <v>591</v>
      </c>
      <c r="J137" s="241" t="s">
        <v>3</v>
      </c>
      <c r="K137" s="240"/>
      <c r="L137" s="234"/>
      <c r="M137" s="234">
        <v>1</v>
      </c>
    </row>
    <row r="138" spans="1:13">
      <c r="A138" s="239">
        <v>6</v>
      </c>
      <c r="B138" s="239" t="s">
        <v>574</v>
      </c>
      <c r="C138" s="239" t="s">
        <v>69</v>
      </c>
      <c r="D138" s="248" t="s">
        <v>465</v>
      </c>
      <c r="E138" s="239" t="s">
        <v>592</v>
      </c>
      <c r="F138" s="234" t="s">
        <v>132</v>
      </c>
      <c r="G138" s="234" t="s">
        <v>87</v>
      </c>
      <c r="H138" s="240">
        <v>244512</v>
      </c>
      <c r="I138" s="239" t="s">
        <v>593</v>
      </c>
      <c r="J138" s="241" t="s">
        <v>3</v>
      </c>
      <c r="K138" s="240"/>
      <c r="L138" s="234"/>
      <c r="M138" s="234">
        <v>1</v>
      </c>
    </row>
    <row r="139" spans="1:13">
      <c r="A139" s="239">
        <v>7</v>
      </c>
      <c r="B139" s="239" t="s">
        <v>522</v>
      </c>
      <c r="C139" s="239" t="s">
        <v>69</v>
      </c>
      <c r="D139" s="248" t="s">
        <v>463</v>
      </c>
      <c r="E139" s="239" t="s">
        <v>594</v>
      </c>
      <c r="F139" s="234" t="s">
        <v>132</v>
      </c>
      <c r="G139" s="234" t="s">
        <v>87</v>
      </c>
      <c r="H139" s="240">
        <v>244512</v>
      </c>
      <c r="I139" s="239" t="s">
        <v>593</v>
      </c>
      <c r="J139" s="241" t="s">
        <v>3</v>
      </c>
      <c r="K139" s="240"/>
      <c r="L139" s="234"/>
      <c r="M139" s="234">
        <v>1</v>
      </c>
    </row>
    <row r="140" spans="1:13">
      <c r="A140" s="239">
        <v>8</v>
      </c>
      <c r="B140" s="439" t="s">
        <v>522</v>
      </c>
      <c r="C140" s="439" t="s">
        <v>69</v>
      </c>
      <c r="D140" s="440" t="s">
        <v>465</v>
      </c>
      <c r="E140" s="439" t="s">
        <v>582</v>
      </c>
      <c r="F140" s="265">
        <v>15</v>
      </c>
      <c r="G140" s="265" t="s">
        <v>61</v>
      </c>
      <c r="H140" s="441">
        <v>244509</v>
      </c>
      <c r="I140" s="439" t="s">
        <v>599</v>
      </c>
      <c r="J140" s="241" t="s">
        <v>84</v>
      </c>
      <c r="K140" s="240"/>
      <c r="L140" s="234"/>
      <c r="M140" s="234">
        <v>1</v>
      </c>
    </row>
    <row r="141" spans="1:13">
      <c r="A141" s="239">
        <v>9</v>
      </c>
      <c r="B141" s="239" t="s">
        <v>611</v>
      </c>
      <c r="C141" s="239" t="s">
        <v>69</v>
      </c>
      <c r="D141" s="248" t="s">
        <v>465</v>
      </c>
      <c r="E141" s="239" t="s">
        <v>612</v>
      </c>
      <c r="F141" s="234">
        <v>15</v>
      </c>
      <c r="G141" s="234" t="s">
        <v>166</v>
      </c>
      <c r="H141" s="240">
        <v>244517</v>
      </c>
      <c r="I141" s="239" t="s">
        <v>613</v>
      </c>
      <c r="J141" s="241" t="s">
        <v>3</v>
      </c>
      <c r="K141" s="240"/>
      <c r="L141" s="234"/>
      <c r="M141" s="234">
        <v>1</v>
      </c>
    </row>
    <row r="142" spans="1:13">
      <c r="A142" s="239">
        <v>10</v>
      </c>
      <c r="B142" s="239" t="s">
        <v>517</v>
      </c>
      <c r="C142" s="239" t="s">
        <v>69</v>
      </c>
      <c r="D142" s="248" t="s">
        <v>463</v>
      </c>
      <c r="E142" s="239" t="s">
        <v>617</v>
      </c>
      <c r="F142" s="234">
        <v>6</v>
      </c>
      <c r="G142" s="234" t="s">
        <v>61</v>
      </c>
      <c r="H142" s="240">
        <v>244522</v>
      </c>
      <c r="I142" s="239" t="s">
        <v>415</v>
      </c>
      <c r="J142" s="241" t="s">
        <v>84</v>
      </c>
      <c r="K142" s="240"/>
      <c r="L142" s="234"/>
      <c r="M142" s="234">
        <v>1</v>
      </c>
    </row>
    <row r="143" spans="1:13">
      <c r="A143" s="239">
        <v>11</v>
      </c>
      <c r="B143" s="239" t="s">
        <v>623</v>
      </c>
      <c r="C143" s="239" t="s">
        <v>69</v>
      </c>
      <c r="D143" s="248" t="s">
        <v>463</v>
      </c>
      <c r="E143" s="239" t="s">
        <v>625</v>
      </c>
      <c r="F143" s="234">
        <v>10</v>
      </c>
      <c r="G143" s="234" t="s">
        <v>66</v>
      </c>
      <c r="H143" s="240">
        <v>244524</v>
      </c>
      <c r="I143" s="239"/>
      <c r="J143" s="241" t="s">
        <v>3</v>
      </c>
      <c r="K143" s="240"/>
      <c r="L143" s="234"/>
      <c r="M143" s="234">
        <v>1</v>
      </c>
    </row>
    <row r="144" spans="1:13">
      <c r="A144" s="239">
        <v>12</v>
      </c>
      <c r="B144" s="438" t="s">
        <v>532</v>
      </c>
      <c r="C144" s="239" t="s">
        <v>69</v>
      </c>
      <c r="D144" s="248" t="s">
        <v>463</v>
      </c>
      <c r="E144" s="438" t="s">
        <v>778</v>
      </c>
      <c r="F144" s="234">
        <v>5</v>
      </c>
      <c r="G144" s="234" t="s">
        <v>61</v>
      </c>
      <c r="H144" s="240">
        <v>244502</v>
      </c>
      <c r="I144" s="239"/>
      <c r="J144" s="241" t="s">
        <v>3</v>
      </c>
      <c r="K144" s="240"/>
      <c r="L144" s="234"/>
      <c r="M144" s="234">
        <v>1</v>
      </c>
    </row>
    <row r="145" spans="1:13">
      <c r="A145" s="239">
        <v>13</v>
      </c>
      <c r="B145" s="438" t="s">
        <v>152</v>
      </c>
      <c r="C145" s="239" t="s">
        <v>69</v>
      </c>
      <c r="D145" s="248" t="s">
        <v>465</v>
      </c>
      <c r="E145" s="438" t="s">
        <v>779</v>
      </c>
      <c r="F145" s="234"/>
      <c r="G145" s="234" t="s">
        <v>780</v>
      </c>
      <c r="H145" s="240">
        <v>244531</v>
      </c>
      <c r="I145" s="239"/>
      <c r="J145" s="241" t="s">
        <v>83</v>
      </c>
      <c r="K145" s="240">
        <v>244532</v>
      </c>
      <c r="L145" s="234">
        <v>1</v>
      </c>
      <c r="M145" s="234">
        <v>1</v>
      </c>
    </row>
    <row r="146" spans="1:13">
      <c r="A146" s="239">
        <v>14</v>
      </c>
      <c r="B146" s="438" t="s">
        <v>152</v>
      </c>
      <c r="C146" s="239" t="s">
        <v>69</v>
      </c>
      <c r="D146" s="248" t="s">
        <v>465</v>
      </c>
      <c r="E146" s="438" t="s">
        <v>781</v>
      </c>
      <c r="F146" s="234"/>
      <c r="G146" s="234" t="s">
        <v>780</v>
      </c>
      <c r="H146" s="240">
        <v>244531</v>
      </c>
      <c r="I146" s="239"/>
      <c r="J146" s="241" t="s">
        <v>83</v>
      </c>
      <c r="K146" s="240">
        <v>244532</v>
      </c>
      <c r="L146" s="234">
        <v>1</v>
      </c>
      <c r="M146" s="234">
        <v>1</v>
      </c>
    </row>
    <row r="147" spans="1:13">
      <c r="A147" s="239">
        <v>15</v>
      </c>
      <c r="B147" s="438" t="s">
        <v>782</v>
      </c>
      <c r="C147" s="239" t="s">
        <v>69</v>
      </c>
      <c r="D147" s="248" t="s">
        <v>463</v>
      </c>
      <c r="E147" s="438" t="s">
        <v>783</v>
      </c>
      <c r="F147" s="234">
        <v>5</v>
      </c>
      <c r="G147" s="234" t="s">
        <v>66</v>
      </c>
      <c r="H147" s="240">
        <v>244532</v>
      </c>
      <c r="I147" s="239"/>
      <c r="J147" s="241" t="s">
        <v>3</v>
      </c>
      <c r="K147" s="240"/>
      <c r="L147" s="234"/>
      <c r="M147" s="234">
        <v>1</v>
      </c>
    </row>
    <row r="148" spans="1:13">
      <c r="A148" s="239">
        <v>16</v>
      </c>
      <c r="B148" s="438" t="s">
        <v>784</v>
      </c>
      <c r="C148" s="239" t="s">
        <v>69</v>
      </c>
      <c r="D148" s="248" t="s">
        <v>463</v>
      </c>
      <c r="E148" s="438" t="s">
        <v>785</v>
      </c>
      <c r="F148" s="234" t="s">
        <v>132</v>
      </c>
      <c r="G148" s="234" t="s">
        <v>67</v>
      </c>
      <c r="H148" s="240">
        <v>244533</v>
      </c>
      <c r="I148" s="239"/>
      <c r="J148" s="241" t="s">
        <v>3</v>
      </c>
      <c r="K148" s="240"/>
      <c r="L148" s="234"/>
      <c r="M148" s="234">
        <v>1</v>
      </c>
    </row>
    <row r="149" spans="1:13">
      <c r="A149" s="239">
        <v>17</v>
      </c>
      <c r="B149" s="438" t="s">
        <v>522</v>
      </c>
      <c r="C149" s="239" t="s">
        <v>69</v>
      </c>
      <c r="D149" s="248" t="s">
        <v>465</v>
      </c>
      <c r="E149" s="438" t="s">
        <v>642</v>
      </c>
      <c r="F149" s="234">
        <v>5</v>
      </c>
      <c r="G149" s="234" t="s">
        <v>60</v>
      </c>
      <c r="H149" s="240">
        <v>244527</v>
      </c>
      <c r="I149" s="239"/>
      <c r="J149" s="241" t="s">
        <v>83</v>
      </c>
      <c r="K149" s="240">
        <v>244534</v>
      </c>
      <c r="L149" s="234">
        <v>1</v>
      </c>
      <c r="M149" s="234">
        <v>1</v>
      </c>
    </row>
    <row r="150" spans="1:13">
      <c r="A150" s="239">
        <v>18</v>
      </c>
      <c r="B150" s="438" t="s">
        <v>152</v>
      </c>
      <c r="C150" s="239" t="s">
        <v>69</v>
      </c>
      <c r="D150" s="248" t="s">
        <v>465</v>
      </c>
      <c r="E150" s="438" t="s">
        <v>786</v>
      </c>
      <c r="F150" s="234">
        <v>5</v>
      </c>
      <c r="G150" s="234" t="s">
        <v>60</v>
      </c>
      <c r="H150" s="240">
        <v>244534</v>
      </c>
      <c r="I150" s="239"/>
      <c r="J150" s="241" t="s">
        <v>83</v>
      </c>
      <c r="K150" s="240">
        <v>244534</v>
      </c>
      <c r="L150" s="234">
        <v>1</v>
      </c>
      <c r="M150" s="234">
        <v>1</v>
      </c>
    </row>
    <row r="151" spans="1:13">
      <c r="A151" s="239">
        <v>19</v>
      </c>
      <c r="B151" s="438" t="s">
        <v>532</v>
      </c>
      <c r="C151" s="239" t="s">
        <v>69</v>
      </c>
      <c r="D151" s="248" t="s">
        <v>463</v>
      </c>
      <c r="E151" s="438" t="s">
        <v>787</v>
      </c>
      <c r="F151" s="234">
        <v>6</v>
      </c>
      <c r="G151" s="234" t="s">
        <v>60</v>
      </c>
      <c r="H151" s="240">
        <v>244534</v>
      </c>
      <c r="I151" s="239"/>
      <c r="J151" s="241" t="s">
        <v>83</v>
      </c>
      <c r="K151" s="240">
        <v>244534</v>
      </c>
      <c r="L151" s="234">
        <v>1</v>
      </c>
      <c r="M151" s="234">
        <v>1</v>
      </c>
    </row>
    <row r="152" spans="1:13">
      <c r="A152" s="239">
        <v>20</v>
      </c>
      <c r="B152" s="438" t="s">
        <v>152</v>
      </c>
      <c r="C152" s="239" t="s">
        <v>69</v>
      </c>
      <c r="D152" s="248" t="s">
        <v>465</v>
      </c>
      <c r="E152" s="438" t="s">
        <v>788</v>
      </c>
      <c r="F152" s="234">
        <v>3</v>
      </c>
      <c r="G152" s="234" t="s">
        <v>60</v>
      </c>
      <c r="H152" s="240">
        <v>244534</v>
      </c>
      <c r="I152" s="239"/>
      <c r="J152" s="241" t="s">
        <v>83</v>
      </c>
      <c r="K152" s="240">
        <v>244534</v>
      </c>
      <c r="L152" s="234">
        <v>1</v>
      </c>
      <c r="M152" s="234">
        <v>1</v>
      </c>
    </row>
    <row r="153" spans="1:13">
      <c r="A153" s="239">
        <v>21</v>
      </c>
      <c r="B153" s="438" t="s">
        <v>789</v>
      </c>
      <c r="C153" s="239" t="s">
        <v>69</v>
      </c>
      <c r="D153" s="248" t="s">
        <v>465</v>
      </c>
      <c r="E153" s="438" t="s">
        <v>790</v>
      </c>
      <c r="F153" s="234" t="s">
        <v>113</v>
      </c>
      <c r="G153" s="234" t="s">
        <v>67</v>
      </c>
      <c r="H153" s="240">
        <v>244534</v>
      </c>
      <c r="I153" s="239"/>
      <c r="J153" s="241" t="s">
        <v>83</v>
      </c>
      <c r="K153" s="240">
        <v>244534</v>
      </c>
      <c r="L153" s="234">
        <v>1</v>
      </c>
      <c r="M153" s="234">
        <v>1</v>
      </c>
    </row>
    <row r="154" spans="1:13">
      <c r="A154" s="239">
        <v>22</v>
      </c>
      <c r="B154" s="438" t="s">
        <v>152</v>
      </c>
      <c r="C154" s="239" t="s">
        <v>69</v>
      </c>
      <c r="D154" s="248" t="s">
        <v>465</v>
      </c>
      <c r="E154" s="438" t="s">
        <v>791</v>
      </c>
      <c r="F154" s="234">
        <v>8</v>
      </c>
      <c r="G154" s="234" t="s">
        <v>61</v>
      </c>
      <c r="H154" s="240">
        <v>244535</v>
      </c>
      <c r="I154" s="239"/>
      <c r="J154" s="241" t="s">
        <v>83</v>
      </c>
      <c r="K154" s="240">
        <v>244535</v>
      </c>
      <c r="L154" s="234">
        <v>1</v>
      </c>
      <c r="M154" s="234">
        <v>1</v>
      </c>
    </row>
    <row r="155" spans="1:13">
      <c r="A155" s="239">
        <v>23</v>
      </c>
      <c r="B155" s="438" t="s">
        <v>532</v>
      </c>
      <c r="C155" s="239" t="s">
        <v>69</v>
      </c>
      <c r="D155" s="248" t="s">
        <v>463</v>
      </c>
      <c r="E155" s="438" t="s">
        <v>792</v>
      </c>
      <c r="F155" s="234">
        <v>10</v>
      </c>
      <c r="G155" s="234" t="s">
        <v>68</v>
      </c>
      <c r="H155" s="240">
        <v>244536</v>
      </c>
      <c r="I155" s="239"/>
      <c r="J155" s="241" t="s">
        <v>3</v>
      </c>
      <c r="K155" s="240"/>
      <c r="L155" s="234"/>
      <c r="M155" s="234">
        <v>1</v>
      </c>
    </row>
    <row r="156" spans="1:13">
      <c r="A156" s="239">
        <v>24</v>
      </c>
      <c r="B156" s="438" t="s">
        <v>152</v>
      </c>
      <c r="C156" s="239" t="s">
        <v>69</v>
      </c>
      <c r="D156" s="248" t="s">
        <v>465</v>
      </c>
      <c r="E156" s="438" t="s">
        <v>793</v>
      </c>
      <c r="F156" s="234">
        <v>6</v>
      </c>
      <c r="G156" s="234" t="s">
        <v>61</v>
      </c>
      <c r="H156" s="240">
        <v>244531</v>
      </c>
      <c r="I156" s="239"/>
      <c r="J156" s="241" t="s">
        <v>83</v>
      </c>
      <c r="K156" s="240">
        <v>244545</v>
      </c>
      <c r="L156" s="234">
        <v>3</v>
      </c>
      <c r="M156" s="234">
        <v>1</v>
      </c>
    </row>
    <row r="157" spans="1:13">
      <c r="A157" s="239">
        <v>25</v>
      </c>
      <c r="B157" s="438" t="s">
        <v>71</v>
      </c>
      <c r="C157" s="239" t="s">
        <v>71</v>
      </c>
      <c r="D157" s="248" t="s">
        <v>465</v>
      </c>
      <c r="E157" s="438" t="s">
        <v>794</v>
      </c>
      <c r="F157" s="234">
        <v>7</v>
      </c>
      <c r="G157" s="234" t="s">
        <v>61</v>
      </c>
      <c r="H157" s="240">
        <v>244537</v>
      </c>
      <c r="I157" s="239"/>
      <c r="J157" s="241" t="s">
        <v>83</v>
      </c>
      <c r="K157" s="240">
        <v>244537</v>
      </c>
      <c r="L157" s="234">
        <v>1</v>
      </c>
      <c r="M157" s="234">
        <v>1</v>
      </c>
    </row>
    <row r="158" spans="1:13">
      <c r="A158" s="239">
        <v>26</v>
      </c>
      <c r="B158" s="438" t="s">
        <v>795</v>
      </c>
      <c r="C158" s="239" t="s">
        <v>69</v>
      </c>
      <c r="D158" s="248" t="s">
        <v>465</v>
      </c>
      <c r="E158" s="438" t="s">
        <v>796</v>
      </c>
      <c r="F158" s="234">
        <v>2</v>
      </c>
      <c r="G158" s="234" t="s">
        <v>63</v>
      </c>
      <c r="H158" s="240">
        <v>244538</v>
      </c>
      <c r="I158" s="239"/>
      <c r="J158" s="241" t="s">
        <v>83</v>
      </c>
      <c r="K158" s="240">
        <v>244538</v>
      </c>
      <c r="L158" s="234">
        <v>1</v>
      </c>
      <c r="M158" s="234">
        <v>2</v>
      </c>
    </row>
    <row r="159" spans="1:13">
      <c r="A159" s="239">
        <v>27</v>
      </c>
      <c r="B159" s="438" t="s">
        <v>577</v>
      </c>
      <c r="C159" s="239" t="s">
        <v>69</v>
      </c>
      <c r="D159" s="248" t="s">
        <v>465</v>
      </c>
      <c r="E159" s="438" t="s">
        <v>797</v>
      </c>
      <c r="F159" s="234">
        <v>8</v>
      </c>
      <c r="G159" s="234" t="s">
        <v>61</v>
      </c>
      <c r="H159" s="240">
        <v>244538</v>
      </c>
      <c r="I159" s="239"/>
      <c r="J159" s="241" t="s">
        <v>84</v>
      </c>
      <c r="K159" s="240"/>
      <c r="L159" s="234"/>
      <c r="M159" s="234">
        <v>2</v>
      </c>
    </row>
    <row r="160" spans="1:13">
      <c r="A160" s="239">
        <v>28</v>
      </c>
      <c r="B160" s="438" t="s">
        <v>798</v>
      </c>
      <c r="C160" s="239" t="s">
        <v>69</v>
      </c>
      <c r="D160" s="248" t="s">
        <v>463</v>
      </c>
      <c r="E160" s="438" t="s">
        <v>799</v>
      </c>
      <c r="F160" s="234" t="s">
        <v>113</v>
      </c>
      <c r="G160" s="234" t="s">
        <v>62</v>
      </c>
      <c r="H160" s="240">
        <v>244538</v>
      </c>
      <c r="I160" s="239"/>
      <c r="J160" s="241" t="s">
        <v>83</v>
      </c>
      <c r="K160" s="240">
        <v>244544</v>
      </c>
      <c r="L160" s="234">
        <v>3</v>
      </c>
      <c r="M160" s="234">
        <v>2</v>
      </c>
    </row>
    <row r="161" spans="1:13">
      <c r="A161" s="239">
        <v>29</v>
      </c>
      <c r="B161" s="438" t="s">
        <v>800</v>
      </c>
      <c r="C161" s="239" t="s">
        <v>70</v>
      </c>
      <c r="D161" s="248" t="s">
        <v>524</v>
      </c>
      <c r="E161" s="438" t="s">
        <v>801</v>
      </c>
      <c r="F161" s="234" t="s">
        <v>113</v>
      </c>
      <c r="G161" s="234" t="s">
        <v>61</v>
      </c>
      <c r="H161" s="240">
        <v>244540</v>
      </c>
      <c r="I161" s="239"/>
      <c r="J161" s="241" t="s">
        <v>83</v>
      </c>
      <c r="K161" s="240">
        <v>244545</v>
      </c>
      <c r="L161" s="234">
        <v>3</v>
      </c>
      <c r="M161" s="234">
        <v>2</v>
      </c>
    </row>
    <row r="162" spans="1:13">
      <c r="A162" s="239">
        <v>30</v>
      </c>
      <c r="B162" s="438" t="s">
        <v>152</v>
      </c>
      <c r="C162" s="239" t="s">
        <v>69</v>
      </c>
      <c r="D162" s="248" t="s">
        <v>465</v>
      </c>
      <c r="E162" s="239" t="s">
        <v>387</v>
      </c>
      <c r="F162" s="234">
        <v>9</v>
      </c>
      <c r="G162" s="234" t="s">
        <v>62</v>
      </c>
      <c r="H162" s="240">
        <v>244542</v>
      </c>
      <c r="I162" s="239"/>
      <c r="J162" s="241" t="s">
        <v>3</v>
      </c>
      <c r="K162" s="240"/>
      <c r="L162" s="234"/>
      <c r="M162" s="234">
        <v>2</v>
      </c>
    </row>
    <row r="163" spans="1:13">
      <c r="A163" s="239">
        <v>31</v>
      </c>
      <c r="B163" s="438" t="s">
        <v>152</v>
      </c>
      <c r="C163" s="239" t="s">
        <v>69</v>
      </c>
      <c r="D163" s="248" t="s">
        <v>465</v>
      </c>
      <c r="E163" s="239" t="s">
        <v>422</v>
      </c>
      <c r="F163" s="234">
        <v>5</v>
      </c>
      <c r="G163" s="234" t="s">
        <v>67</v>
      </c>
      <c r="H163" s="240">
        <v>244542</v>
      </c>
      <c r="I163" s="239"/>
      <c r="J163" s="241" t="s">
        <v>84</v>
      </c>
      <c r="K163" s="240"/>
      <c r="L163" s="234"/>
      <c r="M163" s="234">
        <v>2</v>
      </c>
    </row>
    <row r="164" spans="1:13">
      <c r="A164" s="239">
        <v>32</v>
      </c>
      <c r="B164" s="438" t="s">
        <v>152</v>
      </c>
      <c r="C164" s="239" t="s">
        <v>69</v>
      </c>
      <c r="D164" s="248" t="s">
        <v>465</v>
      </c>
      <c r="E164" s="239" t="s">
        <v>424</v>
      </c>
      <c r="F164" s="234">
        <v>5</v>
      </c>
      <c r="G164" s="234" t="s">
        <v>66</v>
      </c>
      <c r="H164" s="240">
        <v>244542</v>
      </c>
      <c r="I164" s="239"/>
      <c r="J164" s="241" t="s">
        <v>84</v>
      </c>
      <c r="K164" s="240"/>
      <c r="L164" s="234"/>
      <c r="M164" s="234">
        <v>2</v>
      </c>
    </row>
    <row r="165" spans="1:13">
      <c r="A165" s="239">
        <v>33</v>
      </c>
      <c r="B165" s="438" t="s">
        <v>152</v>
      </c>
      <c r="C165" s="239" t="s">
        <v>69</v>
      </c>
      <c r="D165" s="248" t="s">
        <v>465</v>
      </c>
      <c r="E165" s="239" t="s">
        <v>426</v>
      </c>
      <c r="F165" s="234">
        <v>4</v>
      </c>
      <c r="G165" s="234" t="s">
        <v>66</v>
      </c>
      <c r="H165" s="240">
        <v>244542</v>
      </c>
      <c r="I165" s="239"/>
      <c r="J165" s="241" t="s">
        <v>84</v>
      </c>
      <c r="K165" s="240"/>
      <c r="L165" s="234"/>
      <c r="M165" s="234">
        <v>2</v>
      </c>
    </row>
    <row r="166" spans="1:13">
      <c r="A166" s="239">
        <v>34</v>
      </c>
      <c r="B166" s="438" t="s">
        <v>152</v>
      </c>
      <c r="C166" s="239" t="s">
        <v>171</v>
      </c>
      <c r="D166" s="248" t="s">
        <v>465</v>
      </c>
      <c r="E166" s="239" t="s">
        <v>157</v>
      </c>
      <c r="F166" s="234">
        <v>15</v>
      </c>
      <c r="G166" s="234" t="s">
        <v>64</v>
      </c>
      <c r="H166" s="240">
        <v>244542</v>
      </c>
      <c r="I166" s="239"/>
      <c r="J166" s="241" t="s">
        <v>3</v>
      </c>
      <c r="K166" s="240"/>
      <c r="L166" s="234"/>
      <c r="M166" s="234">
        <v>2</v>
      </c>
    </row>
    <row r="167" spans="1:13">
      <c r="A167" s="239">
        <v>35</v>
      </c>
      <c r="B167" s="438" t="s">
        <v>152</v>
      </c>
      <c r="C167" s="239" t="s">
        <v>171</v>
      </c>
      <c r="D167" s="248" t="s">
        <v>465</v>
      </c>
      <c r="E167" s="239" t="s">
        <v>164</v>
      </c>
      <c r="F167" s="234">
        <v>6</v>
      </c>
      <c r="G167" s="234" t="s">
        <v>166</v>
      </c>
      <c r="H167" s="240">
        <v>244542</v>
      </c>
      <c r="I167" s="239"/>
      <c r="J167" s="241" t="s">
        <v>3</v>
      </c>
      <c r="K167" s="240"/>
      <c r="L167" s="234"/>
      <c r="M167" s="234">
        <v>2</v>
      </c>
    </row>
    <row r="168" spans="1:13">
      <c r="A168" s="239">
        <v>36</v>
      </c>
      <c r="B168" s="438" t="s">
        <v>152</v>
      </c>
      <c r="C168" s="239" t="s">
        <v>69</v>
      </c>
      <c r="D168" s="248" t="s">
        <v>465</v>
      </c>
      <c r="E168" s="239" t="s">
        <v>178</v>
      </c>
      <c r="F168" s="234">
        <v>6</v>
      </c>
      <c r="G168" s="234" t="s">
        <v>62</v>
      </c>
      <c r="H168" s="240">
        <v>244542</v>
      </c>
      <c r="I168" s="239"/>
      <c r="J168" s="241" t="s">
        <v>3</v>
      </c>
      <c r="K168" s="240"/>
      <c r="L168" s="234"/>
      <c r="M168" s="234">
        <v>2</v>
      </c>
    </row>
    <row r="169" spans="1:13">
      <c r="A169" s="239">
        <v>37</v>
      </c>
      <c r="B169" s="438" t="s">
        <v>611</v>
      </c>
      <c r="C169" s="239" t="s">
        <v>69</v>
      </c>
      <c r="D169" s="248" t="s">
        <v>463</v>
      </c>
      <c r="E169" s="438" t="s">
        <v>807</v>
      </c>
      <c r="F169" s="442" t="s">
        <v>113</v>
      </c>
      <c r="G169" s="234" t="s">
        <v>67</v>
      </c>
      <c r="H169" s="240">
        <v>244538</v>
      </c>
      <c r="I169" s="438" t="s">
        <v>811</v>
      </c>
      <c r="J169" s="241" t="s">
        <v>83</v>
      </c>
      <c r="K169" s="240">
        <v>244542</v>
      </c>
      <c r="L169" s="234">
        <v>2</v>
      </c>
      <c r="M169" s="234">
        <v>2</v>
      </c>
    </row>
    <row r="170" spans="1:13">
      <c r="A170" s="239">
        <v>38</v>
      </c>
      <c r="B170" s="438" t="s">
        <v>808</v>
      </c>
      <c r="C170" s="239" t="s">
        <v>70</v>
      </c>
      <c r="D170" s="248" t="s">
        <v>465</v>
      </c>
      <c r="E170" s="438" t="s">
        <v>809</v>
      </c>
      <c r="F170" s="234">
        <v>12</v>
      </c>
      <c r="G170" s="234" t="s">
        <v>65</v>
      </c>
      <c r="H170" s="240">
        <v>244544</v>
      </c>
      <c r="I170" s="438" t="s">
        <v>810</v>
      </c>
      <c r="J170" s="241" t="s">
        <v>83</v>
      </c>
      <c r="K170" s="240">
        <v>244544</v>
      </c>
      <c r="L170" s="234">
        <v>3</v>
      </c>
      <c r="M170" s="234">
        <v>3</v>
      </c>
    </row>
    <row r="171" spans="1:13">
      <c r="A171" s="239">
        <v>39</v>
      </c>
      <c r="B171" s="438" t="s">
        <v>152</v>
      </c>
      <c r="C171" s="239" t="s">
        <v>69</v>
      </c>
      <c r="D171" s="248" t="s">
        <v>465</v>
      </c>
      <c r="E171" s="239" t="s">
        <v>149</v>
      </c>
      <c r="F171" s="234" t="s">
        <v>113</v>
      </c>
      <c r="G171" s="234" t="s">
        <v>60</v>
      </c>
      <c r="H171" s="240"/>
      <c r="I171" s="239"/>
      <c r="J171" s="241" t="s">
        <v>3</v>
      </c>
      <c r="K171" s="240"/>
      <c r="L171" s="234"/>
      <c r="M171" s="234">
        <v>3</v>
      </c>
    </row>
    <row r="172" spans="1:13">
      <c r="A172" s="239">
        <v>40</v>
      </c>
      <c r="B172" s="438" t="s">
        <v>152</v>
      </c>
      <c r="C172" s="239" t="s">
        <v>171</v>
      </c>
      <c r="D172" s="248" t="s">
        <v>465</v>
      </c>
      <c r="E172" s="239" t="s">
        <v>168</v>
      </c>
      <c r="F172" s="234">
        <v>15</v>
      </c>
      <c r="G172" s="234" t="s">
        <v>64</v>
      </c>
      <c r="H172" s="240"/>
      <c r="I172" s="239"/>
      <c r="J172" s="241" t="s">
        <v>3</v>
      </c>
      <c r="K172" s="240"/>
      <c r="L172" s="234"/>
      <c r="M172" s="234">
        <v>3</v>
      </c>
    </row>
    <row r="173" spans="1:13">
      <c r="A173" s="239">
        <v>41</v>
      </c>
      <c r="B173" s="438" t="s">
        <v>152</v>
      </c>
      <c r="C173" s="239" t="s">
        <v>69</v>
      </c>
      <c r="D173" s="248" t="s">
        <v>465</v>
      </c>
      <c r="E173" s="239" t="s">
        <v>173</v>
      </c>
      <c r="F173" s="442" t="s">
        <v>113</v>
      </c>
      <c r="G173" s="234" t="s">
        <v>60</v>
      </c>
      <c r="H173" s="240"/>
      <c r="I173" s="239"/>
      <c r="J173" s="241" t="s">
        <v>3</v>
      </c>
      <c r="K173" s="240"/>
      <c r="L173" s="234"/>
      <c r="M173" s="234">
        <v>3</v>
      </c>
    </row>
    <row r="174" spans="1:13">
      <c r="A174" s="239">
        <v>42</v>
      </c>
      <c r="B174" s="438" t="s">
        <v>152</v>
      </c>
      <c r="C174" s="239" t="s">
        <v>171</v>
      </c>
      <c r="D174" s="248" t="s">
        <v>465</v>
      </c>
      <c r="E174" s="239" t="s">
        <v>193</v>
      </c>
      <c r="F174" s="234">
        <v>5</v>
      </c>
      <c r="G174" s="234" t="s">
        <v>64</v>
      </c>
      <c r="H174" s="240"/>
      <c r="I174" s="239"/>
      <c r="J174" s="241" t="s">
        <v>3</v>
      </c>
      <c r="K174" s="240"/>
      <c r="L174" s="234"/>
      <c r="M174" s="234">
        <v>3</v>
      </c>
    </row>
    <row r="175" spans="1:13">
      <c r="A175" s="239">
        <v>43</v>
      </c>
      <c r="B175" s="438" t="s">
        <v>152</v>
      </c>
      <c r="C175" s="239" t="s">
        <v>171</v>
      </c>
      <c r="D175" s="248" t="s">
        <v>465</v>
      </c>
      <c r="E175" s="239" t="s">
        <v>196</v>
      </c>
      <c r="F175" s="234">
        <v>6</v>
      </c>
      <c r="G175" s="234" t="s">
        <v>64</v>
      </c>
      <c r="H175" s="240"/>
      <c r="I175" s="239"/>
      <c r="J175" s="241" t="s">
        <v>3</v>
      </c>
      <c r="K175" s="240"/>
      <c r="L175" s="234"/>
      <c r="M175" s="234">
        <v>3</v>
      </c>
    </row>
    <row r="176" spans="1:13">
      <c r="A176" s="239">
        <v>44</v>
      </c>
      <c r="B176" s="438" t="s">
        <v>152</v>
      </c>
      <c r="C176" s="239" t="s">
        <v>69</v>
      </c>
      <c r="D176" s="248" t="s">
        <v>465</v>
      </c>
      <c r="E176" s="239" t="s">
        <v>198</v>
      </c>
      <c r="F176" s="234">
        <v>6</v>
      </c>
      <c r="G176" s="234" t="s">
        <v>60</v>
      </c>
      <c r="H176" s="240"/>
      <c r="I176" s="239"/>
      <c r="J176" s="241" t="s">
        <v>3</v>
      </c>
      <c r="K176" s="240"/>
      <c r="L176" s="234"/>
      <c r="M176" s="234">
        <v>3</v>
      </c>
    </row>
    <row r="177" spans="1:13">
      <c r="A177" s="239">
        <v>45</v>
      </c>
      <c r="B177" s="438" t="s">
        <v>152</v>
      </c>
      <c r="C177" s="239" t="s">
        <v>69</v>
      </c>
      <c r="D177" s="248" t="s">
        <v>465</v>
      </c>
      <c r="E177" s="239" t="s">
        <v>207</v>
      </c>
      <c r="F177" s="234">
        <v>11</v>
      </c>
      <c r="G177" s="234" t="s">
        <v>60</v>
      </c>
      <c r="H177" s="240"/>
      <c r="I177" s="239"/>
      <c r="J177" s="241" t="s">
        <v>3</v>
      </c>
      <c r="K177" s="240"/>
      <c r="L177" s="234"/>
      <c r="M177" s="234">
        <v>3</v>
      </c>
    </row>
    <row r="178" spans="1:13">
      <c r="A178" s="239">
        <v>46</v>
      </c>
      <c r="B178" s="438" t="s">
        <v>152</v>
      </c>
      <c r="C178" s="239" t="s">
        <v>171</v>
      </c>
      <c r="D178" s="248" t="s">
        <v>465</v>
      </c>
      <c r="E178" s="438" t="s">
        <v>211</v>
      </c>
      <c r="F178" s="234">
        <v>6</v>
      </c>
      <c r="G178" s="234" t="s">
        <v>166</v>
      </c>
      <c r="H178" s="240"/>
      <c r="I178" s="239"/>
      <c r="J178" s="241" t="s">
        <v>3</v>
      </c>
      <c r="K178" s="240"/>
      <c r="L178" s="234"/>
      <c r="M178" s="234">
        <v>3</v>
      </c>
    </row>
    <row r="179" spans="1:13">
      <c r="A179" s="239">
        <v>47</v>
      </c>
      <c r="B179" s="438" t="s">
        <v>152</v>
      </c>
      <c r="C179" s="239" t="s">
        <v>171</v>
      </c>
      <c r="D179" s="248" t="s">
        <v>465</v>
      </c>
      <c r="E179" s="239" t="s">
        <v>228</v>
      </c>
      <c r="F179" s="234">
        <v>8</v>
      </c>
      <c r="G179" s="234" t="s">
        <v>166</v>
      </c>
      <c r="H179" s="240"/>
      <c r="I179" s="239"/>
      <c r="J179" s="241" t="s">
        <v>3</v>
      </c>
      <c r="K179" s="240"/>
      <c r="L179" s="234"/>
      <c r="M179" s="234">
        <v>3</v>
      </c>
    </row>
    <row r="180" spans="1:13">
      <c r="A180" s="239">
        <v>48</v>
      </c>
      <c r="B180" s="438" t="s">
        <v>152</v>
      </c>
      <c r="C180" s="239" t="s">
        <v>69</v>
      </c>
      <c r="D180" s="248" t="s">
        <v>465</v>
      </c>
      <c r="E180" s="239" t="s">
        <v>230</v>
      </c>
      <c r="F180" s="234">
        <v>8</v>
      </c>
      <c r="G180" s="234" t="s">
        <v>64</v>
      </c>
      <c r="H180" s="240"/>
      <c r="I180" s="239"/>
      <c r="J180" s="241" t="s">
        <v>3</v>
      </c>
      <c r="K180" s="240"/>
      <c r="L180" s="234"/>
      <c r="M180" s="234">
        <v>3</v>
      </c>
    </row>
    <row r="181" spans="1:13">
      <c r="A181" s="239">
        <v>49</v>
      </c>
      <c r="B181" s="438" t="s">
        <v>152</v>
      </c>
      <c r="C181" s="239" t="s">
        <v>69</v>
      </c>
      <c r="D181" s="248" t="s">
        <v>465</v>
      </c>
      <c r="E181" s="239" t="s">
        <v>232</v>
      </c>
      <c r="F181" s="234">
        <v>14</v>
      </c>
      <c r="G181" s="234" t="s">
        <v>67</v>
      </c>
      <c r="H181" s="240"/>
      <c r="I181" s="239"/>
      <c r="J181" s="241" t="s">
        <v>3</v>
      </c>
      <c r="K181" s="240"/>
      <c r="L181" s="234"/>
      <c r="M181" s="234">
        <v>3</v>
      </c>
    </row>
    <row r="182" spans="1:13">
      <c r="A182" s="239">
        <v>50</v>
      </c>
      <c r="B182" s="438" t="s">
        <v>152</v>
      </c>
      <c r="C182" s="239" t="s">
        <v>69</v>
      </c>
      <c r="D182" s="248" t="s">
        <v>465</v>
      </c>
      <c r="E182" s="239" t="s">
        <v>235</v>
      </c>
      <c r="F182" s="234">
        <v>7</v>
      </c>
      <c r="G182" s="234" t="s">
        <v>67</v>
      </c>
      <c r="H182" s="240"/>
      <c r="I182" s="239"/>
      <c r="J182" s="241" t="s">
        <v>3</v>
      </c>
      <c r="K182" s="240"/>
      <c r="L182" s="234"/>
      <c r="M182" s="234">
        <v>3</v>
      </c>
    </row>
    <row r="183" spans="1:13">
      <c r="A183" s="239">
        <v>51</v>
      </c>
      <c r="B183" s="438" t="s">
        <v>152</v>
      </c>
      <c r="C183" s="239" t="s">
        <v>69</v>
      </c>
      <c r="D183" s="248" t="s">
        <v>465</v>
      </c>
      <c r="E183" s="239" t="s">
        <v>812</v>
      </c>
      <c r="F183" s="442" t="s">
        <v>113</v>
      </c>
      <c r="G183" s="234" t="s">
        <v>67</v>
      </c>
      <c r="H183" s="240"/>
      <c r="I183" s="239"/>
      <c r="J183" s="241" t="s">
        <v>3</v>
      </c>
      <c r="K183" s="240"/>
      <c r="L183" s="234"/>
      <c r="M183" s="234">
        <v>3</v>
      </c>
    </row>
    <row r="184" spans="1:13">
      <c r="A184" s="239">
        <v>52</v>
      </c>
      <c r="B184" s="438" t="s">
        <v>152</v>
      </c>
      <c r="C184" s="239" t="s">
        <v>69</v>
      </c>
      <c r="D184" s="248" t="s">
        <v>465</v>
      </c>
      <c r="E184" s="239" t="s">
        <v>238</v>
      </c>
      <c r="F184" s="442" t="s">
        <v>113</v>
      </c>
      <c r="G184" s="234" t="s">
        <v>645</v>
      </c>
      <c r="H184" s="240"/>
      <c r="I184" s="239"/>
      <c r="J184" s="241" t="s">
        <v>3</v>
      </c>
      <c r="K184" s="240"/>
      <c r="L184" s="234"/>
      <c r="M184" s="234">
        <v>3</v>
      </c>
    </row>
    <row r="185" spans="1:13">
      <c r="A185" s="239">
        <v>53</v>
      </c>
      <c r="B185" s="438" t="s">
        <v>152</v>
      </c>
      <c r="C185" s="239" t="s">
        <v>171</v>
      </c>
      <c r="D185" s="248" t="s">
        <v>465</v>
      </c>
      <c r="E185" s="239" t="s">
        <v>241</v>
      </c>
      <c r="F185" s="234">
        <v>15</v>
      </c>
      <c r="G185" s="234" t="s">
        <v>64</v>
      </c>
      <c r="H185" s="240"/>
      <c r="I185" s="239"/>
      <c r="J185" s="241" t="s">
        <v>3</v>
      </c>
      <c r="K185" s="240"/>
      <c r="L185" s="234"/>
      <c r="M185" s="234">
        <v>3</v>
      </c>
    </row>
    <row r="186" spans="1:13">
      <c r="A186" s="239">
        <v>54</v>
      </c>
      <c r="B186" s="438" t="s">
        <v>152</v>
      </c>
      <c r="C186" s="239" t="s">
        <v>69</v>
      </c>
      <c r="D186" s="248" t="s">
        <v>465</v>
      </c>
      <c r="E186" s="239" t="s">
        <v>243</v>
      </c>
      <c r="F186" s="234">
        <v>12</v>
      </c>
      <c r="G186" s="234" t="s">
        <v>64</v>
      </c>
      <c r="H186" s="240"/>
      <c r="I186" s="239"/>
      <c r="J186" s="241" t="s">
        <v>3</v>
      </c>
      <c r="K186" s="240"/>
      <c r="L186" s="234"/>
      <c r="M186" s="234">
        <v>3</v>
      </c>
    </row>
    <row r="187" spans="1:13">
      <c r="A187" s="239">
        <v>55</v>
      </c>
      <c r="B187" s="438" t="s">
        <v>152</v>
      </c>
      <c r="C187" s="239" t="s">
        <v>69</v>
      </c>
      <c r="D187" s="248" t="s">
        <v>465</v>
      </c>
      <c r="E187" s="239" t="s">
        <v>245</v>
      </c>
      <c r="F187" s="234">
        <v>11</v>
      </c>
      <c r="G187" s="234" t="s">
        <v>64</v>
      </c>
      <c r="H187" s="240"/>
      <c r="I187" s="239"/>
      <c r="J187" s="241" t="s">
        <v>3</v>
      </c>
      <c r="K187" s="240"/>
      <c r="L187" s="234"/>
      <c r="M187" s="234">
        <v>3</v>
      </c>
    </row>
    <row r="188" spans="1:13">
      <c r="A188" s="239">
        <v>56</v>
      </c>
      <c r="B188" s="438" t="s">
        <v>152</v>
      </c>
      <c r="C188" s="239" t="s">
        <v>69</v>
      </c>
      <c r="D188" s="248" t="s">
        <v>465</v>
      </c>
      <c r="E188" s="239" t="s">
        <v>246</v>
      </c>
      <c r="F188" s="234">
        <v>10</v>
      </c>
      <c r="G188" s="234" t="s">
        <v>64</v>
      </c>
      <c r="H188" s="240"/>
      <c r="I188" s="239"/>
      <c r="J188" s="241" t="s">
        <v>3</v>
      </c>
      <c r="K188" s="240"/>
      <c r="L188" s="234"/>
      <c r="M188" s="234">
        <v>3</v>
      </c>
    </row>
    <row r="189" spans="1:13">
      <c r="A189" s="239">
        <v>57</v>
      </c>
      <c r="B189" s="438" t="s">
        <v>152</v>
      </c>
      <c r="C189" s="239" t="s">
        <v>69</v>
      </c>
      <c r="D189" s="248" t="s">
        <v>465</v>
      </c>
      <c r="E189" s="239" t="s">
        <v>249</v>
      </c>
      <c r="F189" s="234">
        <v>8</v>
      </c>
      <c r="G189" s="234" t="s">
        <v>64</v>
      </c>
      <c r="H189" s="240"/>
      <c r="I189" s="239"/>
      <c r="J189" s="241" t="s">
        <v>3</v>
      </c>
      <c r="K189" s="240"/>
      <c r="L189" s="234"/>
      <c r="M189" s="234">
        <v>3</v>
      </c>
    </row>
    <row r="190" spans="1:13">
      <c r="A190" s="239">
        <v>58</v>
      </c>
      <c r="B190" s="438" t="s">
        <v>152</v>
      </c>
      <c r="C190" s="239" t="s">
        <v>171</v>
      </c>
      <c r="D190" s="248" t="s">
        <v>465</v>
      </c>
      <c r="E190" s="239" t="s">
        <v>256</v>
      </c>
      <c r="F190" s="234">
        <v>6</v>
      </c>
      <c r="G190" s="234" t="s">
        <v>64</v>
      </c>
      <c r="H190" s="240"/>
      <c r="I190" s="239"/>
      <c r="J190" s="241" t="s">
        <v>3</v>
      </c>
      <c r="K190" s="240"/>
      <c r="L190" s="234"/>
      <c r="M190" s="234">
        <v>3</v>
      </c>
    </row>
    <row r="191" spans="1:13">
      <c r="A191" s="239">
        <v>59</v>
      </c>
      <c r="B191" s="438" t="s">
        <v>152</v>
      </c>
      <c r="C191" s="239" t="s">
        <v>69</v>
      </c>
      <c r="D191" s="248" t="s">
        <v>465</v>
      </c>
      <c r="E191" s="239" t="s">
        <v>292</v>
      </c>
      <c r="F191" s="234">
        <v>8</v>
      </c>
      <c r="G191" s="234" t="s">
        <v>61</v>
      </c>
      <c r="H191" s="240"/>
      <c r="I191" s="239"/>
      <c r="J191" s="241" t="s">
        <v>3</v>
      </c>
      <c r="K191" s="240"/>
      <c r="L191" s="234"/>
      <c r="M191" s="234">
        <v>3</v>
      </c>
    </row>
    <row r="192" spans="1:13">
      <c r="A192" s="239">
        <v>60</v>
      </c>
      <c r="B192" s="438" t="s">
        <v>152</v>
      </c>
      <c r="C192" s="239" t="s">
        <v>69</v>
      </c>
      <c r="D192" s="248" t="s">
        <v>465</v>
      </c>
      <c r="E192" s="239" t="s">
        <v>299</v>
      </c>
      <c r="F192" s="442" t="s">
        <v>113</v>
      </c>
      <c r="G192" s="234" t="s">
        <v>67</v>
      </c>
      <c r="H192" s="240"/>
      <c r="I192" s="239"/>
      <c r="J192" s="241" t="s">
        <v>3</v>
      </c>
      <c r="K192" s="240"/>
      <c r="L192" s="234"/>
      <c r="M192" s="234">
        <v>3</v>
      </c>
    </row>
    <row r="193" spans="1:13">
      <c r="A193" s="239">
        <v>61</v>
      </c>
      <c r="B193" s="438" t="s">
        <v>152</v>
      </c>
      <c r="C193" s="239" t="s">
        <v>69</v>
      </c>
      <c r="D193" s="248" t="s">
        <v>465</v>
      </c>
      <c r="E193" s="239" t="s">
        <v>301</v>
      </c>
      <c r="F193" s="442" t="s">
        <v>113</v>
      </c>
      <c r="G193" s="234" t="s">
        <v>67</v>
      </c>
      <c r="H193" s="240"/>
      <c r="I193" s="239"/>
      <c r="J193" s="241" t="s">
        <v>3</v>
      </c>
      <c r="K193" s="240"/>
      <c r="L193" s="234"/>
      <c r="M193" s="234">
        <v>3</v>
      </c>
    </row>
    <row r="194" spans="1:13">
      <c r="A194" s="239">
        <v>62</v>
      </c>
      <c r="B194" s="438" t="s">
        <v>152</v>
      </c>
      <c r="C194" s="239" t="s">
        <v>69</v>
      </c>
      <c r="D194" s="248" t="s">
        <v>465</v>
      </c>
      <c r="E194" s="239" t="s">
        <v>310</v>
      </c>
      <c r="F194" s="442" t="s">
        <v>132</v>
      </c>
      <c r="G194" s="234" t="s">
        <v>62</v>
      </c>
      <c r="H194" s="240"/>
      <c r="I194" s="239"/>
      <c r="J194" s="241" t="s">
        <v>3</v>
      </c>
      <c r="K194" s="240"/>
      <c r="L194" s="234"/>
      <c r="M194" s="234">
        <v>3</v>
      </c>
    </row>
    <row r="195" spans="1:13">
      <c r="A195" s="239">
        <v>63</v>
      </c>
      <c r="B195" s="438" t="s">
        <v>152</v>
      </c>
      <c r="C195" s="239" t="s">
        <v>171</v>
      </c>
      <c r="D195" s="248" t="s">
        <v>465</v>
      </c>
      <c r="E195" s="239" t="s">
        <v>327</v>
      </c>
      <c r="F195" s="234" t="s">
        <v>113</v>
      </c>
      <c r="G195" s="234" t="s">
        <v>62</v>
      </c>
      <c r="H195" s="240"/>
      <c r="I195" s="239"/>
      <c r="J195" s="241" t="s">
        <v>3</v>
      </c>
      <c r="K195" s="240"/>
      <c r="L195" s="234"/>
      <c r="M195" s="234">
        <v>3</v>
      </c>
    </row>
    <row r="196" spans="1:13">
      <c r="A196" s="239">
        <v>64</v>
      </c>
      <c r="B196" s="438" t="s">
        <v>152</v>
      </c>
      <c r="C196" s="239" t="s">
        <v>69</v>
      </c>
      <c r="D196" s="248" t="s">
        <v>465</v>
      </c>
      <c r="E196" s="239" t="s">
        <v>813</v>
      </c>
      <c r="F196" s="234" t="s">
        <v>113</v>
      </c>
      <c r="G196" s="234" t="s">
        <v>60</v>
      </c>
      <c r="H196" s="240"/>
      <c r="I196" s="239"/>
      <c r="J196" s="241" t="s">
        <v>3</v>
      </c>
      <c r="K196" s="240"/>
      <c r="L196" s="234"/>
      <c r="M196" s="234">
        <v>3</v>
      </c>
    </row>
    <row r="197" spans="1:13">
      <c r="A197" s="239">
        <v>65</v>
      </c>
      <c r="B197" s="438" t="s">
        <v>152</v>
      </c>
      <c r="C197" s="239" t="s">
        <v>69</v>
      </c>
      <c r="D197" s="248" t="s">
        <v>465</v>
      </c>
      <c r="E197" s="239" t="s">
        <v>339</v>
      </c>
      <c r="F197" s="442" t="s">
        <v>113</v>
      </c>
      <c r="G197" s="234" t="s">
        <v>645</v>
      </c>
      <c r="H197" s="240"/>
      <c r="I197" s="239"/>
      <c r="J197" s="241" t="s">
        <v>3</v>
      </c>
      <c r="K197" s="240"/>
      <c r="L197" s="234"/>
      <c r="M197" s="234">
        <v>3</v>
      </c>
    </row>
    <row r="198" spans="1:13">
      <c r="A198" s="239">
        <v>66</v>
      </c>
      <c r="B198" s="438" t="s">
        <v>152</v>
      </c>
      <c r="C198" s="239" t="s">
        <v>69</v>
      </c>
      <c r="D198" s="248" t="s">
        <v>465</v>
      </c>
      <c r="E198" s="239" t="s">
        <v>340</v>
      </c>
      <c r="F198" s="442" t="s">
        <v>113</v>
      </c>
      <c r="G198" s="234" t="s">
        <v>60</v>
      </c>
      <c r="H198" s="240"/>
      <c r="I198" s="239"/>
      <c r="J198" s="241" t="s">
        <v>3</v>
      </c>
      <c r="K198" s="240"/>
      <c r="L198" s="234"/>
      <c r="M198" s="234">
        <v>3</v>
      </c>
    </row>
    <row r="199" spans="1:13">
      <c r="A199" s="239">
        <v>67</v>
      </c>
      <c r="B199" s="438" t="s">
        <v>152</v>
      </c>
      <c r="C199" s="239" t="s">
        <v>69</v>
      </c>
      <c r="D199" s="248" t="s">
        <v>465</v>
      </c>
      <c r="E199" s="239" t="s">
        <v>434</v>
      </c>
      <c r="F199" s="442" t="s">
        <v>113</v>
      </c>
      <c r="G199" s="234" t="s">
        <v>66</v>
      </c>
      <c r="H199" s="240"/>
      <c r="I199" s="239"/>
      <c r="J199" s="241" t="s">
        <v>3</v>
      </c>
      <c r="K199" s="240"/>
      <c r="L199" s="234"/>
      <c r="M199" s="234">
        <v>3</v>
      </c>
    </row>
    <row r="200" spans="1:13">
      <c r="A200" s="239">
        <v>68</v>
      </c>
      <c r="B200" s="438" t="s">
        <v>152</v>
      </c>
      <c r="C200" s="239" t="s">
        <v>69</v>
      </c>
      <c r="D200" s="248" t="s">
        <v>465</v>
      </c>
      <c r="E200" s="239" t="s">
        <v>814</v>
      </c>
      <c r="F200" s="234">
        <v>9</v>
      </c>
      <c r="G200" s="234" t="s">
        <v>166</v>
      </c>
      <c r="H200" s="240"/>
      <c r="I200" s="239"/>
      <c r="J200" s="241" t="s">
        <v>3</v>
      </c>
      <c r="K200" s="240"/>
      <c r="L200" s="234"/>
      <c r="M200" s="234">
        <v>3</v>
      </c>
    </row>
    <row r="201" spans="1:13">
      <c r="A201" s="239">
        <v>69</v>
      </c>
      <c r="B201" s="438" t="s">
        <v>152</v>
      </c>
      <c r="C201" s="239" t="s">
        <v>69</v>
      </c>
      <c r="D201" s="248" t="s">
        <v>465</v>
      </c>
      <c r="E201" s="438" t="s">
        <v>105</v>
      </c>
      <c r="F201" s="234">
        <v>6</v>
      </c>
      <c r="G201" s="234" t="s">
        <v>62</v>
      </c>
      <c r="H201" s="240"/>
      <c r="I201" s="239"/>
      <c r="J201" s="241" t="s">
        <v>3</v>
      </c>
      <c r="K201" s="240"/>
      <c r="L201" s="234"/>
      <c r="M201" s="234">
        <v>3</v>
      </c>
    </row>
    <row r="202" spans="1:13">
      <c r="A202" s="239">
        <v>70</v>
      </c>
      <c r="B202" s="438" t="s">
        <v>152</v>
      </c>
      <c r="C202" s="239" t="s">
        <v>69</v>
      </c>
      <c r="D202" s="248" t="s">
        <v>465</v>
      </c>
      <c r="E202" s="239" t="s">
        <v>114</v>
      </c>
      <c r="F202" s="442" t="s">
        <v>113</v>
      </c>
      <c r="G202" s="234" t="s">
        <v>67</v>
      </c>
      <c r="H202" s="240"/>
      <c r="I202" s="239"/>
      <c r="J202" s="241" t="s">
        <v>3</v>
      </c>
      <c r="K202" s="240"/>
      <c r="L202" s="234"/>
      <c r="M202" s="234">
        <v>3</v>
      </c>
    </row>
    <row r="203" spans="1:13">
      <c r="A203" s="239">
        <v>71</v>
      </c>
      <c r="B203" s="438" t="s">
        <v>152</v>
      </c>
      <c r="C203" s="239" t="s">
        <v>69</v>
      </c>
      <c r="D203" s="248" t="s">
        <v>465</v>
      </c>
      <c r="E203" s="239" t="s">
        <v>111</v>
      </c>
      <c r="F203" s="234">
        <v>12</v>
      </c>
      <c r="G203" s="234" t="s">
        <v>65</v>
      </c>
      <c r="H203" s="240"/>
      <c r="I203" s="239"/>
      <c r="J203" s="241" t="s">
        <v>3</v>
      </c>
      <c r="K203" s="240"/>
      <c r="L203" s="234"/>
      <c r="M203" s="234">
        <v>3</v>
      </c>
    </row>
    <row r="204" spans="1:13">
      <c r="A204" s="239">
        <v>72</v>
      </c>
      <c r="B204" s="438" t="s">
        <v>152</v>
      </c>
      <c r="C204" s="239" t="s">
        <v>69</v>
      </c>
      <c r="D204" s="248" t="s">
        <v>465</v>
      </c>
      <c r="E204" s="239" t="s">
        <v>121</v>
      </c>
      <c r="F204" s="234">
        <v>3</v>
      </c>
      <c r="G204" s="234" t="s">
        <v>67</v>
      </c>
      <c r="H204" s="240"/>
      <c r="I204" s="239"/>
      <c r="J204" s="241" t="s">
        <v>3</v>
      </c>
      <c r="K204" s="240"/>
      <c r="L204" s="234"/>
      <c r="M204" s="234">
        <v>3</v>
      </c>
    </row>
    <row r="205" spans="1:13">
      <c r="A205" s="239">
        <v>73</v>
      </c>
      <c r="B205" s="438" t="s">
        <v>152</v>
      </c>
      <c r="C205" s="239" t="s">
        <v>69</v>
      </c>
      <c r="D205" s="248" t="s">
        <v>465</v>
      </c>
      <c r="E205" s="239" t="s">
        <v>122</v>
      </c>
      <c r="F205" s="234">
        <v>5</v>
      </c>
      <c r="G205" s="234" t="s">
        <v>166</v>
      </c>
      <c r="H205" s="240"/>
      <c r="I205" s="239"/>
      <c r="J205" s="241" t="s">
        <v>3</v>
      </c>
      <c r="K205" s="240"/>
      <c r="L205" s="234"/>
      <c r="M205" s="234">
        <v>3</v>
      </c>
    </row>
    <row r="206" spans="1:13">
      <c r="A206" s="239">
        <v>74</v>
      </c>
      <c r="B206" s="438" t="s">
        <v>152</v>
      </c>
      <c r="C206" s="239" t="s">
        <v>69</v>
      </c>
      <c r="D206" s="248" t="s">
        <v>465</v>
      </c>
      <c r="E206" s="239" t="s">
        <v>129</v>
      </c>
      <c r="F206" s="234">
        <v>10</v>
      </c>
      <c r="G206" s="234" t="s">
        <v>67</v>
      </c>
      <c r="H206" s="240"/>
      <c r="I206" s="239"/>
      <c r="J206" s="241" t="s">
        <v>3</v>
      </c>
      <c r="K206" s="240"/>
      <c r="L206" s="234"/>
      <c r="M206" s="234">
        <v>3</v>
      </c>
    </row>
    <row r="207" spans="1:13">
      <c r="A207" s="239">
        <v>75</v>
      </c>
      <c r="B207" s="438" t="s">
        <v>152</v>
      </c>
      <c r="C207" s="239" t="s">
        <v>69</v>
      </c>
      <c r="D207" s="248" t="s">
        <v>465</v>
      </c>
      <c r="E207" s="239" t="s">
        <v>131</v>
      </c>
      <c r="F207" s="234">
        <v>11</v>
      </c>
      <c r="G207" s="234" t="s">
        <v>66</v>
      </c>
      <c r="H207" s="240"/>
      <c r="I207" s="239"/>
      <c r="J207" s="241" t="s">
        <v>3</v>
      </c>
      <c r="K207" s="240"/>
      <c r="L207" s="234"/>
      <c r="M207" s="234">
        <v>3</v>
      </c>
    </row>
    <row r="208" spans="1:13">
      <c r="A208" s="239">
        <v>76</v>
      </c>
      <c r="B208" s="438" t="s">
        <v>152</v>
      </c>
      <c r="C208" s="239" t="s">
        <v>69</v>
      </c>
      <c r="D208" s="248" t="s">
        <v>465</v>
      </c>
      <c r="E208" s="239" t="s">
        <v>133</v>
      </c>
      <c r="F208" s="442" t="s">
        <v>132</v>
      </c>
      <c r="G208" s="234" t="s">
        <v>645</v>
      </c>
      <c r="H208" s="240"/>
      <c r="I208" s="239"/>
      <c r="J208" s="241" t="s">
        <v>3</v>
      </c>
      <c r="K208" s="240"/>
      <c r="L208" s="234"/>
      <c r="M208" s="234">
        <v>3</v>
      </c>
    </row>
    <row r="209" spans="1:13">
      <c r="A209" s="239">
        <v>77</v>
      </c>
      <c r="B209" s="438" t="s">
        <v>152</v>
      </c>
      <c r="C209" s="239" t="s">
        <v>69</v>
      </c>
      <c r="D209" s="248" t="s">
        <v>465</v>
      </c>
      <c r="E209" s="250" t="s">
        <v>134</v>
      </c>
      <c r="F209" s="244">
        <v>14</v>
      </c>
      <c r="G209" s="234" t="s">
        <v>645</v>
      </c>
      <c r="H209" s="251"/>
      <c r="I209" s="250"/>
      <c r="J209" s="241" t="s">
        <v>3</v>
      </c>
      <c r="K209" s="251"/>
      <c r="L209" s="244"/>
      <c r="M209" s="234">
        <v>3</v>
      </c>
    </row>
    <row r="210" spans="1:13">
      <c r="A210" s="239">
        <v>78</v>
      </c>
      <c r="B210" s="438" t="s">
        <v>816</v>
      </c>
      <c r="C210" s="239" t="s">
        <v>74</v>
      </c>
      <c r="D210" s="248" t="s">
        <v>524</v>
      </c>
      <c r="E210" s="438" t="s">
        <v>817</v>
      </c>
      <c r="F210" s="234">
        <v>3</v>
      </c>
      <c r="G210" s="234" t="s">
        <v>66</v>
      </c>
      <c r="H210" s="240">
        <v>244544</v>
      </c>
      <c r="I210" s="239"/>
      <c r="J210" s="241" t="s">
        <v>83</v>
      </c>
      <c r="K210" s="240">
        <v>244545</v>
      </c>
      <c r="L210" s="234">
        <v>3</v>
      </c>
      <c r="M210" s="234">
        <v>3</v>
      </c>
    </row>
    <row r="211" spans="1:13">
      <c r="A211" s="239">
        <v>79</v>
      </c>
      <c r="B211" s="438" t="s">
        <v>152</v>
      </c>
      <c r="C211" s="239" t="s">
        <v>69</v>
      </c>
      <c r="D211" s="248" t="s">
        <v>465</v>
      </c>
      <c r="E211" s="438" t="s">
        <v>818</v>
      </c>
      <c r="F211" s="234">
        <v>6</v>
      </c>
      <c r="G211" s="234" t="s">
        <v>67</v>
      </c>
      <c r="H211" s="240">
        <v>244531</v>
      </c>
      <c r="I211" s="239"/>
      <c r="J211" s="241" t="s">
        <v>83</v>
      </c>
      <c r="K211" s="240">
        <v>244545</v>
      </c>
      <c r="L211" s="234">
        <v>3</v>
      </c>
      <c r="M211" s="234">
        <v>3</v>
      </c>
    </row>
    <row r="212" spans="1:13">
      <c r="A212" s="239">
        <v>80</v>
      </c>
      <c r="B212" s="239" t="s">
        <v>800</v>
      </c>
      <c r="C212" s="438" t="s">
        <v>70</v>
      </c>
      <c r="D212" s="248" t="s">
        <v>524</v>
      </c>
      <c r="E212" s="239" t="s">
        <v>819</v>
      </c>
      <c r="F212" s="442" t="s">
        <v>113</v>
      </c>
      <c r="G212" s="442" t="s">
        <v>61</v>
      </c>
      <c r="H212" s="240">
        <v>244540</v>
      </c>
      <c r="I212" s="239"/>
      <c r="J212" s="241" t="s">
        <v>83</v>
      </c>
      <c r="K212" s="240">
        <v>244545</v>
      </c>
      <c r="L212" s="234">
        <v>3</v>
      </c>
      <c r="M212" s="234">
        <v>3</v>
      </c>
    </row>
    <row r="213" spans="1:13">
      <c r="A213" s="239">
        <v>81</v>
      </c>
      <c r="B213" s="438" t="s">
        <v>821</v>
      </c>
      <c r="C213" s="438" t="s">
        <v>822</v>
      </c>
      <c r="D213" s="248" t="s">
        <v>524</v>
      </c>
      <c r="E213" s="438" t="s">
        <v>820</v>
      </c>
      <c r="F213" s="442" t="s">
        <v>113</v>
      </c>
      <c r="G213" s="234" t="s">
        <v>67</v>
      </c>
      <c r="H213" s="240">
        <v>244546</v>
      </c>
      <c r="I213" s="438" t="s">
        <v>823</v>
      </c>
      <c r="J213" s="241" t="s">
        <v>83</v>
      </c>
      <c r="K213" s="240">
        <v>244546</v>
      </c>
      <c r="L213" s="234">
        <v>3</v>
      </c>
      <c r="M213" s="234">
        <v>3</v>
      </c>
    </row>
    <row r="214" spans="1:13">
      <c r="A214" s="239">
        <v>82</v>
      </c>
      <c r="B214" s="438" t="s">
        <v>532</v>
      </c>
      <c r="C214" s="438" t="s">
        <v>69</v>
      </c>
      <c r="D214" s="248" t="s">
        <v>463</v>
      </c>
      <c r="E214" s="438" t="s">
        <v>824</v>
      </c>
      <c r="F214" s="234">
        <v>9</v>
      </c>
      <c r="G214" s="442" t="s">
        <v>67</v>
      </c>
      <c r="H214" s="240">
        <v>244545</v>
      </c>
      <c r="I214" s="438" t="s">
        <v>825</v>
      </c>
      <c r="J214" s="241" t="s">
        <v>3</v>
      </c>
      <c r="K214" s="240"/>
      <c r="L214" s="234"/>
      <c r="M214" s="234"/>
    </row>
    <row r="215" spans="1:13">
      <c r="A215" s="239">
        <v>83</v>
      </c>
      <c r="B215" s="438" t="s">
        <v>827</v>
      </c>
      <c r="C215" s="438" t="s">
        <v>70</v>
      </c>
      <c r="D215" s="248" t="s">
        <v>465</v>
      </c>
      <c r="E215" s="239" t="s">
        <v>826</v>
      </c>
      <c r="F215" s="234">
        <v>12</v>
      </c>
      <c r="G215" s="442" t="s">
        <v>67</v>
      </c>
      <c r="H215" s="240">
        <v>244544</v>
      </c>
      <c r="I215" s="239"/>
      <c r="J215" s="241"/>
      <c r="K215" s="240"/>
      <c r="L215" s="234"/>
      <c r="M215" s="234"/>
    </row>
    <row r="216" spans="1:13">
      <c r="A216" s="239"/>
      <c r="B216" s="438"/>
      <c r="C216" s="438"/>
      <c r="D216" s="248"/>
      <c r="E216" s="239"/>
      <c r="F216" s="234"/>
      <c r="G216" s="234"/>
      <c r="H216" s="240"/>
      <c r="I216" s="239"/>
      <c r="J216" s="241"/>
      <c r="K216" s="240"/>
      <c r="L216" s="234"/>
      <c r="M216" s="234"/>
    </row>
    <row r="217" spans="1:13">
      <c r="A217" s="239"/>
      <c r="B217" s="239"/>
      <c r="C217" s="239"/>
      <c r="D217" s="248"/>
      <c r="E217" s="239"/>
      <c r="F217" s="234"/>
      <c r="G217" s="234"/>
      <c r="H217" s="240"/>
      <c r="I217" s="239"/>
      <c r="J217" s="241"/>
      <c r="K217" s="240"/>
      <c r="L217" s="234"/>
      <c r="M217" s="234"/>
    </row>
    <row r="218" spans="1:13">
      <c r="A218" s="239"/>
      <c r="B218" s="239"/>
      <c r="C218" s="239"/>
      <c r="D218" s="248"/>
      <c r="E218" s="239"/>
      <c r="F218" s="234"/>
      <c r="G218" s="234"/>
      <c r="H218" s="240"/>
      <c r="I218" s="239"/>
      <c r="J218" s="241"/>
      <c r="K218" s="240"/>
      <c r="L218" s="234"/>
      <c r="M218" s="234"/>
    </row>
    <row r="219" spans="1:13">
      <c r="A219" s="239"/>
      <c r="B219" s="239"/>
      <c r="C219" s="239"/>
      <c r="D219" s="248"/>
      <c r="E219" s="239"/>
      <c r="F219" s="234"/>
      <c r="G219" s="234"/>
      <c r="H219" s="240"/>
      <c r="I219" s="239"/>
      <c r="J219" s="241"/>
      <c r="K219" s="240"/>
      <c r="L219" s="234"/>
      <c r="M219" s="234"/>
    </row>
    <row r="220" spans="1:13">
      <c r="A220" s="239"/>
      <c r="B220" s="239"/>
      <c r="C220" s="239"/>
      <c r="D220" s="248"/>
      <c r="E220" s="239"/>
      <c r="F220" s="234"/>
      <c r="G220" s="234"/>
      <c r="H220" s="240"/>
      <c r="I220" s="239"/>
      <c r="J220" s="241"/>
      <c r="K220" s="240"/>
      <c r="L220" s="234"/>
      <c r="M220" s="234"/>
    </row>
    <row r="221" spans="1:13">
      <c r="A221" s="239"/>
      <c r="B221" s="239"/>
      <c r="C221" s="239"/>
      <c r="D221" s="248"/>
      <c r="E221" s="239"/>
      <c r="F221" s="234"/>
      <c r="G221" s="234"/>
      <c r="H221" s="240"/>
      <c r="I221" s="239"/>
      <c r="J221" s="241"/>
      <c r="K221" s="240"/>
      <c r="L221" s="234"/>
      <c r="M221" s="234"/>
    </row>
    <row r="222" spans="1:13">
      <c r="A222" s="239"/>
      <c r="B222" s="239"/>
      <c r="C222" s="239"/>
      <c r="D222" s="248"/>
      <c r="E222" s="239"/>
      <c r="F222" s="234"/>
      <c r="G222" s="234"/>
      <c r="H222" s="240"/>
      <c r="I222" s="239"/>
      <c r="J222" s="241"/>
      <c r="K222" s="240"/>
      <c r="L222" s="234"/>
      <c r="M222" s="234"/>
    </row>
    <row r="223" spans="1:13">
      <c r="A223" s="239"/>
      <c r="B223" s="239"/>
      <c r="C223" s="239"/>
      <c r="D223" s="248"/>
      <c r="E223" s="239"/>
      <c r="F223" s="234"/>
      <c r="G223" s="234"/>
      <c r="H223" s="240"/>
      <c r="I223" s="239"/>
      <c r="J223" s="241"/>
      <c r="K223" s="240"/>
      <c r="L223" s="234"/>
      <c r="M223" s="234"/>
    </row>
    <row r="224" spans="1:13">
      <c r="A224" s="239"/>
      <c r="B224" s="239"/>
      <c r="C224" s="239"/>
      <c r="D224" s="248"/>
      <c r="E224" s="239"/>
      <c r="F224" s="234"/>
      <c r="G224" s="234"/>
      <c r="H224" s="240"/>
      <c r="I224" s="239"/>
      <c r="J224" s="241"/>
      <c r="K224" s="240"/>
      <c r="L224" s="234"/>
      <c r="M224" s="234"/>
    </row>
    <row r="225" spans="1:13">
      <c r="A225" s="250"/>
      <c r="B225" s="250"/>
      <c r="C225" s="250"/>
      <c r="D225" s="459"/>
      <c r="E225" s="250"/>
      <c r="F225" s="244"/>
      <c r="G225" s="244"/>
      <c r="H225" s="251"/>
      <c r="I225" s="250"/>
      <c r="J225" s="214"/>
      <c r="K225" s="251"/>
      <c r="L225" s="244"/>
      <c r="M225" s="244"/>
    </row>
  </sheetData>
  <mergeCells count="14">
    <mergeCell ref="O82:S82"/>
    <mergeCell ref="B130:L130"/>
    <mergeCell ref="B131:L131"/>
    <mergeCell ref="B1:K1"/>
    <mergeCell ref="B2:K2"/>
    <mergeCell ref="B26:L26"/>
    <mergeCell ref="B27:L27"/>
    <mergeCell ref="O29:S29"/>
    <mergeCell ref="A1:A2"/>
    <mergeCell ref="A26:A27"/>
    <mergeCell ref="A79:A80"/>
    <mergeCell ref="A130:A131"/>
    <mergeCell ref="B79:L79"/>
    <mergeCell ref="B80:L80"/>
  </mergeCells>
  <conditionalFormatting sqref="J25">
    <cfRule type="containsText" dxfId="99" priority="39" operator="containsText" text="โอนย้าย">
      <formula>NOT(ISERROR(SEARCH("โอนย้าย",J25)))</formula>
    </cfRule>
    <cfRule type="containsText" dxfId="98" priority="40" operator="containsText" text="กำลังดำเนินการ">
      <formula>NOT(ISERROR(SEARCH("กำลังดำเนินการ",J25)))</formula>
    </cfRule>
    <cfRule type="containsText" dxfId="97" priority="41" operator="containsText" text="รอดำเนินการ">
      <formula>NOT(ISERROR(SEARCH("รอดำเนินการ",J25)))</formula>
    </cfRule>
    <cfRule type="containsText" dxfId="96" priority="42" operator="containsText" text="เรียบร้อย">
      <formula>NOT(ISERROR(SEARCH("เรียบร้อย",J25)))</formula>
    </cfRule>
  </conditionalFormatting>
  <conditionalFormatting sqref="J29">
    <cfRule type="containsText" dxfId="95" priority="35" operator="containsText" text="โอนย้าย">
      <formula>NOT(ISERROR(SEARCH("โอนย้าย",J29)))</formula>
    </cfRule>
  </conditionalFormatting>
  <conditionalFormatting sqref="J31">
    <cfRule type="containsText" dxfId="94" priority="31" operator="containsText" text="โอนย้าย">
      <formula>NOT(ISERROR(SEARCH("โอนย้าย",J31)))</formula>
    </cfRule>
  </conditionalFormatting>
  <conditionalFormatting sqref="J53">
    <cfRule type="containsText" dxfId="93" priority="23" operator="containsText" text="โอนย้าย">
      <formula>NOT(ISERROR(SEARCH("โอนย้าย",J53)))</formula>
    </cfRule>
  </conditionalFormatting>
  <conditionalFormatting sqref="J61">
    <cfRule type="containsText" dxfId="92" priority="15" operator="containsText" text="โอนย้าย">
      <formula>NOT(ISERROR(SEARCH("โอนย้าย",J61)))</formula>
    </cfRule>
  </conditionalFormatting>
  <conditionalFormatting sqref="J67">
    <cfRule type="containsText" dxfId="91" priority="11" operator="containsText" text="โอนย้าย">
      <formula>NOT(ISERROR(SEARCH("โอนย้าย",J67)))</formula>
    </cfRule>
  </conditionalFormatting>
  <conditionalFormatting sqref="J132:J225">
    <cfRule type="containsText" dxfId="90" priority="5" operator="containsText" text="กำลังดำเนินการ">
      <formula>NOT(ISERROR(SEARCH("กำลังดำเนินการ",J132)))</formula>
    </cfRule>
    <cfRule type="containsText" dxfId="89" priority="6" operator="containsText" text="รอดำเนินการ">
      <formula>NOT(ISERROR(SEARCH("รอดำเนินการ",J132)))</formula>
    </cfRule>
    <cfRule type="containsText" dxfId="88" priority="7" operator="containsText" text="เรียบร้อย">
      <formula>NOT(ISERROR(SEARCH("เรียบร้อย",J132)))</formula>
    </cfRule>
  </conditionalFormatting>
  <conditionalFormatting sqref="J5:J9">
    <cfRule type="containsText" dxfId="87" priority="56" operator="containsText" text="กำลังดำเนินการ">
      <formula>NOT(ISERROR(SEARCH("กำลังดำเนินการ",J5)))</formula>
    </cfRule>
    <cfRule type="containsText" dxfId="86" priority="57" operator="containsText" text="รอดำเนินการ">
      <formula>NOT(ISERROR(SEARCH("รอดำเนินการ",J5)))</formula>
    </cfRule>
    <cfRule type="containsText" dxfId="85" priority="58" operator="containsText" text="เรียบร้อย">
      <formula>NOT(ISERROR(SEARCH("เรียบร้อย",J5)))</formula>
    </cfRule>
  </conditionalFormatting>
  <conditionalFormatting sqref="J10:J11">
    <cfRule type="containsText" dxfId="84" priority="51" operator="containsText" text="โอนย้าย">
      <formula>NOT(ISERROR(SEARCH("โอนย้าย",J10)))</formula>
    </cfRule>
  </conditionalFormatting>
  <conditionalFormatting sqref="J10:J15">
    <cfRule type="containsText" dxfId="83" priority="52" operator="containsText" text="กำลังดำเนินการ">
      <formula>NOT(ISERROR(SEARCH("กำลังดำเนินการ",J10)))</formula>
    </cfRule>
    <cfRule type="containsText" dxfId="82" priority="53" operator="containsText" text="รอดำเนินการ">
      <formula>NOT(ISERROR(SEARCH("รอดำเนินการ",J10)))</formula>
    </cfRule>
    <cfRule type="containsText" dxfId="81" priority="54" operator="containsText" text="เรียบร้อย">
      <formula>NOT(ISERROR(SEARCH("เรียบร้อย",J10)))</formula>
    </cfRule>
  </conditionalFormatting>
  <conditionalFormatting sqref="J16:J17">
    <cfRule type="containsText" dxfId="80" priority="47" operator="containsText" text="โอนย้าย">
      <formula>NOT(ISERROR(SEARCH("โอนย้าย",J16)))</formula>
    </cfRule>
  </conditionalFormatting>
  <conditionalFormatting sqref="J16:J19">
    <cfRule type="containsText" dxfId="79" priority="48" operator="containsText" text="กำลังดำเนินการ">
      <formula>NOT(ISERROR(SEARCH("กำลังดำเนินการ",J16)))</formula>
    </cfRule>
    <cfRule type="containsText" dxfId="78" priority="49" operator="containsText" text="รอดำเนินการ">
      <formula>NOT(ISERROR(SEARCH("รอดำเนินการ",J16)))</formula>
    </cfRule>
    <cfRule type="containsText" dxfId="77" priority="50" operator="containsText" text="เรียบร้อย">
      <formula>NOT(ISERROR(SEARCH("เรียบร้อย",J16)))</formula>
    </cfRule>
  </conditionalFormatting>
  <conditionalFormatting sqref="J20:J22">
    <cfRule type="containsText" dxfId="76" priority="43" operator="containsText" text="โอนย้าย">
      <formula>NOT(ISERROR(SEARCH("โอนย้าย",J20)))</formula>
    </cfRule>
  </conditionalFormatting>
  <conditionalFormatting sqref="J20:J24">
    <cfRule type="containsText" dxfId="75" priority="44" operator="containsText" text="กำลังดำเนินการ">
      <formula>NOT(ISERROR(SEARCH("กำลังดำเนินการ",J20)))</formula>
    </cfRule>
    <cfRule type="containsText" dxfId="74" priority="45" operator="containsText" text="รอดำเนินการ">
      <formula>NOT(ISERROR(SEARCH("รอดำเนินการ",J20)))</formula>
    </cfRule>
    <cfRule type="containsText" dxfId="73" priority="46" operator="containsText" text="เรียบร้อย">
      <formula>NOT(ISERROR(SEARCH("เรียบร้อย",J20)))</formula>
    </cfRule>
  </conditionalFormatting>
  <conditionalFormatting sqref="J28:J30">
    <cfRule type="containsText" dxfId="72" priority="36" operator="containsText" text="กำลังดำเนินการ">
      <formula>NOT(ISERROR(SEARCH("กำลังดำเนินการ",J28)))</formula>
    </cfRule>
    <cfRule type="containsText" dxfId="71" priority="37" operator="containsText" text="รอดำเนินการ">
      <formula>NOT(ISERROR(SEARCH("รอดำเนินการ",J28)))</formula>
    </cfRule>
    <cfRule type="containsText" dxfId="70" priority="38" operator="containsText" text="เรียบร้อย">
      <formula>NOT(ISERROR(SEARCH("เรียบร้อย",J28)))</formula>
    </cfRule>
  </conditionalFormatting>
  <conditionalFormatting sqref="J31:J36">
    <cfRule type="containsText" dxfId="69" priority="32" operator="containsText" text="กำลังดำเนินการ">
      <formula>NOT(ISERROR(SEARCH("กำลังดำเนินการ",J31)))</formula>
    </cfRule>
    <cfRule type="containsText" dxfId="68" priority="33" operator="containsText" text="รอดำเนินการ">
      <formula>NOT(ISERROR(SEARCH("รอดำเนินการ",J31)))</formula>
    </cfRule>
    <cfRule type="containsText" dxfId="67" priority="34" operator="containsText" text="เรียบร้อย">
      <formula>NOT(ISERROR(SEARCH("เรียบร้อย",J31)))</formula>
    </cfRule>
  </conditionalFormatting>
  <conditionalFormatting sqref="J37:J39">
    <cfRule type="containsText" dxfId="66" priority="27" operator="containsText" text="โอนย้าย">
      <formula>NOT(ISERROR(SEARCH("โอนย้าย",J37)))</formula>
    </cfRule>
  </conditionalFormatting>
  <conditionalFormatting sqref="J37:J52">
    <cfRule type="containsText" dxfId="65" priority="28" operator="containsText" text="กำลังดำเนินการ">
      <formula>NOT(ISERROR(SEARCH("กำลังดำเนินการ",J37)))</formula>
    </cfRule>
    <cfRule type="containsText" dxfId="64" priority="29" operator="containsText" text="รอดำเนินการ">
      <formula>NOT(ISERROR(SEARCH("รอดำเนินการ",J37)))</formula>
    </cfRule>
    <cfRule type="containsText" dxfId="63" priority="30" operator="containsText" text="เรียบร้อย">
      <formula>NOT(ISERROR(SEARCH("เรียบร้อย",J37)))</formula>
    </cfRule>
  </conditionalFormatting>
  <conditionalFormatting sqref="J53:J56">
    <cfRule type="containsText" dxfId="62" priority="24" operator="containsText" text="กำลังดำเนินการ">
      <formula>NOT(ISERROR(SEARCH("กำลังดำเนินการ",J53)))</formula>
    </cfRule>
    <cfRule type="containsText" dxfId="61" priority="25" operator="containsText" text="รอดำเนินการ">
      <formula>NOT(ISERROR(SEARCH("รอดำเนินการ",J53)))</formula>
    </cfRule>
    <cfRule type="containsText" dxfId="60" priority="26" operator="containsText" text="เรียบร้อย">
      <formula>NOT(ISERROR(SEARCH("เรียบร้อย",J53)))</formula>
    </cfRule>
  </conditionalFormatting>
  <conditionalFormatting sqref="J57:J58">
    <cfRule type="containsText" dxfId="59" priority="19" operator="containsText" text="โอนย้าย">
      <formula>NOT(ISERROR(SEARCH("โอนย้าย",J57)))</formula>
    </cfRule>
  </conditionalFormatting>
  <conditionalFormatting sqref="J57:J60">
    <cfRule type="containsText" dxfId="58" priority="20" operator="containsText" text="กำลังดำเนินการ">
      <formula>NOT(ISERROR(SEARCH("กำลังดำเนินการ",J57)))</formula>
    </cfRule>
    <cfRule type="containsText" dxfId="57" priority="21" operator="containsText" text="รอดำเนินการ">
      <formula>NOT(ISERROR(SEARCH("รอดำเนินการ",J57)))</formula>
    </cfRule>
    <cfRule type="containsText" dxfId="56" priority="22" operator="containsText" text="เรียบร้อย">
      <formula>NOT(ISERROR(SEARCH("เรียบร้อย",J57)))</formula>
    </cfRule>
  </conditionalFormatting>
  <conditionalFormatting sqref="J61:J66">
    <cfRule type="containsText" dxfId="55" priority="16" operator="containsText" text="กำลังดำเนินการ">
      <formula>NOT(ISERROR(SEARCH("กำลังดำเนินการ",J61)))</formula>
    </cfRule>
    <cfRule type="containsText" dxfId="54" priority="17" operator="containsText" text="รอดำเนินการ">
      <formula>NOT(ISERROR(SEARCH("รอดำเนินการ",J61)))</formula>
    </cfRule>
    <cfRule type="containsText" dxfId="53" priority="18" operator="containsText" text="เรียบร้อย">
      <formula>NOT(ISERROR(SEARCH("เรียบร้อย",J61)))</formula>
    </cfRule>
  </conditionalFormatting>
  <conditionalFormatting sqref="J67:J70">
    <cfRule type="containsText" dxfId="52" priority="12" operator="containsText" text="กำลังดำเนินการ">
      <formula>NOT(ISERROR(SEARCH("กำลังดำเนินการ",J67)))</formula>
    </cfRule>
    <cfRule type="containsText" dxfId="51" priority="13" operator="containsText" text="รอดำเนินการ">
      <formula>NOT(ISERROR(SEARCH("รอดำเนินการ",J67)))</formula>
    </cfRule>
    <cfRule type="containsText" dxfId="50" priority="14" operator="containsText" text="เรียบร้อย">
      <formula>NOT(ISERROR(SEARCH("เรียบร้อย",J67)))</formula>
    </cfRule>
  </conditionalFormatting>
  <conditionalFormatting sqref="J82:J129">
    <cfRule type="containsText" dxfId="49" priority="1" operator="containsText" text="โอนย้าย">
      <formula>NOT(ISERROR(SEARCH("โอนย้าย",J82)))</formula>
    </cfRule>
  </conditionalFormatting>
  <conditionalFormatting sqref="J103:J107">
    <cfRule type="containsText" dxfId="48" priority="8" operator="containsText" text="กำลังดำเนินการ">
      <formula>NOT(ISERROR(SEARCH("กำลังดำเนินการ",J103)))</formula>
    </cfRule>
    <cfRule type="containsText" dxfId="47" priority="9" operator="containsText" text="รอดำเนินการ">
      <formula>NOT(ISERROR(SEARCH("รอดำเนินการ",J103)))</formula>
    </cfRule>
    <cfRule type="containsText" dxfId="46" priority="10" operator="containsText" text="เรียบร้อย">
      <formula>NOT(ISERROR(SEARCH("เรียบร้อย",J103)))</formula>
    </cfRule>
  </conditionalFormatting>
  <conditionalFormatting sqref="J1:J4 J71:J78">
    <cfRule type="containsText" dxfId="45" priority="63" operator="containsText" text="รอดำเนินการ">
      <formula>NOT(ISERROR(SEARCH("รอดำเนินการ",J1)))</formula>
    </cfRule>
    <cfRule type="containsText" dxfId="44" priority="64" operator="containsText" text="เรียบร้อย">
      <formula>NOT(ISERROR(SEARCH("เรียบร้อย",J1)))</formula>
    </cfRule>
  </conditionalFormatting>
  <conditionalFormatting sqref="J71:J78 J1:J4">
    <cfRule type="containsText" dxfId="43" priority="62" operator="containsText" text="กำลังดำเนินการ">
      <formula>NOT(ISERROR(SEARCH("กำลังดำเนินการ",J1)))</formula>
    </cfRule>
  </conditionalFormatting>
  <conditionalFormatting sqref="J70:J78 J5:J7">
    <cfRule type="containsText" dxfId="42" priority="55" operator="containsText" text="โอนย้าย">
      <formula>NOT(ISERROR(SEARCH("โอนย้าย",J5)))</formula>
    </cfRule>
  </conditionalFormatting>
  <conditionalFormatting sqref="J81:J102 J108:J129">
    <cfRule type="containsText" dxfId="41" priority="59" operator="containsText" text="กำลังดำเนินการ">
      <formula>NOT(ISERROR(SEARCH("กำลังดำเนินการ",J81)))</formula>
    </cfRule>
    <cfRule type="containsText" dxfId="40" priority="60" operator="containsText" text="รอดำเนินการ">
      <formula>NOT(ISERROR(SEARCH("รอดำเนินการ",J81)))</formula>
    </cfRule>
    <cfRule type="containsText" dxfId="39" priority="61" operator="containsText" text="เรียบร้อย">
      <formula>NOT(ISERROR(SEARCH("เรียบร้อย",J81)))</formula>
    </cfRule>
  </conditionalFormatting>
  <dataValidations count="15">
    <dataValidation type="list" allowBlank="1" showInputMessage="1" showErrorMessage="1" sqref="J4 J30 J8:J9 J12:J15 J18:J19 J23:J24 J32:J36 J40:J52 J54:J56 J59:J60 J62:J66 J68:J69 J133:J225" xr:uid="{00000000-0002-0000-0500-000000000000}">
      <formula1>"เรียบร้อย, กำลังดำเนินการ, รอดำเนินการ"</formula1>
    </dataValidation>
    <dataValidation type="list" allowBlank="1" showInputMessage="1" showErrorMessage="1" sqref="J25 J29 J31 J53 J61 J67 J5:J7 J10:J11 J16:J17 J20:J22 J37:J39 J57:J58 J70:J78" xr:uid="{00000000-0002-0000-0500-000001000000}">
      <formula1>"เรียบร้อย, กำลังดำเนินการ, รอดำเนินการ, โอนย้าย"</formula1>
    </dataValidation>
    <dataValidation type="list" allowBlank="1" showInputMessage="1" showErrorMessage="1" sqref="G41" xr:uid="{00000000-0002-0000-0500-000002000000}">
      <formula1>"ไฟฟ้า,ประปา,ประตู,สุขภัณฑ์,ขอบคิ้ว,เก้าอี้,ม่าน,ระบบแอร์,อุปกรณ์,ขอบคิ้ว"</formula1>
    </dataValidation>
    <dataValidation type="date" allowBlank="1" showInputMessage="1" showErrorMessage="1" sqref="K87 K89 K101 H1:H25 H28:H78 H81:H128 K70:K72 K75:K78 K120:K126 K170 H132:H212 H215:H1048576" xr:uid="{00000000-0002-0000-0500-000003000000}">
      <formula1>244350</formula1>
      <formula2>244714</formula2>
    </dataValidation>
    <dataValidation type="list" allowBlank="1" showInputMessage="1" showErrorMessage="1" sqref="C144 C158 C166:C211" xr:uid="{00000000-0002-0000-0500-000004000000}">
      <formula1>"อาคาร/รีเซป,ตรวจสอบ,บัญชี,ธุรการ/การตลาด,การเงิน,จัดซื้อ,ไอทีซัพพอร์ต,โปรแกรมเมอร์,หนี้สิน,เลขา,บุคคล,compliance,แม่บ้าน,ผู้รับเหมา"</formula1>
    </dataValidation>
    <dataValidation type="list" allowBlank="1" showInputMessage="1" showErrorMessage="1" sqref="C4:C25" xr:uid="{00000000-0002-0000-0500-000005000000}">
      <formula1>"อาคาร/รีเซป,ตรวจสอบ,บัญชี,ธุรการ,IT,แม่บ้าน"</formula1>
    </dataValidation>
    <dataValidation type="list" allowBlank="1" showInputMessage="1" showErrorMessage="1" sqref="C29:C78 C82:C129 C133:C143 C145:C157 C159:C165" xr:uid="{00000000-0002-0000-0500-000006000000}">
      <formula1>"อาคาร/รีเซป,ตรวจสอบ,บัญชี,ธุรการ/การตลาด,การเงิน,จัดซื้อ,ไอทีซัพพอร์ต,โปรแกรมเมอร์,หนี้สิน,เลขา,บุคคล,compliance,แม่บ้าน,"</formula1>
    </dataValidation>
    <dataValidation type="list" allowBlank="1" showInputMessage="1" showErrorMessage="1" sqref="D29:D69 D76:D78 D82:D129 D133:D225" xr:uid="{00000000-0002-0000-0500-000008000000}">
      <formula1>"Line,OA,ส่วนตัว"</formula1>
    </dataValidation>
    <dataValidation type="list" allowBlank="1" showInputMessage="1" showErrorMessage="1" sqref="F29:F69 F75:F78 F82:F129 F133:F175" xr:uid="{00000000-0002-0000-0500-000009000000}">
      <formula1>"G,2,3,4,5,6,7,8,9,10,11,12,14,15,Roof,หลังบริษัท"</formula1>
    </dataValidation>
    <dataValidation type="list" allowBlank="1" showInputMessage="1" showErrorMessage="1" sqref="G4:G25 G29:G40 G42:G78" xr:uid="{00000000-0002-0000-0500-00000A000000}">
      <formula1>"ไฟฟ้า,ประปา,ประตู,สุขภัณฑ์,ขอบคิ้ว,เก้าอี้,ม่าน,ระบบแอร์,อุปกรณ์"</formula1>
    </dataValidation>
    <dataValidation type="list" allowBlank="1" showInputMessage="1" showErrorMessage="1" sqref="G133:G143" xr:uid="{00000000-0002-0000-0500-00000B000000}">
      <formula1>"ไฟฟ้า,ประปา,ประตู,สุขภัณฑ์,ขอบคิ้ว,เก้าอี้,ม่าน,ระบบแอร์,อุปกรณ์, งานPM, งานอีเว้น, งานเบ็ดเตล็ด"</formula1>
    </dataValidation>
    <dataValidation type="list" allowBlank="1" showInputMessage="1" showErrorMessage="1" sqref="G144" xr:uid="{00000000-0002-0000-0500-00000C000000}">
      <formula1>"ไฟฟ้า,ประปา,ประตู,สุขภัณฑ์,ขอบคิ้ว,เก้าอี้,ม่าน,ระบบแอร์,อุปกรณ์, งานPM, งานอีเว้น, งานเบ็ดเตล็ด,อื่นๆ,ฝ้า"</formula1>
    </dataValidation>
    <dataValidation type="list" allowBlank="1" showInputMessage="1" showErrorMessage="1" sqref="J82:J129" xr:uid="{00000000-0002-0000-0500-00000D000000}">
      <formula1>"เรียบร้อย, กำลังดำเนินการ, รอดำเนินการม,โอนย้าย"</formula1>
    </dataValidation>
    <dataValidation type="list" allowBlank="1" showInputMessage="1" showErrorMessage="1" sqref="G145:G211 G213" xr:uid="{C29A1715-FD16-4FEE-8E54-F29A4C3CDC12}">
      <formula1>"ไฟฟ้า,ประปา,ประตู,สุขภัณฑ์,ขอบคิ้ว,เก้าอี้,ม่าน,ระบบแอร์,อุปกรณ์, งานPM, งานอีเว้น, งานเบ็ดเตล็ด,อื่นๆ,ฝ้า,PM-MT"</formula1>
    </dataValidation>
    <dataValidation type="list" allowBlank="1" showInputMessage="1" showErrorMessage="1" sqref="G82:G129" xr:uid="{45F4BEF8-22EF-45A2-8876-69FD3BD086CB}">
      <formula1>"ไฟฟ้า,ประปา,ประตู,สุขภัณฑ์,ขอบคิ้ว,เก้าอี้,ม่าน,ระบบแอร์,อุปกรณ์, อื่นๆ"</formula1>
    </dataValidation>
  </dataValidations>
  <pageMargins left="0.7" right="0.7" top="0.75" bottom="0.75" header="0.3" footer="0.3"/>
  <pageSetup paperSize="9" orientation="portrait"/>
  <ignoredErrors>
    <ignoredError sqref="G141" listDataValidatio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8" tint="0.39994506668294322"/>
    <pageSetUpPr fitToPage="1"/>
  </sheetPr>
  <dimension ref="A1:N163"/>
  <sheetViews>
    <sheetView topLeftCell="A4" zoomScale="85" zoomScaleNormal="85" workbookViewId="0">
      <selection activeCell="B21" sqref="B21"/>
    </sheetView>
  </sheetViews>
  <sheetFormatPr defaultColWidth="9" defaultRowHeight="14.4"/>
  <cols>
    <col min="1" max="1" width="12.5546875" customWidth="1"/>
    <col min="2" max="2" width="22.109375" style="29" customWidth="1"/>
    <col min="3" max="3" width="13.33203125" style="29" customWidth="1"/>
    <col min="4" max="4" width="18.88671875" customWidth="1"/>
    <col min="5" max="5" width="16.109375" customWidth="1"/>
    <col min="6" max="6" width="10.109375" style="24" customWidth="1"/>
    <col min="7" max="7" width="40.44140625" style="24" customWidth="1"/>
    <col min="8" max="8" width="12.77734375" style="24" customWidth="1"/>
    <col min="9" max="9" width="21.109375" customWidth="1"/>
    <col min="10" max="10" width="13.44140625" style="24" customWidth="1"/>
    <col min="11" max="11" width="15.21875" style="24" customWidth="1"/>
    <col min="12" max="12" width="19.109375" customWidth="1"/>
    <col min="13" max="13" width="12.33203125" customWidth="1"/>
  </cols>
  <sheetData>
    <row r="1" spans="1:14" ht="49.95" customHeight="1">
      <c r="A1" s="537" t="s">
        <v>90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275"/>
      <c r="M1" s="276"/>
    </row>
    <row r="2" spans="1:14" ht="49.95" customHeight="1">
      <c r="A2" s="538" t="s">
        <v>91</v>
      </c>
      <c r="B2" s="538"/>
      <c r="C2" s="277">
        <f>COUNTIFS(Table17[สถานะงาน],"*")</f>
        <v>16</v>
      </c>
      <c r="D2" s="278" t="s">
        <v>38</v>
      </c>
      <c r="E2" s="279">
        <f>COUNTIFS(Table17[สถานะงาน],"สำเร็จ")</f>
        <v>4</v>
      </c>
      <c r="F2" s="538" t="s">
        <v>84</v>
      </c>
      <c r="G2" s="538"/>
      <c r="H2" s="280">
        <f>COUNTIFS(Table17[สถานะงาน],"กำลังดำเนินการ")</f>
        <v>2</v>
      </c>
      <c r="I2" s="281" t="s">
        <v>3</v>
      </c>
      <c r="J2" s="282">
        <f>COUNTIFS(Table17[สถานะงาน],"รอดำเนินการ")</f>
        <v>0</v>
      </c>
      <c r="K2" s="283"/>
      <c r="L2" s="284"/>
      <c r="M2" s="284"/>
    </row>
    <row r="3" spans="1:14" s="25" customFormat="1" ht="30" customHeight="1">
      <c r="A3" s="355" t="s">
        <v>92</v>
      </c>
      <c r="B3" s="356" t="s">
        <v>93</v>
      </c>
      <c r="C3" s="356" t="s">
        <v>94</v>
      </c>
      <c r="D3" s="356" t="s">
        <v>95</v>
      </c>
      <c r="E3" s="357" t="s">
        <v>96</v>
      </c>
      <c r="F3" s="358" t="s">
        <v>97</v>
      </c>
      <c r="G3" s="355" t="s">
        <v>98</v>
      </c>
      <c r="H3" s="356" t="s">
        <v>89</v>
      </c>
      <c r="I3" s="356" t="s">
        <v>99</v>
      </c>
      <c r="J3" s="356" t="s">
        <v>100</v>
      </c>
      <c r="K3" s="359" t="s">
        <v>101</v>
      </c>
    </row>
    <row r="4" spans="1:14" ht="14.4" customHeight="1">
      <c r="A4" s="360">
        <v>1</v>
      </c>
      <c r="B4" s="361">
        <v>244455</v>
      </c>
      <c r="C4" s="360" t="s">
        <v>12</v>
      </c>
      <c r="D4" s="360" t="s">
        <v>102</v>
      </c>
      <c r="E4" s="362"/>
      <c r="F4" s="362">
        <v>9</v>
      </c>
      <c r="G4" s="453" t="s">
        <v>103</v>
      </c>
      <c r="H4" s="444" t="s">
        <v>63</v>
      </c>
      <c r="I4" s="360"/>
      <c r="J4" s="363" t="s">
        <v>85</v>
      </c>
      <c r="K4" s="364" t="s">
        <v>104</v>
      </c>
    </row>
    <row r="5" spans="1:14" ht="14.4" customHeight="1">
      <c r="A5" s="360">
        <v>2</v>
      </c>
      <c r="B5" s="361">
        <v>244455</v>
      </c>
      <c r="C5" s="360" t="s">
        <v>12</v>
      </c>
      <c r="D5" s="362" t="s">
        <v>102</v>
      </c>
      <c r="E5" s="362"/>
      <c r="F5" s="362">
        <v>6</v>
      </c>
      <c r="G5" s="453" t="s">
        <v>105</v>
      </c>
      <c r="H5" s="444" t="s">
        <v>62</v>
      </c>
      <c r="I5" s="360"/>
      <c r="J5" s="363" t="s">
        <v>85</v>
      </c>
      <c r="K5" s="364" t="s">
        <v>104</v>
      </c>
    </row>
    <row r="6" spans="1:14" ht="14.4" customHeight="1">
      <c r="A6" s="360">
        <v>3</v>
      </c>
      <c r="B6" s="361">
        <v>244456</v>
      </c>
      <c r="C6" s="360" t="s">
        <v>12</v>
      </c>
      <c r="D6" s="360" t="s">
        <v>106</v>
      </c>
      <c r="E6" s="362" t="s">
        <v>69</v>
      </c>
      <c r="F6" s="362" t="s">
        <v>107</v>
      </c>
      <c r="G6" s="362" t="s">
        <v>108</v>
      </c>
      <c r="H6" s="444" t="s">
        <v>67</v>
      </c>
      <c r="I6" s="360" t="s">
        <v>14</v>
      </c>
      <c r="J6" s="363" t="s">
        <v>38</v>
      </c>
      <c r="K6" s="364" t="s">
        <v>109</v>
      </c>
      <c r="L6" s="365"/>
    </row>
    <row r="7" spans="1:14" ht="14.4" customHeight="1">
      <c r="A7" s="360">
        <v>4</v>
      </c>
      <c r="B7" s="361">
        <v>244459</v>
      </c>
      <c r="C7" s="360" t="s">
        <v>12</v>
      </c>
      <c r="D7" s="362" t="s">
        <v>110</v>
      </c>
      <c r="E7" s="362" t="s">
        <v>69</v>
      </c>
      <c r="F7" s="362">
        <v>12</v>
      </c>
      <c r="G7" s="362" t="s">
        <v>111</v>
      </c>
      <c r="H7" s="444" t="s">
        <v>67</v>
      </c>
      <c r="I7" s="360"/>
      <c r="J7" s="363" t="s">
        <v>85</v>
      </c>
      <c r="K7" s="364" t="s">
        <v>109</v>
      </c>
    </row>
    <row r="8" spans="1:14" ht="14.4" customHeight="1">
      <c r="A8" s="360">
        <v>5</v>
      </c>
      <c r="B8" s="361">
        <v>244460</v>
      </c>
      <c r="C8" s="360" t="s">
        <v>12</v>
      </c>
      <c r="D8" s="362" t="s">
        <v>112</v>
      </c>
      <c r="E8" s="362" t="s">
        <v>69</v>
      </c>
      <c r="F8" s="362" t="s">
        <v>113</v>
      </c>
      <c r="G8" s="453" t="s">
        <v>114</v>
      </c>
      <c r="H8" s="444" t="s">
        <v>67</v>
      </c>
      <c r="I8" s="360"/>
      <c r="J8" s="363" t="s">
        <v>85</v>
      </c>
      <c r="K8" s="364" t="s">
        <v>109</v>
      </c>
    </row>
    <row r="9" spans="1:14" ht="14.4" customHeight="1">
      <c r="A9" s="360">
        <v>6</v>
      </c>
      <c r="B9" s="366">
        <v>244467</v>
      </c>
      <c r="C9" s="360" t="s">
        <v>12</v>
      </c>
      <c r="D9" s="367" t="s">
        <v>115</v>
      </c>
      <c r="E9" s="362" t="s">
        <v>69</v>
      </c>
      <c r="F9" s="362">
        <v>4</v>
      </c>
      <c r="G9" s="454" t="s">
        <v>116</v>
      </c>
      <c r="H9" s="444" t="s">
        <v>66</v>
      </c>
      <c r="I9" s="360" t="s">
        <v>14</v>
      </c>
      <c r="J9" s="363" t="s">
        <v>38</v>
      </c>
      <c r="K9" s="364" t="s">
        <v>104</v>
      </c>
    </row>
    <row r="10" spans="1:14" ht="14.4" customHeight="1">
      <c r="A10" s="360">
        <v>7</v>
      </c>
      <c r="B10" s="366">
        <v>244466</v>
      </c>
      <c r="C10" s="360" t="s">
        <v>12</v>
      </c>
      <c r="D10" s="367" t="s">
        <v>117</v>
      </c>
      <c r="E10" s="362" t="s">
        <v>69</v>
      </c>
      <c r="F10" s="362">
        <v>5</v>
      </c>
      <c r="G10" s="454" t="s">
        <v>118</v>
      </c>
      <c r="H10" s="444" t="s">
        <v>66</v>
      </c>
      <c r="I10" s="360"/>
      <c r="J10" s="363" t="s">
        <v>84</v>
      </c>
      <c r="K10" s="364" t="s">
        <v>109</v>
      </c>
    </row>
    <row r="11" spans="1:14" ht="14.4" customHeight="1">
      <c r="A11" s="360">
        <v>8</v>
      </c>
      <c r="B11" s="361">
        <v>244470</v>
      </c>
      <c r="C11" s="360" t="s">
        <v>13</v>
      </c>
      <c r="D11" s="362" t="s">
        <v>119</v>
      </c>
      <c r="E11" s="362" t="s">
        <v>69</v>
      </c>
      <c r="F11" s="362" t="s">
        <v>113</v>
      </c>
      <c r="G11" s="453" t="s">
        <v>120</v>
      </c>
      <c r="H11" s="444" t="s">
        <v>62</v>
      </c>
      <c r="I11" s="360"/>
      <c r="J11" s="363" t="s">
        <v>84</v>
      </c>
      <c r="K11" s="364" t="s">
        <v>104</v>
      </c>
    </row>
    <row r="12" spans="1:14" ht="14.4" customHeight="1">
      <c r="A12" s="360">
        <v>9</v>
      </c>
      <c r="B12" s="361">
        <v>244473</v>
      </c>
      <c r="C12" s="360" t="s">
        <v>13</v>
      </c>
      <c r="D12" s="362" t="s">
        <v>117</v>
      </c>
      <c r="E12" s="362" t="s">
        <v>69</v>
      </c>
      <c r="F12" s="362">
        <v>3</v>
      </c>
      <c r="G12" s="362" t="s">
        <v>121</v>
      </c>
      <c r="H12" s="444" t="s">
        <v>60</v>
      </c>
      <c r="I12" s="360"/>
      <c r="J12" s="363" t="s">
        <v>85</v>
      </c>
      <c r="K12" s="364" t="s">
        <v>104</v>
      </c>
    </row>
    <row r="13" spans="1:14" ht="14.4" customHeight="1">
      <c r="A13" s="360">
        <v>10</v>
      </c>
      <c r="B13" s="361">
        <v>244479</v>
      </c>
      <c r="C13" s="360" t="s">
        <v>13</v>
      </c>
      <c r="D13" s="362" t="s">
        <v>117</v>
      </c>
      <c r="E13" s="362" t="s">
        <v>69</v>
      </c>
      <c r="F13" s="362">
        <v>5</v>
      </c>
      <c r="G13" s="362" t="s">
        <v>122</v>
      </c>
      <c r="H13" s="444" t="s">
        <v>63</v>
      </c>
      <c r="I13" s="360"/>
      <c r="J13" s="363" t="s">
        <v>85</v>
      </c>
      <c r="K13" s="364" t="s">
        <v>104</v>
      </c>
      <c r="M13" t="s">
        <v>123</v>
      </c>
    </row>
    <row r="14" spans="1:14" ht="14.4" customHeight="1">
      <c r="A14" s="360">
        <v>11</v>
      </c>
      <c r="B14" s="361">
        <v>244479</v>
      </c>
      <c r="C14" s="360" t="s">
        <v>13</v>
      </c>
      <c r="D14" s="362" t="s">
        <v>117</v>
      </c>
      <c r="E14" s="362" t="s">
        <v>69</v>
      </c>
      <c r="F14" s="362">
        <v>14</v>
      </c>
      <c r="G14" s="362" t="s">
        <v>124</v>
      </c>
      <c r="H14" s="444" t="s">
        <v>63</v>
      </c>
      <c r="I14" s="360" t="s">
        <v>14</v>
      </c>
      <c r="J14" s="363" t="s">
        <v>38</v>
      </c>
      <c r="K14" s="364" t="s">
        <v>109</v>
      </c>
      <c r="N14" t="s">
        <v>125</v>
      </c>
    </row>
    <row r="15" spans="1:14" ht="14.4" customHeight="1">
      <c r="A15" s="360">
        <v>12</v>
      </c>
      <c r="B15" s="366">
        <v>244480</v>
      </c>
      <c r="C15" s="360" t="s">
        <v>13</v>
      </c>
      <c r="D15" s="367" t="s">
        <v>126</v>
      </c>
      <c r="E15" s="362" t="s">
        <v>69</v>
      </c>
      <c r="F15" s="362">
        <v>15</v>
      </c>
      <c r="G15" s="367" t="s">
        <v>127</v>
      </c>
      <c r="H15" s="444" t="s">
        <v>60</v>
      </c>
      <c r="I15" s="360" t="s">
        <v>14</v>
      </c>
      <c r="J15" s="363" t="s">
        <v>38</v>
      </c>
      <c r="K15" s="364" t="s">
        <v>104</v>
      </c>
    </row>
    <row r="16" spans="1:14" ht="14.4" customHeight="1">
      <c r="A16" s="360">
        <v>13</v>
      </c>
      <c r="B16" s="366">
        <v>244488</v>
      </c>
      <c r="C16" s="360" t="s">
        <v>13</v>
      </c>
      <c r="D16" s="367" t="s">
        <v>128</v>
      </c>
      <c r="E16" s="362" t="s">
        <v>69</v>
      </c>
      <c r="F16" s="362">
        <v>10</v>
      </c>
      <c r="G16" s="367" t="s">
        <v>129</v>
      </c>
      <c r="H16" s="444" t="s">
        <v>67</v>
      </c>
      <c r="I16" s="360"/>
      <c r="J16" s="363" t="s">
        <v>85</v>
      </c>
      <c r="K16" s="364" t="s">
        <v>104</v>
      </c>
    </row>
    <row r="17" spans="1:11" ht="14.4" customHeight="1">
      <c r="A17" s="360">
        <v>14</v>
      </c>
      <c r="B17" s="366">
        <v>244489</v>
      </c>
      <c r="C17" s="360" t="s">
        <v>13</v>
      </c>
      <c r="D17" s="367" t="s">
        <v>130</v>
      </c>
      <c r="E17" s="362" t="s">
        <v>69</v>
      </c>
      <c r="F17" s="362">
        <v>11</v>
      </c>
      <c r="G17" s="367" t="s">
        <v>131</v>
      </c>
      <c r="H17" s="444" t="s">
        <v>66</v>
      </c>
      <c r="I17" s="360"/>
      <c r="J17" s="363" t="s">
        <v>85</v>
      </c>
      <c r="K17" s="364" t="s">
        <v>109</v>
      </c>
    </row>
    <row r="18" spans="1:11" ht="14.4" customHeight="1">
      <c r="A18" s="360">
        <v>15</v>
      </c>
      <c r="B18" s="366">
        <v>244489</v>
      </c>
      <c r="C18" s="360" t="s">
        <v>13</v>
      </c>
      <c r="D18" s="367" t="s">
        <v>119</v>
      </c>
      <c r="E18" s="362" t="s">
        <v>69</v>
      </c>
      <c r="F18" s="362" t="s">
        <v>132</v>
      </c>
      <c r="G18" s="367" t="s">
        <v>133</v>
      </c>
      <c r="H18" s="444" t="s">
        <v>67</v>
      </c>
      <c r="I18" s="360"/>
      <c r="J18" s="363" t="s">
        <v>85</v>
      </c>
      <c r="K18" s="364" t="s">
        <v>109</v>
      </c>
    </row>
    <row r="19" spans="1:11" ht="14.4" customHeight="1">
      <c r="A19" s="360">
        <v>16</v>
      </c>
      <c r="B19" s="366">
        <v>244489</v>
      </c>
      <c r="C19" s="360" t="s">
        <v>13</v>
      </c>
      <c r="D19" s="367" t="s">
        <v>119</v>
      </c>
      <c r="E19" s="362" t="s">
        <v>69</v>
      </c>
      <c r="F19" s="362">
        <v>14</v>
      </c>
      <c r="G19" s="367" t="s">
        <v>134</v>
      </c>
      <c r="H19" s="444" t="s">
        <v>67</v>
      </c>
      <c r="I19" s="360"/>
      <c r="J19" s="363" t="s">
        <v>85</v>
      </c>
      <c r="K19" s="364" t="s">
        <v>109</v>
      </c>
    </row>
    <row r="20" spans="1:11" ht="14.4" customHeight="1">
      <c r="A20" s="360">
        <v>17</v>
      </c>
      <c r="B20" s="446"/>
      <c r="C20" s="446"/>
      <c r="D20" s="446"/>
      <c r="E20" s="447"/>
      <c r="F20" s="448"/>
      <c r="G20" s="446"/>
      <c r="H20" s="449"/>
      <c r="I20" s="446"/>
      <c r="J20" s="450"/>
      <c r="K20" s="451"/>
    </row>
    <row r="21" spans="1:11" ht="14.4" customHeight="1">
      <c r="A21" s="360">
        <v>18</v>
      </c>
      <c r="B21" s="360"/>
      <c r="C21" s="360"/>
      <c r="D21" s="360"/>
      <c r="E21" s="362"/>
      <c r="F21" s="368"/>
      <c r="G21" s="443"/>
      <c r="H21" s="445"/>
      <c r="I21" s="360"/>
      <c r="J21" s="363"/>
      <c r="K21" s="364"/>
    </row>
    <row r="22" spans="1:11" ht="14.4" customHeight="1">
      <c r="A22" s="360">
        <v>19</v>
      </c>
      <c r="B22" s="360"/>
      <c r="C22" s="360"/>
      <c r="D22" s="360"/>
      <c r="E22" s="362"/>
      <c r="F22" s="368"/>
      <c r="G22" s="443"/>
      <c r="H22" s="445"/>
      <c r="I22" s="360"/>
      <c r="J22" s="363"/>
      <c r="K22" s="364"/>
    </row>
    <row r="23" spans="1:11" ht="14.4" customHeight="1">
      <c r="A23" s="360">
        <v>20</v>
      </c>
      <c r="B23" s="360"/>
      <c r="C23" s="360"/>
      <c r="D23" s="360"/>
      <c r="E23" s="362"/>
      <c r="F23" s="368"/>
      <c r="G23" s="443"/>
      <c r="H23" s="445"/>
      <c r="I23" s="360"/>
      <c r="J23" s="363"/>
      <c r="K23" s="364"/>
    </row>
    <row r="24" spans="1:11" ht="14.4" customHeight="1">
      <c r="A24" s="360">
        <v>21</v>
      </c>
      <c r="B24" s="360"/>
      <c r="C24" s="360"/>
      <c r="D24" s="360"/>
      <c r="E24" s="362"/>
      <c r="F24" s="368"/>
      <c r="G24" s="443"/>
      <c r="H24" s="445"/>
      <c r="I24" s="360"/>
      <c r="J24" s="363"/>
      <c r="K24" s="364"/>
    </row>
    <row r="25" spans="1:11" ht="14.4" customHeight="1">
      <c r="A25" s="360">
        <v>22</v>
      </c>
      <c r="B25" s="360"/>
      <c r="C25" s="360"/>
      <c r="D25" s="360"/>
      <c r="E25" s="362"/>
      <c r="F25" s="368"/>
      <c r="G25" s="443"/>
      <c r="H25" s="445"/>
      <c r="I25" s="360"/>
      <c r="J25" s="363"/>
      <c r="K25" s="364"/>
    </row>
    <row r="26" spans="1:11" ht="14.4" customHeight="1">
      <c r="A26" s="360">
        <v>23</v>
      </c>
      <c r="B26" s="360"/>
      <c r="C26" s="360"/>
      <c r="D26" s="360"/>
      <c r="E26" s="362"/>
      <c r="F26" s="368"/>
      <c r="G26" s="443"/>
      <c r="H26" s="445"/>
      <c r="I26" s="360"/>
      <c r="J26" s="363"/>
      <c r="K26" s="364"/>
    </row>
    <row r="27" spans="1:11" ht="14.4" customHeight="1">
      <c r="A27" s="360">
        <v>24</v>
      </c>
      <c r="B27" s="360"/>
      <c r="C27" s="360"/>
      <c r="D27" s="360"/>
      <c r="E27" s="362"/>
      <c r="F27" s="368"/>
      <c r="G27" s="443"/>
      <c r="H27" s="445"/>
      <c r="I27" s="360"/>
      <c r="J27" s="363"/>
      <c r="K27" s="364"/>
    </row>
    <row r="28" spans="1:11" ht="14.4" customHeight="1">
      <c r="A28" s="360">
        <v>25</v>
      </c>
      <c r="B28" s="360"/>
      <c r="C28" s="360"/>
      <c r="D28" s="360"/>
      <c r="E28" s="362"/>
      <c r="F28" s="368"/>
      <c r="G28" s="443"/>
      <c r="H28" s="445"/>
      <c r="I28" s="360"/>
      <c r="J28" s="363"/>
      <c r="K28" s="364"/>
    </row>
    <row r="29" spans="1:11" ht="14.4" customHeight="1">
      <c r="A29" s="360">
        <v>26</v>
      </c>
      <c r="B29" s="360"/>
      <c r="C29" s="360"/>
      <c r="D29" s="360"/>
      <c r="E29" s="362"/>
      <c r="F29" s="368"/>
      <c r="G29" s="443"/>
      <c r="H29" s="445"/>
      <c r="I29" s="360"/>
      <c r="J29" s="363"/>
      <c r="K29" s="364"/>
    </row>
    <row r="30" spans="1:11" ht="14.4" customHeight="1">
      <c r="A30" s="360">
        <v>27</v>
      </c>
      <c r="B30" s="360"/>
      <c r="C30" s="360"/>
      <c r="D30" s="360"/>
      <c r="E30" s="362"/>
      <c r="F30" s="368"/>
      <c r="G30" s="443"/>
      <c r="H30" s="445"/>
      <c r="I30" s="360"/>
      <c r="J30" s="363"/>
      <c r="K30" s="364"/>
    </row>
    <row r="31" spans="1:11" ht="14.4" customHeight="1">
      <c r="A31" s="360">
        <v>28</v>
      </c>
      <c r="B31" s="360"/>
      <c r="C31" s="360"/>
      <c r="D31" s="360"/>
      <c r="E31" s="362"/>
      <c r="F31" s="368"/>
      <c r="G31" s="443"/>
      <c r="H31" s="445"/>
      <c r="I31" s="360"/>
      <c r="J31" s="363"/>
      <c r="K31" s="364"/>
    </row>
    <row r="32" spans="1:11" ht="14.4" customHeight="1">
      <c r="A32" s="360">
        <v>29</v>
      </c>
      <c r="B32" s="360"/>
      <c r="C32" s="360"/>
      <c r="D32" s="360"/>
      <c r="E32" s="362"/>
      <c r="F32" s="368"/>
      <c r="G32" s="360"/>
      <c r="H32" s="445"/>
      <c r="I32" s="360"/>
      <c r="J32" s="363"/>
      <c r="K32" s="364"/>
    </row>
    <row r="33" spans="1:11" ht="14.4" customHeight="1">
      <c r="A33" s="360">
        <v>30</v>
      </c>
      <c r="B33" s="360"/>
      <c r="C33" s="360"/>
      <c r="D33" s="360"/>
      <c r="E33" s="362"/>
      <c r="F33" s="368"/>
      <c r="G33" s="443"/>
      <c r="H33" s="445"/>
      <c r="I33" s="360"/>
      <c r="J33" s="363"/>
      <c r="K33" s="364"/>
    </row>
    <row r="34" spans="1:11" ht="14.4" customHeight="1">
      <c r="A34" s="360">
        <v>31</v>
      </c>
      <c r="B34" s="360"/>
      <c r="C34" s="360"/>
      <c r="D34" s="360"/>
      <c r="E34" s="362"/>
      <c r="F34" s="368"/>
      <c r="G34" s="443"/>
      <c r="H34" s="445"/>
      <c r="I34" s="360"/>
      <c r="J34" s="363"/>
      <c r="K34" s="364"/>
    </row>
    <row r="35" spans="1:11" ht="14.4" customHeight="1">
      <c r="A35" s="360">
        <v>32</v>
      </c>
      <c r="B35" s="360"/>
      <c r="C35" s="360"/>
      <c r="D35" s="360"/>
      <c r="E35" s="362"/>
      <c r="F35" s="368"/>
      <c r="G35" s="443"/>
      <c r="H35" s="445"/>
      <c r="I35" s="360"/>
      <c r="J35" s="363"/>
      <c r="K35" s="364"/>
    </row>
    <row r="36" spans="1:11" ht="14.4" customHeight="1">
      <c r="A36" s="360">
        <v>33</v>
      </c>
      <c r="B36" s="360"/>
      <c r="C36" s="360"/>
      <c r="D36" s="360"/>
      <c r="E36" s="362"/>
      <c r="F36" s="368"/>
      <c r="G36" s="443"/>
      <c r="H36" s="445"/>
      <c r="I36" s="360"/>
      <c r="J36" s="363"/>
      <c r="K36" s="364"/>
    </row>
    <row r="37" spans="1:11" ht="14.4" customHeight="1">
      <c r="A37" s="360">
        <v>34</v>
      </c>
      <c r="B37" s="360"/>
      <c r="C37" s="360"/>
      <c r="D37" s="360"/>
      <c r="E37" s="362"/>
      <c r="F37" s="368"/>
      <c r="G37" s="443"/>
      <c r="H37" s="445"/>
      <c r="I37" s="360"/>
      <c r="J37" s="363"/>
      <c r="K37" s="364"/>
    </row>
    <row r="38" spans="1:11" ht="14.4" customHeight="1">
      <c r="A38" s="360">
        <v>35</v>
      </c>
      <c r="B38" s="360"/>
      <c r="C38" s="360"/>
      <c r="D38" s="360"/>
      <c r="E38" s="362"/>
      <c r="F38" s="368"/>
      <c r="G38" s="443"/>
      <c r="H38" s="445"/>
      <c r="I38" s="360"/>
      <c r="J38" s="363"/>
      <c r="K38" s="364"/>
    </row>
    <row r="39" spans="1:11" ht="14.4" customHeight="1">
      <c r="A39" s="360">
        <v>36</v>
      </c>
      <c r="B39" s="360"/>
      <c r="C39" s="360"/>
      <c r="D39" s="360"/>
      <c r="E39" s="362"/>
      <c r="F39" s="368"/>
      <c r="G39" s="443"/>
      <c r="H39" s="445"/>
      <c r="I39" s="360"/>
      <c r="J39" s="363"/>
      <c r="K39" s="364"/>
    </row>
    <row r="40" spans="1:11" ht="14.4" customHeight="1">
      <c r="A40" s="360">
        <v>37</v>
      </c>
      <c r="B40" s="360"/>
      <c r="C40" s="360"/>
      <c r="D40" s="360"/>
      <c r="E40" s="362"/>
      <c r="F40" s="368"/>
      <c r="G40" s="443"/>
      <c r="H40" s="445"/>
      <c r="I40" s="360"/>
      <c r="J40" s="363"/>
      <c r="K40" s="364"/>
    </row>
    <row r="41" spans="1:11" ht="14.4" customHeight="1">
      <c r="A41" s="360">
        <v>38</v>
      </c>
      <c r="B41" s="360"/>
      <c r="C41" s="360"/>
      <c r="D41" s="360"/>
      <c r="E41" s="362"/>
      <c r="F41" s="368"/>
      <c r="G41" s="443"/>
      <c r="H41" s="445"/>
      <c r="I41" s="360"/>
      <c r="J41" s="363"/>
      <c r="K41" s="364"/>
    </row>
    <row r="42" spans="1:11" ht="14.4" customHeight="1">
      <c r="A42" s="360">
        <v>39</v>
      </c>
      <c r="B42" s="360"/>
      <c r="C42" s="360"/>
      <c r="D42" s="360"/>
      <c r="E42" s="362"/>
      <c r="F42" s="368"/>
      <c r="G42" s="443"/>
      <c r="H42" s="445"/>
      <c r="I42" s="360"/>
      <c r="J42" s="363"/>
      <c r="K42" s="364"/>
    </row>
    <row r="43" spans="1:11" ht="14.4" customHeight="1">
      <c r="A43" s="360">
        <v>40</v>
      </c>
      <c r="B43" s="360"/>
      <c r="C43" s="360"/>
      <c r="D43" s="360"/>
      <c r="E43" s="362"/>
      <c r="F43" s="368"/>
      <c r="G43" s="443"/>
      <c r="H43" s="445"/>
      <c r="I43" s="360"/>
      <c r="J43" s="363"/>
      <c r="K43" s="364"/>
    </row>
    <row r="44" spans="1:11" ht="14.4" customHeight="1">
      <c r="A44" s="360">
        <v>41</v>
      </c>
      <c r="B44" s="360"/>
      <c r="C44" s="360"/>
      <c r="D44" s="360"/>
      <c r="E44" s="362"/>
      <c r="F44" s="368"/>
      <c r="G44" s="443"/>
      <c r="H44" s="445"/>
      <c r="I44" s="360"/>
      <c r="J44" s="363"/>
      <c r="K44" s="364"/>
    </row>
    <row r="45" spans="1:11" ht="14.4" customHeight="1">
      <c r="A45" s="360">
        <v>42</v>
      </c>
      <c r="B45" s="360"/>
      <c r="C45" s="360"/>
      <c r="D45" s="360"/>
      <c r="E45" s="362"/>
      <c r="F45" s="368"/>
      <c r="G45" s="443"/>
      <c r="H45" s="445"/>
      <c r="I45" s="360"/>
      <c r="J45" s="363"/>
      <c r="K45" s="364"/>
    </row>
    <row r="46" spans="1:11" ht="14.4" customHeight="1">
      <c r="A46" s="360">
        <v>43</v>
      </c>
      <c r="B46" s="360"/>
      <c r="C46" s="360"/>
      <c r="D46" s="360"/>
      <c r="E46" s="362"/>
      <c r="F46" s="368"/>
      <c r="G46" s="443"/>
      <c r="H46" s="445"/>
      <c r="I46" s="360"/>
      <c r="J46" s="363"/>
      <c r="K46" s="364"/>
    </row>
    <row r="47" spans="1:11" ht="14.4" customHeight="1">
      <c r="A47" s="360">
        <v>44</v>
      </c>
      <c r="B47" s="360"/>
      <c r="C47" s="360"/>
      <c r="D47" s="360"/>
      <c r="E47" s="362"/>
      <c r="F47" s="368"/>
      <c r="G47" s="443"/>
      <c r="H47" s="445"/>
      <c r="I47" s="360"/>
      <c r="J47" s="363"/>
      <c r="K47" s="364"/>
    </row>
    <row r="48" spans="1:11" ht="14.4" customHeight="1">
      <c r="A48" s="360">
        <v>45</v>
      </c>
      <c r="B48" s="360"/>
      <c r="C48" s="360"/>
      <c r="D48" s="360"/>
      <c r="E48" s="362"/>
      <c r="F48" s="368"/>
      <c r="G48" s="443"/>
      <c r="H48" s="445"/>
      <c r="I48" s="360"/>
      <c r="J48" s="363"/>
      <c r="K48" s="364"/>
    </row>
    <row r="49" spans="1:11" ht="14.4" customHeight="1">
      <c r="A49" s="360">
        <v>46</v>
      </c>
      <c r="B49" s="360"/>
      <c r="C49" s="360"/>
      <c r="D49" s="360"/>
      <c r="E49" s="362"/>
      <c r="F49" s="368"/>
      <c r="G49" s="443"/>
      <c r="H49" s="445"/>
      <c r="I49" s="360"/>
      <c r="J49" s="363"/>
      <c r="K49" s="364"/>
    </row>
    <row r="50" spans="1:11" ht="14.4" customHeight="1">
      <c r="A50" s="360">
        <v>47</v>
      </c>
      <c r="B50" s="360"/>
      <c r="C50" s="360"/>
      <c r="D50" s="360"/>
      <c r="E50" s="362"/>
      <c r="F50" s="368"/>
      <c r="G50" s="443"/>
      <c r="H50" s="445"/>
      <c r="I50" s="360"/>
      <c r="J50" s="363"/>
      <c r="K50" s="364"/>
    </row>
    <row r="51" spans="1:11" ht="14.4" customHeight="1">
      <c r="A51" s="360">
        <v>48</v>
      </c>
      <c r="B51" s="360"/>
      <c r="C51" s="360"/>
      <c r="D51" s="360"/>
      <c r="E51" s="362"/>
      <c r="F51" s="368"/>
      <c r="G51" s="443"/>
      <c r="H51" s="445"/>
      <c r="I51" s="360"/>
      <c r="J51" s="363"/>
      <c r="K51" s="364"/>
    </row>
    <row r="52" spans="1:11" ht="14.4" customHeight="1">
      <c r="A52" s="360">
        <v>49</v>
      </c>
      <c r="B52" s="360"/>
      <c r="C52" s="360"/>
      <c r="D52" s="360"/>
      <c r="E52" s="362"/>
      <c r="F52" s="368"/>
      <c r="G52" s="443"/>
      <c r="H52" s="445"/>
      <c r="I52" s="360"/>
      <c r="J52" s="363"/>
      <c r="K52" s="364"/>
    </row>
    <row r="53" spans="1:11" ht="14.4" customHeight="1">
      <c r="A53" s="360">
        <v>50</v>
      </c>
      <c r="B53" s="360"/>
      <c r="C53" s="360"/>
      <c r="D53" s="360"/>
      <c r="E53" s="362"/>
      <c r="F53" s="368"/>
      <c r="G53" s="443"/>
      <c r="H53" s="445"/>
      <c r="I53" s="360"/>
      <c r="J53" s="363"/>
      <c r="K53" s="364"/>
    </row>
    <row r="54" spans="1:11" ht="14.4" customHeight="1">
      <c r="A54" s="360">
        <v>51</v>
      </c>
      <c r="B54" s="360"/>
      <c r="C54" s="360"/>
      <c r="D54" s="360"/>
      <c r="E54" s="362"/>
      <c r="F54" s="368"/>
      <c r="G54" s="443"/>
      <c r="H54" s="445"/>
      <c r="I54" s="360"/>
      <c r="J54" s="363"/>
      <c r="K54" s="364"/>
    </row>
    <row r="55" spans="1:11" ht="14.4" customHeight="1">
      <c r="A55" s="360">
        <v>52</v>
      </c>
      <c r="B55" s="360"/>
      <c r="C55" s="360"/>
      <c r="D55" s="360"/>
      <c r="E55" s="362"/>
      <c r="F55" s="368"/>
      <c r="G55" s="443"/>
      <c r="H55" s="445"/>
      <c r="I55" s="360"/>
      <c r="J55" s="363"/>
      <c r="K55" s="364"/>
    </row>
    <row r="56" spans="1:11" ht="14.4" customHeight="1">
      <c r="A56" s="360">
        <v>53</v>
      </c>
      <c r="B56" s="360"/>
      <c r="C56" s="360"/>
      <c r="D56" s="360"/>
      <c r="E56" s="362"/>
      <c r="F56" s="368"/>
      <c r="G56" s="443"/>
      <c r="H56" s="445"/>
      <c r="I56" s="360"/>
      <c r="J56" s="363"/>
      <c r="K56" s="29"/>
    </row>
    <row r="57" spans="1:11" ht="14.4" customHeight="1">
      <c r="A57" s="360">
        <v>54</v>
      </c>
      <c r="B57" s="360"/>
      <c r="C57" s="360"/>
      <c r="D57" s="360"/>
      <c r="E57" s="362"/>
      <c r="F57" s="368"/>
      <c r="G57" s="443"/>
      <c r="H57" s="445"/>
      <c r="I57" s="360"/>
      <c r="J57" s="363"/>
      <c r="K57" s="364"/>
    </row>
    <row r="58" spans="1:11" ht="14.4" customHeight="1">
      <c r="A58" s="360">
        <v>55</v>
      </c>
      <c r="B58" s="360"/>
      <c r="C58" s="360"/>
      <c r="D58" s="360"/>
      <c r="E58" s="362"/>
      <c r="F58" s="368"/>
      <c r="G58" s="360"/>
      <c r="H58" s="445"/>
      <c r="I58" s="360"/>
      <c r="J58" s="363"/>
      <c r="K58" s="364"/>
    </row>
    <row r="59" spans="1:11" ht="14.4" customHeight="1">
      <c r="A59" s="360">
        <v>56</v>
      </c>
      <c r="B59" s="360"/>
      <c r="C59" s="360"/>
      <c r="D59" s="360"/>
      <c r="E59" s="362"/>
      <c r="F59" s="368"/>
      <c r="G59" s="360"/>
      <c r="H59" s="445"/>
      <c r="I59" s="360"/>
      <c r="J59" s="363"/>
      <c r="K59" s="364"/>
    </row>
    <row r="60" spans="1:11" ht="14.4" customHeight="1">
      <c r="A60" s="360">
        <v>57</v>
      </c>
      <c r="B60" s="360"/>
      <c r="C60" s="360"/>
      <c r="D60" s="360"/>
      <c r="E60" s="362"/>
      <c r="F60" s="368"/>
      <c r="G60" s="360"/>
      <c r="H60" s="445"/>
      <c r="I60" s="360"/>
      <c r="J60" s="363"/>
      <c r="K60" s="364"/>
    </row>
    <row r="61" spans="1:11" ht="14.4" customHeight="1">
      <c r="A61" s="360">
        <v>58</v>
      </c>
      <c r="B61" s="360"/>
      <c r="C61" s="360"/>
      <c r="D61" s="360"/>
      <c r="E61" s="362"/>
      <c r="F61" s="368"/>
      <c r="G61" s="360"/>
      <c r="H61" s="445"/>
      <c r="I61" s="360"/>
      <c r="J61" s="363"/>
      <c r="K61" s="364"/>
    </row>
    <row r="62" spans="1:11" ht="14.4" customHeight="1">
      <c r="A62" s="360">
        <v>59</v>
      </c>
      <c r="B62" s="360"/>
      <c r="C62" s="360"/>
      <c r="D62" s="360"/>
      <c r="E62" s="362"/>
      <c r="F62" s="368"/>
      <c r="G62" s="360"/>
      <c r="H62" s="445"/>
      <c r="I62" s="360"/>
      <c r="J62" s="363"/>
      <c r="K62" s="364"/>
    </row>
    <row r="63" spans="1:11" ht="14.4" customHeight="1">
      <c r="A63" s="360">
        <v>60</v>
      </c>
      <c r="B63" s="360"/>
      <c r="C63" s="360"/>
      <c r="D63" s="360"/>
      <c r="E63" s="362"/>
      <c r="F63" s="368"/>
      <c r="G63" s="360"/>
      <c r="H63" s="445"/>
      <c r="I63" s="360"/>
      <c r="J63" s="363"/>
      <c r="K63" s="364"/>
    </row>
    <row r="64" spans="1:11" ht="14.4" customHeight="1">
      <c r="A64" s="360">
        <v>61</v>
      </c>
      <c r="B64" s="360"/>
      <c r="C64" s="360"/>
      <c r="D64" s="360"/>
      <c r="E64" s="362"/>
      <c r="F64" s="368"/>
      <c r="G64" s="360"/>
      <c r="H64" s="445"/>
      <c r="I64" s="360"/>
      <c r="J64" s="363"/>
      <c r="K64" s="364"/>
    </row>
    <row r="65" spans="1:11" ht="14.4" customHeight="1">
      <c r="A65" s="360">
        <v>62</v>
      </c>
      <c r="B65" s="360"/>
      <c r="C65" s="360"/>
      <c r="D65" s="360"/>
      <c r="E65" s="362"/>
      <c r="F65" s="368"/>
      <c r="G65" s="360"/>
      <c r="H65" s="445"/>
      <c r="I65" s="360"/>
      <c r="J65" s="363"/>
      <c r="K65" s="364"/>
    </row>
    <row r="66" spans="1:11" ht="14.4" customHeight="1">
      <c r="A66" s="360">
        <v>63</v>
      </c>
      <c r="B66" s="360"/>
      <c r="C66" s="360"/>
      <c r="D66" s="360"/>
      <c r="E66" s="362"/>
      <c r="F66" s="368"/>
      <c r="G66" s="360"/>
      <c r="H66" s="445"/>
      <c r="I66" s="360"/>
      <c r="J66" s="363"/>
      <c r="K66" s="364"/>
    </row>
    <row r="67" spans="1:11" ht="14.4" customHeight="1">
      <c r="A67" s="360">
        <v>64</v>
      </c>
      <c r="B67" s="360"/>
      <c r="C67" s="360"/>
      <c r="D67" s="360"/>
      <c r="E67" s="362"/>
      <c r="F67" s="368"/>
      <c r="G67" s="360"/>
      <c r="H67" s="445"/>
      <c r="I67" s="360"/>
      <c r="J67" s="363"/>
      <c r="K67" s="364"/>
    </row>
    <row r="68" spans="1:11" ht="14.4" customHeight="1">
      <c r="A68" s="360">
        <v>65</v>
      </c>
      <c r="B68" s="360"/>
      <c r="C68" s="360"/>
      <c r="D68" s="360"/>
      <c r="E68" s="362"/>
      <c r="F68" s="368"/>
      <c r="G68" s="360"/>
      <c r="H68" s="445"/>
      <c r="I68" s="360"/>
      <c r="J68" s="363"/>
      <c r="K68" s="364"/>
    </row>
    <row r="69" spans="1:11" ht="14.4" customHeight="1">
      <c r="A69" s="360">
        <v>66</v>
      </c>
      <c r="B69" s="360"/>
      <c r="C69" s="360"/>
      <c r="D69" s="360"/>
      <c r="E69" s="362"/>
      <c r="F69" s="368"/>
      <c r="G69" s="360"/>
      <c r="H69" s="445"/>
      <c r="I69" s="360"/>
      <c r="J69" s="363"/>
      <c r="K69" s="364"/>
    </row>
    <row r="70" spans="1:11" ht="14.4" customHeight="1">
      <c r="A70" s="360">
        <v>67</v>
      </c>
      <c r="B70" s="360"/>
      <c r="C70" s="360"/>
      <c r="D70" s="360"/>
      <c r="E70" s="362"/>
      <c r="F70" s="368"/>
      <c r="G70" s="360"/>
      <c r="H70" s="445"/>
      <c r="I70" s="360"/>
      <c r="J70" s="363"/>
      <c r="K70" s="364"/>
    </row>
    <row r="71" spans="1:11" ht="14.4" customHeight="1">
      <c r="A71" s="360">
        <v>68</v>
      </c>
      <c r="B71" s="360"/>
      <c r="C71" s="360"/>
      <c r="D71" s="360"/>
      <c r="E71" s="362"/>
      <c r="F71" s="368"/>
      <c r="G71" s="360"/>
      <c r="H71" s="445"/>
      <c r="I71" s="360"/>
      <c r="J71" s="363"/>
      <c r="K71" s="364"/>
    </row>
    <row r="72" spans="1:11" ht="14.4" customHeight="1">
      <c r="A72" s="360">
        <v>69</v>
      </c>
      <c r="B72" s="360"/>
      <c r="C72" s="360"/>
      <c r="D72" s="360"/>
      <c r="E72" s="362"/>
      <c r="F72" s="368"/>
      <c r="G72" s="360"/>
      <c r="H72" s="445"/>
      <c r="I72" s="360"/>
      <c r="J72" s="363"/>
      <c r="K72" s="364"/>
    </row>
    <row r="73" spans="1:11" ht="14.4" customHeight="1">
      <c r="A73" s="360">
        <v>70</v>
      </c>
      <c r="B73" s="360"/>
      <c r="C73" s="360"/>
      <c r="D73" s="360"/>
      <c r="E73" s="362"/>
      <c r="F73" s="368"/>
      <c r="G73" s="360"/>
      <c r="H73" s="445"/>
      <c r="I73" s="360"/>
      <c r="J73" s="363"/>
      <c r="K73" s="364"/>
    </row>
    <row r="74" spans="1:11" ht="14.4" customHeight="1">
      <c r="A74" s="360">
        <v>71</v>
      </c>
      <c r="B74" s="360"/>
      <c r="C74" s="360"/>
      <c r="D74" s="360"/>
      <c r="E74" s="362"/>
      <c r="F74" s="368"/>
      <c r="G74" s="360"/>
      <c r="H74" s="445"/>
      <c r="I74" s="360"/>
      <c r="J74" s="363"/>
      <c r="K74" s="364"/>
    </row>
    <row r="75" spans="1:11" ht="14.4" customHeight="1">
      <c r="A75" s="360">
        <v>72</v>
      </c>
      <c r="B75" s="360"/>
      <c r="C75" s="360"/>
      <c r="D75" s="360"/>
      <c r="E75" s="362"/>
      <c r="F75" s="368"/>
      <c r="G75" s="360"/>
      <c r="H75" s="445"/>
      <c r="I75" s="360"/>
      <c r="J75" s="363"/>
      <c r="K75" s="364"/>
    </row>
    <row r="76" spans="1:11" ht="14.4" customHeight="1">
      <c r="A76" s="360">
        <v>73</v>
      </c>
      <c r="B76" s="360"/>
      <c r="C76" s="360"/>
      <c r="D76" s="360"/>
      <c r="E76" s="362"/>
      <c r="F76" s="368"/>
      <c r="G76" s="360"/>
      <c r="H76" s="445"/>
      <c r="I76" s="360"/>
      <c r="J76" s="363"/>
      <c r="K76" s="364"/>
    </row>
    <row r="77" spans="1:11" ht="14.4" customHeight="1">
      <c r="A77" s="360">
        <v>74</v>
      </c>
      <c r="B77" s="360"/>
      <c r="C77" s="360"/>
      <c r="D77" s="360"/>
      <c r="E77" s="362"/>
      <c r="F77" s="368"/>
      <c r="G77" s="360"/>
      <c r="H77" s="445"/>
      <c r="I77" s="360"/>
      <c r="J77" s="363"/>
      <c r="K77" s="364"/>
    </row>
    <row r="78" spans="1:11" ht="14.4" customHeight="1">
      <c r="A78" s="360">
        <v>75</v>
      </c>
      <c r="B78" s="360"/>
      <c r="C78" s="360"/>
      <c r="D78" s="360"/>
      <c r="E78" s="362"/>
      <c r="F78" s="368"/>
      <c r="G78" s="360"/>
      <c r="H78" s="445"/>
      <c r="I78" s="360"/>
      <c r="J78" s="363"/>
      <c r="K78" s="364"/>
    </row>
    <row r="79" spans="1:11" ht="14.4" customHeight="1">
      <c r="A79" s="360">
        <v>76</v>
      </c>
      <c r="B79" s="360"/>
      <c r="C79" s="360"/>
      <c r="D79" s="360"/>
      <c r="E79" s="362"/>
      <c r="F79" s="368"/>
      <c r="G79" s="360"/>
      <c r="H79" s="445"/>
      <c r="I79" s="360"/>
      <c r="J79" s="363"/>
      <c r="K79" s="364"/>
    </row>
    <row r="80" spans="1:11" ht="14.4" customHeight="1">
      <c r="A80" s="360">
        <v>77</v>
      </c>
      <c r="B80" s="360"/>
      <c r="C80" s="360"/>
      <c r="D80" s="360"/>
      <c r="E80" s="362"/>
      <c r="F80" s="368"/>
      <c r="G80" s="360"/>
      <c r="H80" s="445"/>
      <c r="I80" s="360"/>
      <c r="J80" s="363"/>
      <c r="K80" s="364"/>
    </row>
    <row r="81" spans="1:11" ht="14.4" customHeight="1">
      <c r="A81" s="360">
        <v>78</v>
      </c>
      <c r="B81" s="360"/>
      <c r="C81" s="360"/>
      <c r="D81" s="360"/>
      <c r="E81" s="362"/>
      <c r="F81" s="368"/>
      <c r="G81" s="360"/>
      <c r="H81" s="445"/>
      <c r="I81" s="360"/>
      <c r="J81" s="363"/>
      <c r="K81" s="364"/>
    </row>
    <row r="82" spans="1:11" ht="14.4" customHeight="1">
      <c r="A82" s="360">
        <v>79</v>
      </c>
      <c r="B82" s="360"/>
      <c r="C82" s="360"/>
      <c r="D82" s="360"/>
      <c r="E82" s="362"/>
      <c r="F82" s="368"/>
      <c r="G82" s="360"/>
      <c r="H82" s="445"/>
      <c r="I82" s="360"/>
      <c r="J82" s="363"/>
      <c r="K82" s="364"/>
    </row>
    <row r="83" spans="1:11" ht="14.4" customHeight="1">
      <c r="A83" s="360">
        <v>80</v>
      </c>
      <c r="B83" s="360"/>
      <c r="C83" s="360"/>
      <c r="D83" s="360"/>
      <c r="E83" s="362"/>
      <c r="F83" s="368"/>
      <c r="G83" s="360"/>
      <c r="H83" s="445"/>
      <c r="I83" s="360"/>
      <c r="J83" s="363"/>
      <c r="K83" s="364"/>
    </row>
    <row r="84" spans="1:11" ht="14.4" customHeight="1">
      <c r="A84" s="360">
        <v>81</v>
      </c>
      <c r="B84" s="360"/>
      <c r="C84" s="360"/>
      <c r="D84" s="360"/>
      <c r="E84" s="362"/>
      <c r="F84" s="368"/>
      <c r="G84" s="360"/>
      <c r="H84" s="445"/>
      <c r="I84" s="360"/>
      <c r="J84" s="363"/>
      <c r="K84" s="364"/>
    </row>
    <row r="85" spans="1:11" ht="14.4" customHeight="1">
      <c r="A85" s="360">
        <v>82</v>
      </c>
      <c r="B85" s="360"/>
      <c r="C85" s="360"/>
      <c r="D85" s="360"/>
      <c r="E85" s="362"/>
      <c r="F85" s="368"/>
      <c r="G85" s="360"/>
      <c r="H85" s="445"/>
      <c r="I85" s="360"/>
      <c r="J85" s="363"/>
      <c r="K85" s="364"/>
    </row>
    <row r="86" spans="1:11" ht="14.4" customHeight="1">
      <c r="A86" s="360">
        <v>83</v>
      </c>
      <c r="B86" s="360"/>
      <c r="C86" s="360"/>
      <c r="D86" s="360"/>
      <c r="E86" s="362"/>
      <c r="F86" s="368"/>
      <c r="G86" s="360"/>
      <c r="H86" s="445"/>
      <c r="I86" s="360"/>
      <c r="J86" s="363"/>
      <c r="K86" s="364"/>
    </row>
    <row r="87" spans="1:11" ht="14.4" customHeight="1">
      <c r="A87" s="360">
        <v>84</v>
      </c>
      <c r="B87" s="360"/>
      <c r="C87" s="360"/>
      <c r="D87" s="360"/>
      <c r="E87" s="362"/>
      <c r="F87" s="368"/>
      <c r="G87" s="360"/>
      <c r="H87" s="445"/>
      <c r="I87" s="360"/>
      <c r="J87" s="363"/>
      <c r="K87" s="364"/>
    </row>
    <row r="88" spans="1:11" ht="14.4" customHeight="1">
      <c r="A88" s="360">
        <v>85</v>
      </c>
      <c r="B88" s="360"/>
      <c r="C88" s="360"/>
      <c r="D88" s="360"/>
      <c r="E88" s="362"/>
      <c r="F88" s="368"/>
      <c r="G88" s="360"/>
      <c r="H88" s="445"/>
      <c r="I88" s="360"/>
      <c r="J88" s="363"/>
      <c r="K88" s="364"/>
    </row>
    <row r="89" spans="1:11" ht="14.4" customHeight="1">
      <c r="A89" s="360">
        <v>86</v>
      </c>
      <c r="B89" s="360"/>
      <c r="C89" s="360"/>
      <c r="D89" s="360"/>
      <c r="E89" s="362"/>
      <c r="F89" s="368"/>
      <c r="G89" s="360"/>
      <c r="H89" s="445"/>
      <c r="I89" s="360"/>
      <c r="J89" s="363"/>
      <c r="K89" s="364"/>
    </row>
    <row r="90" spans="1:11" ht="14.4" customHeight="1">
      <c r="A90" s="360">
        <v>87</v>
      </c>
      <c r="B90" s="360"/>
      <c r="C90" s="360"/>
      <c r="D90" s="360"/>
      <c r="E90" s="362"/>
      <c r="F90" s="368"/>
      <c r="G90" s="360"/>
      <c r="H90" s="445"/>
      <c r="I90" s="360"/>
      <c r="J90" s="363"/>
      <c r="K90" s="364"/>
    </row>
    <row r="91" spans="1:11" ht="14.4" customHeight="1">
      <c r="A91" s="360">
        <v>88</v>
      </c>
      <c r="B91" s="360"/>
      <c r="C91" s="360"/>
      <c r="D91" s="360"/>
      <c r="E91" s="362"/>
      <c r="F91" s="368"/>
      <c r="G91" s="360"/>
      <c r="H91" s="445"/>
      <c r="I91" s="360"/>
      <c r="J91" s="363"/>
      <c r="K91" s="364"/>
    </row>
    <row r="92" spans="1:11" ht="14.4" customHeight="1">
      <c r="A92" s="360">
        <v>89</v>
      </c>
      <c r="B92" s="360"/>
      <c r="C92" s="360"/>
      <c r="D92" s="360"/>
      <c r="E92" s="362"/>
      <c r="F92" s="368"/>
      <c r="G92" s="360"/>
      <c r="H92" s="445"/>
      <c r="I92" s="360"/>
      <c r="J92" s="363"/>
      <c r="K92" s="364"/>
    </row>
    <row r="93" spans="1:11" ht="14.4" customHeight="1">
      <c r="A93" s="360">
        <v>90</v>
      </c>
      <c r="B93" s="360"/>
      <c r="C93" s="360"/>
      <c r="D93" s="360"/>
      <c r="E93" s="362"/>
      <c r="F93" s="368"/>
      <c r="G93" s="360"/>
      <c r="H93" s="445"/>
      <c r="I93" s="360"/>
      <c r="J93" s="363"/>
      <c r="K93" s="364"/>
    </row>
    <row r="94" spans="1:11" ht="14.4" customHeight="1">
      <c r="A94" s="360">
        <v>91</v>
      </c>
      <c r="B94" s="360"/>
      <c r="C94" s="360"/>
      <c r="D94" s="360"/>
      <c r="E94" s="362"/>
      <c r="F94" s="368"/>
      <c r="G94" s="360"/>
      <c r="H94" s="445"/>
      <c r="I94" s="360"/>
      <c r="J94" s="363"/>
      <c r="K94" s="364"/>
    </row>
    <row r="95" spans="1:11" ht="14.4" customHeight="1">
      <c r="A95" s="360">
        <v>92</v>
      </c>
      <c r="B95" s="360"/>
      <c r="C95" s="360"/>
      <c r="D95" s="360"/>
      <c r="E95" s="362"/>
      <c r="F95" s="368"/>
      <c r="G95" s="360"/>
      <c r="H95" s="445"/>
      <c r="I95" s="360"/>
      <c r="J95" s="363"/>
      <c r="K95" s="364"/>
    </row>
    <row r="96" spans="1:11" ht="14.4" customHeight="1">
      <c r="A96" s="360">
        <v>93</v>
      </c>
      <c r="B96" s="360"/>
      <c r="C96" s="360"/>
      <c r="D96" s="360"/>
      <c r="E96" s="362"/>
      <c r="F96" s="368"/>
      <c r="G96" s="360"/>
      <c r="H96" s="445"/>
      <c r="I96" s="360"/>
      <c r="J96" s="363"/>
      <c r="K96" s="364"/>
    </row>
    <row r="97" spans="1:11" ht="14.4" customHeight="1">
      <c r="A97" s="360">
        <v>94</v>
      </c>
      <c r="B97" s="360"/>
      <c r="C97" s="360"/>
      <c r="D97" s="360"/>
      <c r="E97" s="362"/>
      <c r="F97" s="368"/>
      <c r="G97" s="360"/>
      <c r="H97" s="445"/>
      <c r="I97" s="360"/>
      <c r="J97" s="363"/>
      <c r="K97" s="364"/>
    </row>
    <row r="98" spans="1:11" ht="14.4" customHeight="1">
      <c r="A98" s="360">
        <v>95</v>
      </c>
      <c r="B98" s="360"/>
      <c r="C98" s="360"/>
      <c r="D98" s="360"/>
      <c r="E98" s="362"/>
      <c r="F98" s="368"/>
      <c r="G98" s="360"/>
      <c r="H98" s="445"/>
      <c r="I98" s="360"/>
      <c r="J98" s="363"/>
      <c r="K98" s="364"/>
    </row>
    <row r="99" spans="1:11" ht="14.4" customHeight="1">
      <c r="A99" s="360">
        <v>96</v>
      </c>
      <c r="B99" s="360"/>
      <c r="C99" s="360"/>
      <c r="D99" s="360"/>
      <c r="E99" s="362"/>
      <c r="F99" s="368"/>
      <c r="G99" s="360"/>
      <c r="H99" s="445"/>
      <c r="I99" s="360"/>
      <c r="J99" s="363"/>
      <c r="K99" s="364"/>
    </row>
    <row r="100" spans="1:11" ht="14.4" customHeight="1">
      <c r="A100" s="360">
        <v>97</v>
      </c>
      <c r="B100" s="360"/>
      <c r="C100" s="360"/>
      <c r="D100" s="360"/>
      <c r="E100" s="362"/>
      <c r="F100" s="368"/>
      <c r="G100" s="360"/>
      <c r="H100" s="445"/>
      <c r="I100" s="360"/>
      <c r="J100" s="363"/>
      <c r="K100" s="364"/>
    </row>
    <row r="101" spans="1:11" ht="14.4" customHeight="1">
      <c r="A101" s="360">
        <v>98</v>
      </c>
      <c r="B101" s="360"/>
      <c r="C101" s="360"/>
      <c r="D101" s="360"/>
      <c r="E101" s="362"/>
      <c r="F101" s="368"/>
      <c r="G101" s="360"/>
      <c r="H101" s="445"/>
      <c r="I101" s="360"/>
      <c r="J101" s="363"/>
      <c r="K101" s="364"/>
    </row>
    <row r="102" spans="1:11" ht="14.4" customHeight="1">
      <c r="A102" s="360">
        <v>99</v>
      </c>
      <c r="B102" s="360"/>
      <c r="C102" s="360"/>
      <c r="D102" s="360"/>
      <c r="E102" s="362"/>
      <c r="F102" s="368"/>
      <c r="G102" s="360"/>
      <c r="H102" s="445"/>
      <c r="I102" s="360"/>
      <c r="J102" s="363"/>
      <c r="K102" s="364"/>
    </row>
    <row r="103" spans="1:11" ht="14.4" customHeight="1">
      <c r="A103" s="360">
        <v>100</v>
      </c>
      <c r="B103" s="360"/>
      <c r="C103" s="360"/>
      <c r="D103" s="360"/>
      <c r="E103" s="362"/>
      <c r="F103" s="368"/>
      <c r="G103" s="360"/>
      <c r="H103" s="445"/>
      <c r="I103" s="360"/>
      <c r="J103" s="363"/>
      <c r="K103" s="364"/>
    </row>
    <row r="104" spans="1:11" ht="14.4" customHeight="1">
      <c r="A104" s="360">
        <v>101</v>
      </c>
      <c r="B104" s="360"/>
      <c r="C104" s="360"/>
      <c r="D104" s="360"/>
      <c r="E104" s="362"/>
      <c r="F104" s="368"/>
      <c r="G104" s="360"/>
      <c r="H104" s="445"/>
      <c r="I104" s="360"/>
      <c r="J104" s="363"/>
      <c r="K104" s="364"/>
    </row>
    <row r="105" spans="1:11" ht="14.4" customHeight="1">
      <c r="A105" s="360">
        <v>102</v>
      </c>
      <c r="B105" s="360"/>
      <c r="C105" s="360"/>
      <c r="D105" s="360"/>
      <c r="E105" s="362"/>
      <c r="F105" s="368"/>
      <c r="G105" s="360"/>
      <c r="H105" s="445"/>
      <c r="I105" s="360"/>
      <c r="J105" s="363"/>
      <c r="K105" s="364"/>
    </row>
    <row r="106" spans="1:11" ht="14.4" customHeight="1">
      <c r="A106" s="360">
        <v>103</v>
      </c>
      <c r="B106" s="360"/>
      <c r="C106" s="360"/>
      <c r="D106" s="360"/>
      <c r="E106" s="362"/>
      <c r="F106" s="368"/>
      <c r="G106" s="360"/>
      <c r="H106" s="445"/>
      <c r="I106" s="360"/>
      <c r="J106" s="363"/>
      <c r="K106" s="364"/>
    </row>
    <row r="107" spans="1:11" ht="14.4" customHeight="1">
      <c r="A107" s="360">
        <v>104</v>
      </c>
      <c r="B107" s="360"/>
      <c r="C107" s="360"/>
      <c r="D107" s="360"/>
      <c r="E107" s="362"/>
      <c r="F107" s="368"/>
      <c r="G107" s="360"/>
      <c r="H107" s="445"/>
      <c r="I107" s="360"/>
      <c r="J107" s="363"/>
      <c r="K107" s="364"/>
    </row>
    <row r="108" spans="1:11" ht="14.4" customHeight="1">
      <c r="A108" s="360">
        <v>105</v>
      </c>
      <c r="B108" s="360"/>
      <c r="C108" s="360"/>
      <c r="D108" s="360"/>
      <c r="E108" s="362"/>
      <c r="F108" s="368"/>
      <c r="G108" s="360"/>
      <c r="H108" s="445"/>
      <c r="I108" s="360"/>
      <c r="J108" s="363"/>
      <c r="K108" s="364"/>
    </row>
    <row r="109" spans="1:11" ht="14.4" customHeight="1">
      <c r="A109" s="360">
        <v>106</v>
      </c>
      <c r="B109" s="360"/>
      <c r="C109" s="360"/>
      <c r="D109" s="360"/>
      <c r="E109" s="362"/>
      <c r="F109" s="368"/>
      <c r="G109" s="360"/>
      <c r="H109" s="445"/>
      <c r="I109" s="360"/>
      <c r="J109" s="363"/>
      <c r="K109" s="364"/>
    </row>
    <row r="110" spans="1:11" ht="14.4" customHeight="1">
      <c r="A110" s="360">
        <v>107</v>
      </c>
      <c r="B110" s="360"/>
      <c r="C110" s="360"/>
      <c r="D110" s="360"/>
      <c r="E110" s="362"/>
      <c r="F110" s="368"/>
      <c r="G110" s="360"/>
      <c r="H110" s="445"/>
      <c r="I110" s="360"/>
      <c r="J110" s="363"/>
      <c r="K110" s="364"/>
    </row>
    <row r="111" spans="1:11" ht="14.4" customHeight="1">
      <c r="A111" s="360">
        <v>108</v>
      </c>
      <c r="B111" s="360"/>
      <c r="C111" s="360"/>
      <c r="D111" s="360"/>
      <c r="E111" s="362"/>
      <c r="F111" s="368"/>
      <c r="G111" s="360"/>
      <c r="H111" s="445"/>
      <c r="I111" s="360"/>
      <c r="J111" s="363"/>
      <c r="K111" s="364"/>
    </row>
    <row r="112" spans="1:11" ht="14.4" customHeight="1">
      <c r="A112" s="360">
        <v>109</v>
      </c>
      <c r="B112" s="360"/>
      <c r="C112" s="360"/>
      <c r="D112" s="360"/>
      <c r="E112" s="362"/>
      <c r="F112" s="368"/>
      <c r="G112" s="360"/>
      <c r="H112" s="445"/>
      <c r="I112" s="360"/>
      <c r="J112" s="363"/>
      <c r="K112" s="364"/>
    </row>
    <row r="113" spans="1:11" ht="14.4" customHeight="1">
      <c r="A113" s="360">
        <v>110</v>
      </c>
      <c r="B113" s="360"/>
      <c r="C113" s="360"/>
      <c r="D113" s="360"/>
      <c r="E113" s="362"/>
      <c r="F113" s="368"/>
      <c r="G113" s="360"/>
      <c r="H113" s="445"/>
      <c r="I113" s="360"/>
      <c r="J113" s="363"/>
      <c r="K113" s="364"/>
    </row>
    <row r="114" spans="1:11" ht="14.4" customHeight="1">
      <c r="A114" s="360">
        <v>111</v>
      </c>
      <c r="B114" s="360"/>
      <c r="C114" s="360"/>
      <c r="D114" s="360"/>
      <c r="E114" s="362"/>
      <c r="F114" s="368"/>
      <c r="G114" s="360"/>
      <c r="H114" s="445"/>
      <c r="I114" s="360"/>
      <c r="J114" s="363"/>
      <c r="K114" s="364"/>
    </row>
    <row r="115" spans="1:11" ht="14.4" customHeight="1">
      <c r="A115" s="360">
        <v>112</v>
      </c>
      <c r="B115" s="360"/>
      <c r="C115" s="360"/>
      <c r="D115" s="360"/>
      <c r="E115" s="362"/>
      <c r="F115" s="368"/>
      <c r="G115" s="360"/>
      <c r="H115" s="445"/>
      <c r="I115" s="360"/>
      <c r="J115" s="363"/>
      <c r="K115" s="364"/>
    </row>
    <row r="116" spans="1:11" ht="14.4" customHeight="1">
      <c r="A116" s="360">
        <v>113</v>
      </c>
      <c r="B116" s="360"/>
      <c r="C116" s="360"/>
      <c r="D116" s="360"/>
      <c r="E116" s="362"/>
      <c r="F116" s="368"/>
      <c r="G116" s="360"/>
      <c r="H116" s="445"/>
      <c r="I116" s="360"/>
      <c r="J116" s="363"/>
      <c r="K116" s="364"/>
    </row>
    <row r="117" spans="1:11" ht="14.4" customHeight="1">
      <c r="A117" s="360">
        <v>114</v>
      </c>
      <c r="B117" s="360"/>
      <c r="C117" s="360"/>
      <c r="D117" s="360"/>
      <c r="E117" s="362"/>
      <c r="F117" s="368"/>
      <c r="G117" s="360"/>
      <c r="H117" s="445"/>
      <c r="I117" s="360"/>
      <c r="J117" s="363"/>
      <c r="K117" s="364"/>
    </row>
    <row r="118" spans="1:11" ht="14.4" customHeight="1">
      <c r="A118" s="360">
        <v>115</v>
      </c>
      <c r="B118" s="360"/>
      <c r="C118" s="360"/>
      <c r="D118" s="360"/>
      <c r="E118" s="362"/>
      <c r="F118" s="368"/>
      <c r="G118" s="360"/>
      <c r="H118" s="445"/>
      <c r="I118" s="360"/>
      <c r="J118" s="363"/>
      <c r="K118" s="364"/>
    </row>
    <row r="119" spans="1:11" ht="14.4" customHeight="1">
      <c r="A119" s="360">
        <v>116</v>
      </c>
      <c r="B119" s="360"/>
      <c r="C119" s="360"/>
      <c r="D119" s="360"/>
      <c r="E119" s="362"/>
      <c r="F119" s="368"/>
      <c r="G119" s="360"/>
      <c r="H119" s="445"/>
      <c r="I119" s="360"/>
      <c r="J119" s="363"/>
      <c r="K119" s="364"/>
    </row>
    <row r="120" spans="1:11" ht="14.4" customHeight="1">
      <c r="A120" s="360">
        <v>117</v>
      </c>
      <c r="B120" s="360"/>
      <c r="C120" s="360"/>
      <c r="D120" s="360"/>
      <c r="E120" s="362"/>
      <c r="F120" s="368"/>
      <c r="G120" s="360"/>
      <c r="H120" s="445"/>
      <c r="I120" s="360"/>
      <c r="J120" s="363"/>
      <c r="K120" s="364"/>
    </row>
    <row r="121" spans="1:11" ht="14.4" customHeight="1">
      <c r="A121" s="360">
        <v>118</v>
      </c>
      <c r="B121" s="360"/>
      <c r="C121" s="360"/>
      <c r="D121" s="360"/>
      <c r="E121" s="362"/>
      <c r="F121" s="368"/>
      <c r="G121" s="360"/>
      <c r="H121" s="445"/>
      <c r="I121" s="360"/>
      <c r="J121" s="363"/>
      <c r="K121" s="364"/>
    </row>
    <row r="122" spans="1:11" ht="14.4" customHeight="1">
      <c r="A122" s="360">
        <v>119</v>
      </c>
      <c r="B122" s="360"/>
      <c r="C122" s="360"/>
      <c r="D122" s="360"/>
      <c r="E122" s="362"/>
      <c r="F122" s="368"/>
      <c r="G122" s="360"/>
      <c r="H122" s="445"/>
      <c r="I122" s="360"/>
      <c r="J122" s="363"/>
      <c r="K122" s="364"/>
    </row>
    <row r="123" spans="1:11" ht="14.4" customHeight="1">
      <c r="A123" s="360">
        <v>120</v>
      </c>
      <c r="B123" s="360"/>
      <c r="C123" s="360"/>
      <c r="D123" s="360"/>
      <c r="E123" s="362"/>
      <c r="F123" s="368"/>
      <c r="G123" s="360"/>
      <c r="H123" s="445"/>
      <c r="I123" s="360"/>
      <c r="J123" s="363"/>
      <c r="K123" s="364"/>
    </row>
    <row r="124" spans="1:11" ht="14.4" customHeight="1">
      <c r="A124" s="360">
        <v>121</v>
      </c>
      <c r="B124" s="360"/>
      <c r="C124" s="360"/>
      <c r="D124" s="360"/>
      <c r="E124" s="362"/>
      <c r="F124" s="368"/>
      <c r="G124" s="360"/>
      <c r="H124" s="445"/>
      <c r="I124" s="360"/>
      <c r="J124" s="363"/>
      <c r="K124" s="364"/>
    </row>
    <row r="125" spans="1:11" ht="14.4" customHeight="1">
      <c r="A125" s="360">
        <v>122</v>
      </c>
      <c r="B125" s="360"/>
      <c r="C125" s="360"/>
      <c r="D125" s="360"/>
      <c r="E125" s="362"/>
      <c r="F125" s="368"/>
      <c r="G125" s="360"/>
      <c r="H125" s="445"/>
      <c r="I125" s="360"/>
      <c r="J125" s="363"/>
      <c r="K125" s="364"/>
    </row>
    <row r="126" spans="1:11" ht="14.4" customHeight="1">
      <c r="A126" s="360">
        <v>123</v>
      </c>
      <c r="B126" s="360"/>
      <c r="C126" s="360"/>
      <c r="D126" s="360"/>
      <c r="E126" s="362"/>
      <c r="F126" s="368"/>
      <c r="G126" s="360"/>
      <c r="H126" s="445"/>
      <c r="I126" s="360"/>
      <c r="J126" s="363"/>
      <c r="K126" s="364"/>
    </row>
    <row r="127" spans="1:11" ht="14.4" customHeight="1">
      <c r="A127" s="360">
        <v>124</v>
      </c>
      <c r="B127" s="360"/>
      <c r="C127" s="360"/>
      <c r="D127" s="360"/>
      <c r="E127" s="362"/>
      <c r="F127" s="368"/>
      <c r="G127" s="360"/>
      <c r="H127" s="445"/>
      <c r="I127" s="360"/>
      <c r="J127" s="363"/>
      <c r="K127" s="364"/>
    </row>
    <row r="128" spans="1:11" ht="14.4" customHeight="1">
      <c r="A128" s="360">
        <v>125</v>
      </c>
      <c r="B128" s="360"/>
      <c r="C128" s="360"/>
      <c r="D128" s="360"/>
      <c r="E128" s="362"/>
      <c r="F128" s="368"/>
      <c r="G128" s="360"/>
      <c r="H128" s="445"/>
      <c r="I128" s="360"/>
      <c r="J128" s="363"/>
      <c r="K128" s="364"/>
    </row>
    <row r="129" spans="1:11" ht="14.4" customHeight="1">
      <c r="A129" s="360">
        <v>126</v>
      </c>
      <c r="B129" s="360"/>
      <c r="C129" s="360"/>
      <c r="D129" s="360"/>
      <c r="E129" s="362"/>
      <c r="F129" s="368"/>
      <c r="G129" s="360"/>
      <c r="H129" s="445"/>
      <c r="I129" s="360"/>
      <c r="J129" s="363"/>
      <c r="K129" s="364"/>
    </row>
    <row r="130" spans="1:11" ht="14.4" customHeight="1">
      <c r="A130" s="360">
        <v>127</v>
      </c>
      <c r="B130" s="360"/>
      <c r="C130" s="360"/>
      <c r="D130" s="360"/>
      <c r="E130" s="362"/>
      <c r="F130" s="368"/>
      <c r="G130" s="360"/>
      <c r="H130" s="445"/>
      <c r="I130" s="360"/>
      <c r="J130" s="363"/>
      <c r="K130" s="364"/>
    </row>
    <row r="131" spans="1:11" ht="14.4" customHeight="1">
      <c r="A131" s="360">
        <v>128</v>
      </c>
      <c r="B131" s="360"/>
      <c r="C131" s="360"/>
      <c r="D131" s="360"/>
      <c r="E131" s="362"/>
      <c r="F131" s="368"/>
      <c r="G131" s="360"/>
      <c r="H131" s="445"/>
      <c r="I131" s="360"/>
      <c r="J131" s="363"/>
      <c r="K131" s="364"/>
    </row>
    <row r="132" spans="1:11" ht="14.4" customHeight="1">
      <c r="A132" s="360">
        <v>129</v>
      </c>
      <c r="B132" s="360"/>
      <c r="C132" s="360"/>
      <c r="D132" s="360"/>
      <c r="E132" s="362"/>
      <c r="F132" s="368"/>
      <c r="G132" s="360"/>
      <c r="H132" s="445"/>
      <c r="I132" s="360"/>
      <c r="J132" s="363"/>
      <c r="K132" s="364"/>
    </row>
    <row r="133" spans="1:11" ht="14.4" customHeight="1">
      <c r="A133" s="360">
        <v>130</v>
      </c>
      <c r="B133" s="360"/>
      <c r="C133" s="360"/>
      <c r="D133" s="360"/>
      <c r="E133" s="362"/>
      <c r="F133" s="368"/>
      <c r="G133" s="360"/>
      <c r="H133" s="445"/>
      <c r="I133" s="360"/>
      <c r="J133" s="363"/>
      <c r="K133" s="364"/>
    </row>
    <row r="134" spans="1:11" ht="14.4" customHeight="1">
      <c r="A134" s="360">
        <v>131</v>
      </c>
      <c r="B134" s="360"/>
      <c r="C134" s="360"/>
      <c r="D134" s="360"/>
      <c r="E134" s="362"/>
      <c r="F134" s="368"/>
      <c r="G134" s="360"/>
      <c r="H134" s="445"/>
      <c r="I134" s="360"/>
      <c r="J134" s="363"/>
      <c r="K134" s="364"/>
    </row>
    <row r="135" spans="1:11" ht="14.4" customHeight="1">
      <c r="A135" s="360">
        <v>132</v>
      </c>
      <c r="B135" s="360"/>
      <c r="C135" s="360"/>
      <c r="D135" s="360"/>
      <c r="E135" s="362"/>
      <c r="F135" s="368"/>
      <c r="G135" s="360"/>
      <c r="H135" s="445"/>
      <c r="I135" s="360"/>
      <c r="J135" s="363"/>
      <c r="K135" s="364"/>
    </row>
    <row r="136" spans="1:11" ht="14.4" customHeight="1">
      <c r="A136" s="360">
        <v>133</v>
      </c>
      <c r="B136" s="360"/>
      <c r="C136" s="360"/>
      <c r="D136" s="360"/>
      <c r="E136" s="362"/>
      <c r="F136" s="368"/>
      <c r="G136" s="360"/>
      <c r="H136" s="445"/>
      <c r="I136" s="360"/>
      <c r="J136" s="363"/>
      <c r="K136" s="364"/>
    </row>
    <row r="137" spans="1:11" ht="14.4" customHeight="1">
      <c r="A137" s="360">
        <v>134</v>
      </c>
      <c r="B137" s="360"/>
      <c r="C137" s="360"/>
      <c r="D137" s="360"/>
      <c r="E137" s="362"/>
      <c r="F137" s="368"/>
      <c r="G137" s="360"/>
      <c r="H137" s="445"/>
      <c r="I137" s="360"/>
      <c r="J137" s="363"/>
      <c r="K137" s="364"/>
    </row>
    <row r="138" spans="1:11" ht="14.4" customHeight="1">
      <c r="A138" s="360">
        <v>135</v>
      </c>
      <c r="B138" s="360"/>
      <c r="C138" s="360"/>
      <c r="D138" s="360"/>
      <c r="E138" s="362"/>
      <c r="F138" s="368"/>
      <c r="G138" s="360"/>
      <c r="H138" s="445"/>
      <c r="I138" s="360"/>
      <c r="J138" s="363"/>
      <c r="K138" s="364"/>
    </row>
    <row r="139" spans="1:11" ht="14.4" customHeight="1">
      <c r="A139" s="360">
        <v>136</v>
      </c>
      <c r="B139" s="360"/>
      <c r="C139" s="360"/>
      <c r="D139" s="360"/>
      <c r="E139" s="362"/>
      <c r="F139" s="368"/>
      <c r="G139" s="360"/>
      <c r="H139" s="445"/>
      <c r="I139" s="360"/>
      <c r="J139" s="363"/>
      <c r="K139" s="364"/>
    </row>
    <row r="140" spans="1:11" ht="14.4" customHeight="1">
      <c r="A140" s="360">
        <v>137</v>
      </c>
      <c r="B140" s="360"/>
      <c r="C140" s="360"/>
      <c r="D140" s="360"/>
      <c r="E140" s="362"/>
      <c r="F140" s="368"/>
      <c r="G140" s="360"/>
      <c r="H140" s="445"/>
      <c r="I140" s="360"/>
      <c r="J140" s="363"/>
      <c r="K140" s="364"/>
    </row>
    <row r="141" spans="1:11" ht="14.4" customHeight="1">
      <c r="A141" s="360">
        <v>138</v>
      </c>
      <c r="B141" s="360"/>
      <c r="C141" s="360"/>
      <c r="D141" s="360"/>
      <c r="E141" s="362"/>
      <c r="F141" s="368"/>
      <c r="G141" s="360"/>
      <c r="H141" s="445"/>
      <c r="I141" s="360"/>
      <c r="J141" s="363"/>
      <c r="K141" s="364"/>
    </row>
    <row r="142" spans="1:11" ht="14.4" customHeight="1">
      <c r="A142" s="360">
        <v>139</v>
      </c>
      <c r="B142" s="360"/>
      <c r="C142" s="360"/>
      <c r="D142" s="360"/>
      <c r="E142" s="362"/>
      <c r="F142" s="368"/>
      <c r="G142" s="360"/>
      <c r="H142" s="445"/>
      <c r="I142" s="360"/>
      <c r="J142" s="363"/>
      <c r="K142" s="364"/>
    </row>
    <row r="143" spans="1:11" ht="14.4" customHeight="1">
      <c r="A143" s="360">
        <v>140</v>
      </c>
      <c r="B143" s="360"/>
      <c r="C143" s="360"/>
      <c r="D143" s="360"/>
      <c r="E143" s="362"/>
      <c r="F143" s="368"/>
      <c r="G143" s="360"/>
      <c r="H143" s="445"/>
      <c r="I143" s="360"/>
      <c r="J143" s="363"/>
      <c r="K143" s="364"/>
    </row>
    <row r="144" spans="1:11" ht="14.4" customHeight="1">
      <c r="A144" s="360">
        <v>141</v>
      </c>
      <c r="B144" s="360"/>
      <c r="C144" s="360"/>
      <c r="D144" s="360"/>
      <c r="E144" s="362"/>
      <c r="F144" s="368"/>
      <c r="G144" s="360"/>
      <c r="H144" s="445"/>
      <c r="I144" s="360"/>
      <c r="J144" s="363"/>
      <c r="K144" s="364"/>
    </row>
    <row r="145" spans="1:11" ht="14.4" customHeight="1">
      <c r="A145" s="360">
        <v>142</v>
      </c>
      <c r="B145" s="360"/>
      <c r="C145" s="360"/>
      <c r="D145" s="360"/>
      <c r="E145" s="362"/>
      <c r="F145" s="368"/>
      <c r="G145" s="360"/>
      <c r="H145" s="445"/>
      <c r="I145" s="360"/>
      <c r="J145" s="363"/>
      <c r="K145" s="364"/>
    </row>
    <row r="146" spans="1:11" ht="14.4" customHeight="1">
      <c r="A146" s="360">
        <v>143</v>
      </c>
      <c r="B146" s="360"/>
      <c r="C146" s="360"/>
      <c r="D146" s="360"/>
      <c r="E146" s="362"/>
      <c r="F146" s="368"/>
      <c r="G146" s="360"/>
      <c r="H146" s="445"/>
      <c r="I146" s="360"/>
      <c r="J146" s="363"/>
      <c r="K146" s="364"/>
    </row>
    <row r="147" spans="1:11" ht="14.4" customHeight="1">
      <c r="A147" s="360">
        <v>144</v>
      </c>
      <c r="B147" s="360"/>
      <c r="C147" s="360"/>
      <c r="D147" s="360"/>
      <c r="E147" s="362"/>
      <c r="F147" s="368"/>
      <c r="G147" s="360"/>
      <c r="H147" s="445"/>
      <c r="I147" s="360"/>
      <c r="J147" s="363"/>
      <c r="K147" s="364"/>
    </row>
    <row r="148" spans="1:11" ht="14.4" customHeight="1">
      <c r="A148" s="360">
        <v>145</v>
      </c>
      <c r="B148" s="360"/>
      <c r="C148" s="360"/>
      <c r="D148" s="360"/>
      <c r="E148" s="362"/>
      <c r="F148" s="368"/>
      <c r="G148" s="360"/>
      <c r="H148" s="445"/>
      <c r="I148" s="360"/>
      <c r="J148" s="363"/>
      <c r="K148" s="364"/>
    </row>
    <row r="149" spans="1:11" ht="14.4" customHeight="1">
      <c r="A149" s="360">
        <v>146</v>
      </c>
      <c r="B149" s="360"/>
      <c r="C149" s="360"/>
      <c r="D149" s="360"/>
      <c r="E149" s="362"/>
      <c r="F149" s="368"/>
      <c r="G149" s="360"/>
      <c r="H149" s="445"/>
      <c r="I149" s="360"/>
      <c r="J149" s="363"/>
      <c r="K149" s="364"/>
    </row>
    <row r="150" spans="1:11" ht="14.4" customHeight="1">
      <c r="A150" s="360">
        <v>147</v>
      </c>
      <c r="B150" s="360"/>
      <c r="C150" s="360"/>
      <c r="D150" s="360"/>
      <c r="E150" s="362"/>
      <c r="F150" s="368"/>
      <c r="G150" s="360"/>
      <c r="H150" s="445"/>
      <c r="I150" s="360"/>
      <c r="J150" s="363"/>
      <c r="K150" s="364"/>
    </row>
    <row r="151" spans="1:11" ht="14.4" customHeight="1">
      <c r="A151" s="360">
        <v>148</v>
      </c>
      <c r="B151" s="360"/>
      <c r="C151" s="360"/>
      <c r="D151" s="360"/>
      <c r="E151" s="362"/>
      <c r="F151" s="368"/>
      <c r="G151" s="360"/>
      <c r="H151" s="445"/>
      <c r="I151" s="360"/>
      <c r="J151" s="363"/>
      <c r="K151" s="364"/>
    </row>
    <row r="152" spans="1:11" ht="14.4" customHeight="1">
      <c r="A152" s="360">
        <v>149</v>
      </c>
      <c r="B152" s="360"/>
      <c r="C152" s="360"/>
      <c r="D152" s="360"/>
      <c r="E152" s="362"/>
      <c r="F152" s="368"/>
      <c r="G152" s="360"/>
      <c r="H152" s="445"/>
      <c r="I152" s="360"/>
      <c r="J152" s="363"/>
      <c r="K152" s="364"/>
    </row>
    <row r="153" spans="1:11" ht="14.4" customHeight="1">
      <c r="A153" s="360">
        <v>150</v>
      </c>
      <c r="B153" s="360"/>
      <c r="C153" s="360"/>
      <c r="D153" s="360"/>
      <c r="E153" s="362"/>
      <c r="F153" s="368"/>
      <c r="G153" s="360"/>
      <c r="H153" s="445"/>
      <c r="I153" s="360"/>
      <c r="J153" s="363"/>
      <c r="K153" s="364"/>
    </row>
    <row r="154" spans="1:11" ht="14.4" customHeight="1">
      <c r="A154" s="360">
        <v>151</v>
      </c>
      <c r="B154" s="360"/>
      <c r="C154" s="360"/>
      <c r="D154" s="360"/>
      <c r="E154" s="362"/>
      <c r="F154" s="368"/>
      <c r="G154" s="360"/>
      <c r="H154" s="445"/>
      <c r="I154" s="360"/>
      <c r="J154" s="363"/>
      <c r="K154" s="364"/>
    </row>
    <row r="155" spans="1:11" ht="14.4" customHeight="1">
      <c r="A155" s="360">
        <v>152</v>
      </c>
      <c r="B155" s="360"/>
      <c r="C155" s="360"/>
      <c r="D155" s="360"/>
      <c r="E155" s="362"/>
      <c r="F155" s="368"/>
      <c r="G155" s="360"/>
      <c r="H155" s="445"/>
      <c r="I155" s="360"/>
      <c r="J155" s="363"/>
      <c r="K155" s="364"/>
    </row>
    <row r="156" spans="1:11" ht="14.4" customHeight="1">
      <c r="A156" s="360">
        <v>153</v>
      </c>
      <c r="B156" s="360"/>
      <c r="C156" s="360"/>
      <c r="D156" s="360"/>
      <c r="E156" s="362"/>
      <c r="F156" s="368"/>
      <c r="G156" s="360"/>
      <c r="H156" s="445"/>
      <c r="I156" s="360"/>
      <c r="J156" s="363"/>
      <c r="K156" s="369"/>
    </row>
    <row r="157" spans="1:11" ht="14.4" customHeight="1">
      <c r="K157" s="370"/>
    </row>
    <row r="158" spans="1:11">
      <c r="K158" s="370"/>
    </row>
    <row r="159" spans="1:11">
      <c r="K159" s="370"/>
    </row>
    <row r="160" spans="1:11">
      <c r="K160" s="370"/>
    </row>
    <row r="161" spans="11:11">
      <c r="K161" s="370"/>
    </row>
    <row r="162" spans="11:11">
      <c r="K162" s="370"/>
    </row>
    <row r="163" spans="11:11">
      <c r="K163" s="370"/>
    </row>
  </sheetData>
  <mergeCells count="3">
    <mergeCell ref="A1:K1"/>
    <mergeCell ref="A2:B2"/>
    <mergeCell ref="F2:G2"/>
  </mergeCells>
  <phoneticPr fontId="95" type="noConversion"/>
  <conditionalFormatting sqref="K4:K156">
    <cfRule type="containsText" dxfId="38" priority="2" operator="containsText" text="ไม่เร่งด่วน">
      <formula>NOT(ISERROR(SEARCH("ไม่เร่งด่วน",K4)))</formula>
    </cfRule>
    <cfRule type="containsText" dxfId="37" priority="3" operator="containsText" text="เร่งด่วน">
      <formula>NOT(ISERROR(SEARCH("เร่งด่วน",K4)))</formula>
    </cfRule>
  </conditionalFormatting>
  <conditionalFormatting sqref="J57:K156 J56 J4:K55">
    <cfRule type="containsText" dxfId="36" priority="4" operator="containsText" text="สำเร็จ">
      <formula>NOT(ISERROR(SEARCH("สำเร็จ",J4)))</formula>
    </cfRule>
    <cfRule type="containsText" dxfId="35" priority="5" operator="containsText" text="กำลังดำเนินการ">
      <formula>NOT(ISERROR(SEARCH("กำลังดำเนินการ",J4)))</formula>
    </cfRule>
    <cfRule type="containsText" dxfId="34" priority="6" operator="containsText" text="รอดำเนินการ">
      <formula>NOT(ISERROR(SEARCH("รอดำเนินการ",J4)))</formula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ntainsText" dxfId="33" priority="1" operator="containsText" text="โอนย้าย">
      <formula>NOT(ISERROR(SEARCH("โอนย้าย",J1)))</formula>
    </cfRule>
  </conditionalFormatting>
  <dataValidations count="8">
    <dataValidation type="date" allowBlank="1" showInputMessage="1" showErrorMessage="1" sqref="B4:B19" xr:uid="{00000000-0002-0000-0300-000000000000}">
      <formula1>244350</formula1>
      <formula2>244714</formula2>
    </dataValidation>
    <dataValidation type="list" allowBlank="1" showInputMessage="1" showErrorMessage="1" sqref="C4:C209 I4:I156" xr:uid="{00000000-0002-0000-0300-000001000000}">
      <formula1>"มกราคม, กุมภาพันธ์, มีนาคม, เมษายน, พฤษภาคม, มิถุนายน, กรกฎาคม, สิงหาคม, กันยายน, ตุลาคม, พฤศจิกายน, ธันวาคม"</formula1>
    </dataValidation>
    <dataValidation type="list" allowBlank="1" showInputMessage="1" showErrorMessage="1" sqref="E4:E156" xr:uid="{00000000-0002-0000-0300-000002000000}">
      <formula1>"อาคาร/รีเซป,ตรวจสอบ,บัญชี,ธุรการ/การตลาด,การเงิน,จัดซื้อ,ไอทีซัพพอร์ต,โปรแกรมเมอร์,หนี้สิน,เลขา,บุคคล,compliance,แม่บ้าน,"</formula1>
    </dataValidation>
    <dataValidation type="list" allowBlank="1" showInputMessage="1" showErrorMessage="1" sqref="F4:F156" xr:uid="{00000000-0002-0000-0300-000003000000}">
      <formula1>"G,2,3,4,5,6,7,8,9,10,11,12,14,15,Roof,หลังบริษัท"</formula1>
    </dataValidation>
    <dataValidation type="list" allowBlank="1" showInputMessage="1" showErrorMessage="1" sqref="H4:H156" xr:uid="{00000000-0002-0000-0300-000004000000}">
      <formula1>"ไฟฟ้า,ประปา,ประตู,สุขภัณฑ์,ขอบคิ้ว,เก้าอี้,ม่าน,ระบบแอร์,อุปกรณ์,ฝ้า"</formula1>
    </dataValidation>
    <dataValidation type="list" allowBlank="1" showInputMessage="1" showErrorMessage="1" sqref="K4:K156" xr:uid="{00000000-0002-0000-0300-000006000000}">
      <formula1>"เร่งด่วน, ไม่เร่งด่วน"</formula1>
    </dataValidation>
    <dataValidation type="list" allowBlank="1" showInputMessage="1" showErrorMessage="1" sqref="M157:M424" xr:uid="{00000000-0002-0000-0300-000007000000}">
      <formula1>"สำเร็จ,รอวันนัดซ่อม,ยังไม่มีกำหนด"</formula1>
    </dataValidation>
    <dataValidation type="list" allowBlank="1" showInputMessage="1" showErrorMessage="1" sqref="J1:J1048576" xr:uid="{E1EAF10C-B327-40C0-B149-A5A78A884E67}">
      <formula1>"สำเร็จ,รอดำเนินการ,กำลังดำเนินการ, โอนย้าย"</formula1>
    </dataValidation>
  </dataValidations>
  <pageMargins left="0.7" right="0.7" top="0.75" bottom="0.75" header="0.3" footer="0.3"/>
  <pageSetup paperSize="9" scale="19" orientation="landscape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0.39994506668294322"/>
  </sheetPr>
  <dimension ref="A1:U251"/>
  <sheetViews>
    <sheetView view="pageBreakPreview" topLeftCell="H14" zoomScale="85" zoomScaleNormal="70" zoomScaleSheetLayoutView="85" zoomScalePageLayoutView="115" workbookViewId="0">
      <selection activeCell="K28" sqref="K28"/>
    </sheetView>
  </sheetViews>
  <sheetFormatPr defaultColWidth="8.77734375" defaultRowHeight="14.4"/>
  <cols>
    <col min="1" max="1" width="23.33203125" style="104" customWidth="1"/>
    <col min="2" max="2" width="46.21875" style="105" customWidth="1"/>
    <col min="3" max="3" width="14.6640625" style="105" customWidth="1"/>
    <col min="4" max="4" width="16.109375" style="105" customWidth="1"/>
    <col min="5" max="5" width="19.109375" style="105" customWidth="1"/>
    <col min="6" max="6" width="18.44140625" style="105" customWidth="1"/>
    <col min="7" max="7" width="20.77734375" style="105" customWidth="1"/>
    <col min="8" max="8" width="28.44140625" style="105" customWidth="1"/>
    <col min="9" max="9" width="20.21875" style="104" customWidth="1"/>
    <col min="10" max="10" width="17.77734375" style="105" customWidth="1"/>
    <col min="11" max="11" width="16.5546875" style="105" customWidth="1"/>
    <col min="12" max="12" width="14.33203125" style="107" customWidth="1"/>
    <col min="13" max="13" width="19.88671875" style="105" customWidth="1"/>
    <col min="14" max="14" width="20.44140625" style="104" customWidth="1"/>
    <col min="15" max="16" width="21" style="104" customWidth="1"/>
    <col min="17" max="17" width="18.5546875" style="105" customWidth="1"/>
    <col min="18" max="18" width="15" style="104" customWidth="1"/>
    <col min="19" max="19" width="8.77734375" style="104"/>
    <col min="20" max="16384" width="8.77734375" style="105"/>
  </cols>
  <sheetData>
    <row r="1" spans="1:19" ht="14.4" customHeight="1"/>
    <row r="2" spans="1:19">
      <c r="K2" s="542"/>
      <c r="L2" s="542"/>
      <c r="M2" s="542"/>
      <c r="N2" s="542"/>
      <c r="O2" s="105"/>
      <c r="Q2" s="104"/>
      <c r="R2" s="105"/>
      <c r="S2" s="105"/>
    </row>
    <row r="3" spans="1:19">
      <c r="K3" s="542"/>
      <c r="L3" s="542"/>
      <c r="M3" s="542"/>
      <c r="N3" s="542"/>
      <c r="O3" s="105"/>
      <c r="Q3" s="104"/>
      <c r="R3" s="105"/>
      <c r="S3" s="105"/>
    </row>
    <row r="4" spans="1:19">
      <c r="K4" s="542"/>
      <c r="L4" s="542"/>
      <c r="M4" s="542"/>
      <c r="N4" s="542"/>
      <c r="O4" s="105"/>
      <c r="Q4" s="104"/>
      <c r="R4" s="105"/>
      <c r="S4" s="105"/>
    </row>
    <row r="5" spans="1:19" s="107" customFormat="1" ht="77.400000000000006" customHeight="1">
      <c r="I5" s="272"/>
      <c r="J5" s="273"/>
      <c r="K5" s="274"/>
      <c r="L5" s="273"/>
      <c r="M5" s="274"/>
      <c r="N5" s="273"/>
      <c r="O5" s="274"/>
      <c r="P5" s="273"/>
    </row>
    <row r="6" spans="1:19" s="107" customFormat="1" ht="77.400000000000006" customHeight="1">
      <c r="I6" s="272"/>
      <c r="J6" s="273"/>
      <c r="K6" s="274"/>
      <c r="L6" s="273"/>
      <c r="M6" s="274"/>
      <c r="N6" s="273"/>
      <c r="O6" s="274"/>
      <c r="P6" s="273"/>
    </row>
    <row r="7" spans="1:19" s="107" customFormat="1" ht="77.400000000000006" customHeight="1">
      <c r="I7" s="272"/>
      <c r="J7" s="273"/>
      <c r="K7" s="274"/>
      <c r="L7" s="273"/>
      <c r="M7" s="274"/>
      <c r="N7" s="273"/>
      <c r="O7" s="274"/>
      <c r="P7" s="273"/>
    </row>
    <row r="8" spans="1:19" customFormat="1" ht="49.95" customHeight="1">
      <c r="A8" s="537" t="s">
        <v>90</v>
      </c>
      <c r="B8" s="538"/>
      <c r="C8" s="538"/>
      <c r="D8" s="538"/>
      <c r="E8" s="538"/>
      <c r="F8" s="538"/>
      <c r="G8" s="538"/>
      <c r="H8" s="538"/>
      <c r="I8" s="538"/>
      <c r="J8" s="538"/>
      <c r="K8" s="538"/>
      <c r="L8" s="275"/>
      <c r="M8" s="276"/>
    </row>
    <row r="9" spans="1:19" customFormat="1" ht="49.95" customHeight="1">
      <c r="A9" s="538" t="s">
        <v>91</v>
      </c>
      <c r="B9" s="538"/>
      <c r="C9" s="277">
        <f>COUNTIFS(งานซ่อม[สำเร็จ],"*")</f>
        <v>167</v>
      </c>
      <c r="D9" s="278" t="s">
        <v>38</v>
      </c>
      <c r="E9" s="279">
        <f>COUNTIFS(งานซ่อม[สำเร็จ],"เสร็จสิ้น")</f>
        <v>128</v>
      </c>
      <c r="F9" s="538" t="s">
        <v>84</v>
      </c>
      <c r="G9" s="538"/>
      <c r="H9" s="280">
        <f>COUNTIFS(งานซ่อม[สำเร็จ],"กำลังดำเนินการ")</f>
        <v>0</v>
      </c>
      <c r="I9" s="281" t="s">
        <v>3</v>
      </c>
      <c r="J9" s="282">
        <f>COUNTIFS(งานซ่อม[สำเร็จ],"รอดำเนินการ")</f>
        <v>0</v>
      </c>
      <c r="K9" s="283"/>
      <c r="L9" s="284"/>
      <c r="M9" s="284"/>
    </row>
    <row r="11" spans="1:19" ht="1.2" customHeight="1"/>
    <row r="12" spans="1:19" hidden="1">
      <c r="P12" s="105"/>
    </row>
    <row r="13" spans="1:19" ht="45" customHeight="1">
      <c r="A13" s="539" t="s">
        <v>135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1"/>
      <c r="M13" s="540"/>
      <c r="N13" s="540"/>
      <c r="O13" s="540"/>
      <c r="P13" s="540"/>
      <c r="Q13" s="540"/>
      <c r="R13" s="540"/>
      <c r="S13" s="285"/>
    </row>
    <row r="14" spans="1:19" s="104" customFormat="1">
      <c r="A14" s="286" t="s">
        <v>136</v>
      </c>
      <c r="B14" s="16" t="s">
        <v>137</v>
      </c>
      <c r="C14" s="16" t="s">
        <v>97</v>
      </c>
      <c r="D14" s="15" t="s">
        <v>138</v>
      </c>
      <c r="E14" s="16" t="s">
        <v>89</v>
      </c>
      <c r="F14" s="16" t="s">
        <v>139</v>
      </c>
      <c r="G14" s="16" t="s">
        <v>140</v>
      </c>
      <c r="H14" s="16" t="s">
        <v>141</v>
      </c>
      <c r="I14" s="16" t="s">
        <v>142</v>
      </c>
      <c r="J14" s="16" t="s">
        <v>143</v>
      </c>
      <c r="K14" s="15" t="s">
        <v>101</v>
      </c>
      <c r="L14" s="15" t="s">
        <v>38</v>
      </c>
      <c r="M14" s="16" t="s">
        <v>144</v>
      </c>
      <c r="N14" s="287" t="s">
        <v>145</v>
      </c>
      <c r="O14" s="287" t="s">
        <v>146</v>
      </c>
      <c r="P14" s="287" t="s">
        <v>147</v>
      </c>
      <c r="Q14" s="287" t="s">
        <v>148</v>
      </c>
      <c r="R14" s="287" t="s">
        <v>0</v>
      </c>
      <c r="S14" s="287" t="s">
        <v>42</v>
      </c>
    </row>
    <row r="15" spans="1:19">
      <c r="A15" s="288" t="str">
        <f>"MTC-MT-2026"&amp;TEXT(ROW(A1),"0000")</f>
        <v>MTC-MT-20260001</v>
      </c>
      <c r="B15" s="162" t="s">
        <v>149</v>
      </c>
      <c r="C15" s="15" t="s">
        <v>150</v>
      </c>
      <c r="D15" s="16"/>
      <c r="E15" s="162" t="s">
        <v>60</v>
      </c>
      <c r="F15" s="162" t="s">
        <v>151</v>
      </c>
      <c r="G15" s="289" t="s">
        <v>152</v>
      </c>
      <c r="H15" s="289" t="s">
        <v>153</v>
      </c>
      <c r="I15" s="16" t="s">
        <v>154</v>
      </c>
      <c r="J15" s="16" t="s">
        <v>155</v>
      </c>
      <c r="K15" s="16" t="s">
        <v>156</v>
      </c>
      <c r="L15" s="16" t="s">
        <v>85</v>
      </c>
      <c r="M15" s="290"/>
      <c r="N15" s="287"/>
      <c r="O15" s="291"/>
      <c r="P15" s="292"/>
      <c r="Q15" s="292"/>
      <c r="R15" s="287" t="s">
        <v>12</v>
      </c>
    </row>
    <row r="16" spans="1:19">
      <c r="A16" s="288" t="str">
        <f>"MTC-MT-2026"&amp;TEXT(ROW(A2),"0000")</f>
        <v>MTC-MT-20260002</v>
      </c>
      <c r="B16" s="162" t="s">
        <v>157</v>
      </c>
      <c r="C16" s="15" t="s">
        <v>158</v>
      </c>
      <c r="D16" s="16"/>
      <c r="E16" s="162" t="s">
        <v>64</v>
      </c>
      <c r="F16" s="162" t="s">
        <v>159</v>
      </c>
      <c r="G16" s="289" t="s">
        <v>152</v>
      </c>
      <c r="H16" s="289" t="s">
        <v>160</v>
      </c>
      <c r="I16" s="16" t="s">
        <v>161</v>
      </c>
      <c r="J16" s="16" t="s">
        <v>155</v>
      </c>
      <c r="K16" s="16" t="s">
        <v>162</v>
      </c>
      <c r="L16" s="16" t="s">
        <v>85</v>
      </c>
      <c r="M16" s="290"/>
      <c r="N16" s="287"/>
      <c r="O16" s="291"/>
      <c r="P16" s="292"/>
      <c r="Q16" s="292"/>
      <c r="R16" s="287" t="s">
        <v>12</v>
      </c>
    </row>
    <row r="17" spans="1:19" hidden="1">
      <c r="A17" s="288" t="str">
        <f>"MTC-MT-2026"&amp;TEXT(ROW(A3),"0000")</f>
        <v>MTC-MT-20260003</v>
      </c>
      <c r="B17" s="162" t="s">
        <v>163</v>
      </c>
      <c r="C17" s="15" t="s">
        <v>158</v>
      </c>
      <c r="D17" s="16"/>
      <c r="E17" s="162" t="s">
        <v>64</v>
      </c>
      <c r="F17" s="162" t="s">
        <v>159</v>
      </c>
      <c r="G17" s="289" t="s">
        <v>152</v>
      </c>
      <c r="H17" s="289" t="s">
        <v>160</v>
      </c>
      <c r="I17" s="16" t="s">
        <v>161</v>
      </c>
      <c r="J17" s="16" t="s">
        <v>155</v>
      </c>
      <c r="K17" s="16" t="s">
        <v>162</v>
      </c>
      <c r="L17" s="16" t="s">
        <v>172</v>
      </c>
      <c r="M17" s="290"/>
      <c r="N17" s="287"/>
      <c r="O17" s="291"/>
      <c r="P17" s="292"/>
      <c r="Q17" s="292"/>
      <c r="R17" s="287" t="s">
        <v>12</v>
      </c>
    </row>
    <row r="18" spans="1:19" ht="17.399999999999999" customHeight="1">
      <c r="A18" s="288" t="str">
        <f>"MTC-MT-2026"&amp;TEXT(ROW(A4),"0000")</f>
        <v>MTC-MT-20260004</v>
      </c>
      <c r="B18" s="162" t="s">
        <v>164</v>
      </c>
      <c r="C18" s="15" t="s">
        <v>165</v>
      </c>
      <c r="D18" s="16"/>
      <c r="E18" s="162" t="s">
        <v>166</v>
      </c>
      <c r="F18" s="162" t="s">
        <v>167</v>
      </c>
      <c r="G18" s="289"/>
      <c r="H18" s="289" t="s">
        <v>160</v>
      </c>
      <c r="I18" s="16" t="s">
        <v>161</v>
      </c>
      <c r="J18" s="16" t="s">
        <v>155</v>
      </c>
      <c r="K18" s="16" t="s">
        <v>162</v>
      </c>
      <c r="L18" s="16" t="s">
        <v>85</v>
      </c>
      <c r="M18" s="290"/>
      <c r="N18" s="287"/>
      <c r="O18" s="291"/>
      <c r="P18" s="292"/>
      <c r="Q18" s="292"/>
      <c r="R18" s="287" t="s">
        <v>12</v>
      </c>
    </row>
    <row r="19" spans="1:19">
      <c r="A19" s="288" t="str">
        <f>"MTC-MT-2026"&amp;TEXT(ROW(A5),"0000")</f>
        <v>MTC-MT-20260005</v>
      </c>
      <c r="B19" s="162" t="s">
        <v>168</v>
      </c>
      <c r="C19" s="15" t="s">
        <v>158</v>
      </c>
      <c r="D19" s="16"/>
      <c r="E19" s="162" t="s">
        <v>64</v>
      </c>
      <c r="F19" s="162" t="s">
        <v>159</v>
      </c>
      <c r="G19" s="289" t="s">
        <v>152</v>
      </c>
      <c r="H19" s="289" t="s">
        <v>160</v>
      </c>
      <c r="I19" s="16" t="s">
        <v>161</v>
      </c>
      <c r="J19" s="16" t="s">
        <v>155</v>
      </c>
      <c r="K19" s="16"/>
      <c r="L19" s="16" t="s">
        <v>85</v>
      </c>
      <c r="M19" s="290"/>
      <c r="N19" s="287"/>
      <c r="O19" s="291"/>
      <c r="P19" s="292"/>
      <c r="Q19" s="292"/>
      <c r="R19" s="287" t="s">
        <v>12</v>
      </c>
    </row>
    <row r="20" spans="1:19" ht="16.8" hidden="1" customHeight="1">
      <c r="A20" s="288" t="e">
        <f>"MTC-MT-2026"&amp;TEXT(ROW(#REF!),"0000")</f>
        <v>#REF!</v>
      </c>
      <c r="B20" s="162" t="s">
        <v>169</v>
      </c>
      <c r="C20" s="15" t="s">
        <v>150</v>
      </c>
      <c r="D20" s="16"/>
      <c r="E20" s="162" t="s">
        <v>67</v>
      </c>
      <c r="F20" s="162" t="s">
        <v>170</v>
      </c>
      <c r="G20" s="289" t="s">
        <v>171</v>
      </c>
      <c r="H20" s="289" t="s">
        <v>171</v>
      </c>
      <c r="I20" s="16" t="s">
        <v>161</v>
      </c>
      <c r="J20" s="16"/>
      <c r="K20" s="16"/>
      <c r="L20" s="16" t="s">
        <v>172</v>
      </c>
      <c r="M20" s="290"/>
      <c r="N20" s="287"/>
      <c r="O20" s="291"/>
      <c r="P20" s="292"/>
      <c r="Q20" s="292"/>
      <c r="R20" s="287" t="s">
        <v>12</v>
      </c>
    </row>
    <row r="21" spans="1:19">
      <c r="A21" s="288" t="e">
        <f>"MTC-MT-2026"&amp;TEXT(ROW(#REF!),"0000")</f>
        <v>#REF!</v>
      </c>
      <c r="B21" s="162" t="s">
        <v>173</v>
      </c>
      <c r="C21" s="15" t="s">
        <v>150</v>
      </c>
      <c r="D21" s="16"/>
      <c r="E21" s="162" t="s">
        <v>60</v>
      </c>
      <c r="F21" s="162" t="s">
        <v>151</v>
      </c>
      <c r="G21" s="289" t="s">
        <v>152</v>
      </c>
      <c r="H21" s="289" t="s">
        <v>153</v>
      </c>
      <c r="I21" s="16" t="s">
        <v>154</v>
      </c>
      <c r="J21" s="16"/>
      <c r="K21" s="16"/>
      <c r="L21" s="16" t="s">
        <v>85</v>
      </c>
      <c r="M21" s="290"/>
      <c r="N21" s="287"/>
      <c r="O21" s="291"/>
      <c r="P21" s="292"/>
      <c r="Q21" s="292"/>
      <c r="R21" s="287" t="s">
        <v>12</v>
      </c>
    </row>
    <row r="22" spans="1:19" ht="15.6" hidden="1">
      <c r="A22" s="288" t="e">
        <f>"MTC-MT-2026"&amp;TEXT(ROW(#REF!),"0000")</f>
        <v>#REF!</v>
      </c>
      <c r="B22" s="293" t="s">
        <v>174</v>
      </c>
      <c r="C22" s="15" t="s">
        <v>150</v>
      </c>
      <c r="D22" s="16"/>
      <c r="E22" s="162" t="s">
        <v>60</v>
      </c>
      <c r="F22" s="162" t="s">
        <v>175</v>
      </c>
      <c r="G22" s="289" t="s">
        <v>152</v>
      </c>
      <c r="H22" s="289" t="s">
        <v>176</v>
      </c>
      <c r="I22" s="16" t="s">
        <v>161</v>
      </c>
      <c r="J22" s="16"/>
      <c r="K22" s="16"/>
      <c r="L22" s="16" t="s">
        <v>172</v>
      </c>
      <c r="M22" s="294">
        <v>244460</v>
      </c>
      <c r="N22" s="287" t="s">
        <v>177</v>
      </c>
      <c r="O22" s="291"/>
      <c r="P22" s="292"/>
      <c r="Q22" s="292"/>
      <c r="R22" s="287" t="s">
        <v>12</v>
      </c>
      <c r="S22" s="104">
        <v>3</v>
      </c>
    </row>
    <row r="23" spans="1:19" s="270" customFormat="1" ht="17.399999999999999" customHeight="1">
      <c r="A23" s="288" t="e">
        <f>"MTC-MT-2026"&amp;TEXT(ROW(#REF!),"0000")</f>
        <v>#REF!</v>
      </c>
      <c r="B23" s="295" t="s">
        <v>178</v>
      </c>
      <c r="C23" s="15" t="s">
        <v>165</v>
      </c>
      <c r="D23" s="15"/>
      <c r="E23" s="170" t="s">
        <v>62</v>
      </c>
      <c r="F23" s="170" t="s">
        <v>179</v>
      </c>
      <c r="G23" s="296" t="s">
        <v>152</v>
      </c>
      <c r="H23" s="296" t="s">
        <v>180</v>
      </c>
      <c r="I23" s="15" t="s">
        <v>161</v>
      </c>
      <c r="J23" s="15"/>
      <c r="K23" s="15"/>
      <c r="L23" s="16" t="s">
        <v>85</v>
      </c>
      <c r="M23" s="297"/>
      <c r="N23" s="298"/>
      <c r="O23" s="299"/>
      <c r="P23" s="300"/>
      <c r="Q23" s="300"/>
      <c r="R23" s="287" t="s">
        <v>12</v>
      </c>
      <c r="S23" s="107"/>
    </row>
    <row r="24" spans="1:19" hidden="1">
      <c r="A24" s="288" t="e">
        <f>"MTC-MT-2026"&amp;TEXT(ROW(#REF!),"0000")</f>
        <v>#REF!</v>
      </c>
      <c r="B24" s="162" t="s">
        <v>181</v>
      </c>
      <c r="C24" s="15" t="s">
        <v>182</v>
      </c>
      <c r="D24" s="16"/>
      <c r="E24" s="162" t="s">
        <v>68</v>
      </c>
      <c r="F24" s="162" t="s">
        <v>183</v>
      </c>
      <c r="G24" s="289" t="s">
        <v>152</v>
      </c>
      <c r="H24" s="289" t="s">
        <v>184</v>
      </c>
      <c r="I24" s="16" t="s">
        <v>185</v>
      </c>
      <c r="J24" s="16" t="s">
        <v>155</v>
      </c>
      <c r="K24" s="16" t="s">
        <v>162</v>
      </c>
      <c r="L24" s="16" t="s">
        <v>172</v>
      </c>
      <c r="M24" s="294">
        <v>244443</v>
      </c>
      <c r="N24" s="287"/>
      <c r="O24" s="291"/>
      <c r="P24" s="292"/>
      <c r="Q24" s="292"/>
      <c r="R24" s="287" t="s">
        <v>12</v>
      </c>
      <c r="S24" s="104">
        <v>1</v>
      </c>
    </row>
    <row r="25" spans="1:19" hidden="1">
      <c r="A25" s="288" t="e">
        <f>"MTC-MT-2026"&amp;TEXT(ROW(#REF!),"0000")</f>
        <v>#REF!</v>
      </c>
      <c r="B25" s="162" t="s">
        <v>186</v>
      </c>
      <c r="C25" s="15" t="s">
        <v>187</v>
      </c>
      <c r="D25" s="16"/>
      <c r="E25" s="162" t="s">
        <v>68</v>
      </c>
      <c r="F25" s="162" t="s">
        <v>188</v>
      </c>
      <c r="G25" s="289" t="s">
        <v>152</v>
      </c>
      <c r="H25" s="289" t="s">
        <v>184</v>
      </c>
      <c r="I25" s="16" t="s">
        <v>185</v>
      </c>
      <c r="J25" s="16"/>
      <c r="K25" s="16"/>
      <c r="L25" s="16" t="s">
        <v>172</v>
      </c>
      <c r="M25" s="294">
        <v>244443</v>
      </c>
      <c r="N25" s="287"/>
      <c r="O25" s="291"/>
      <c r="P25" s="292"/>
      <c r="Q25" s="292"/>
      <c r="R25" s="287" t="s">
        <v>12</v>
      </c>
      <c r="S25" s="104">
        <v>1</v>
      </c>
    </row>
    <row r="26" spans="1:19" ht="17.399999999999999" hidden="1" customHeight="1">
      <c r="A26" s="288" t="e">
        <f>"MTC-MT-2026"&amp;TEXT(ROW(#REF!),"0000")</f>
        <v>#REF!</v>
      </c>
      <c r="B26" s="162" t="s">
        <v>189</v>
      </c>
      <c r="C26" s="15" t="s">
        <v>187</v>
      </c>
      <c r="D26" s="16"/>
      <c r="E26" s="162" t="s">
        <v>66</v>
      </c>
      <c r="F26" s="162" t="s">
        <v>190</v>
      </c>
      <c r="G26" s="289" t="s">
        <v>152</v>
      </c>
      <c r="H26" s="289" t="s">
        <v>184</v>
      </c>
      <c r="I26" s="16" t="s">
        <v>161</v>
      </c>
      <c r="J26" s="16" t="s">
        <v>155</v>
      </c>
      <c r="K26" s="16" t="s">
        <v>162</v>
      </c>
      <c r="L26" s="16" t="s">
        <v>172</v>
      </c>
      <c r="M26" s="301">
        <v>244465</v>
      </c>
      <c r="N26" s="287" t="s">
        <v>191</v>
      </c>
      <c r="O26" s="291" t="s">
        <v>192</v>
      </c>
      <c r="P26" s="302"/>
      <c r="Q26" s="302"/>
      <c r="R26" s="287" t="s">
        <v>12</v>
      </c>
      <c r="S26" s="104">
        <v>4</v>
      </c>
    </row>
    <row r="27" spans="1:19">
      <c r="A27" s="288" t="e">
        <f>"MTC-MT-2026"&amp;TEXT(ROW(#REF!),"0000")</f>
        <v>#REF!</v>
      </c>
      <c r="B27" s="303" t="s">
        <v>193</v>
      </c>
      <c r="C27" s="15" t="s">
        <v>187</v>
      </c>
      <c r="D27" s="16"/>
      <c r="E27" s="162" t="s">
        <v>194</v>
      </c>
      <c r="F27" s="162" t="s">
        <v>195</v>
      </c>
      <c r="G27" s="289" t="s">
        <v>152</v>
      </c>
      <c r="H27" s="289" t="s">
        <v>184</v>
      </c>
      <c r="I27" s="16" t="s">
        <v>161</v>
      </c>
      <c r="J27" s="16"/>
      <c r="K27" s="16"/>
      <c r="L27" s="16" t="s">
        <v>85</v>
      </c>
      <c r="M27" s="290"/>
      <c r="N27" s="287"/>
      <c r="O27" s="291"/>
      <c r="P27" s="292"/>
      <c r="Q27" s="292"/>
      <c r="R27" s="287" t="s">
        <v>12</v>
      </c>
    </row>
    <row r="28" spans="1:19">
      <c r="A28" s="288" t="str">
        <f t="shared" ref="A28:A79" si="0">"MTC-MT-2026"&amp;TEXT(ROW(A10),"0000")</f>
        <v>MTC-MT-20260010</v>
      </c>
      <c r="B28" s="162" t="s">
        <v>196</v>
      </c>
      <c r="C28" s="15" t="s">
        <v>165</v>
      </c>
      <c r="D28" s="16"/>
      <c r="E28" s="162" t="s">
        <v>194</v>
      </c>
      <c r="F28" s="162" t="s">
        <v>197</v>
      </c>
      <c r="G28" s="289" t="s">
        <v>152</v>
      </c>
      <c r="H28" s="289" t="s">
        <v>160</v>
      </c>
      <c r="I28" s="16" t="s">
        <v>161</v>
      </c>
      <c r="J28" s="16"/>
      <c r="K28" s="16"/>
      <c r="L28" s="16" t="s">
        <v>85</v>
      </c>
      <c r="M28" s="290"/>
      <c r="N28" s="287"/>
      <c r="O28" s="291"/>
      <c r="P28" s="292"/>
      <c r="Q28" s="292"/>
      <c r="R28" s="287" t="s">
        <v>12</v>
      </c>
    </row>
    <row r="29" spans="1:19">
      <c r="A29" s="288" t="str">
        <f t="shared" si="0"/>
        <v>MTC-MT-20260011</v>
      </c>
      <c r="B29" s="162" t="s">
        <v>198</v>
      </c>
      <c r="C29" s="15" t="s">
        <v>165</v>
      </c>
      <c r="D29" s="16"/>
      <c r="E29" s="162" t="s">
        <v>60</v>
      </c>
      <c r="F29" s="162" t="s">
        <v>199</v>
      </c>
      <c r="G29" s="289" t="s">
        <v>152</v>
      </c>
      <c r="H29" s="289" t="s">
        <v>153</v>
      </c>
      <c r="I29" s="16" t="s">
        <v>154</v>
      </c>
      <c r="J29" s="16"/>
      <c r="K29" s="16"/>
      <c r="L29" s="16" t="s">
        <v>85</v>
      </c>
      <c r="M29" s="290"/>
      <c r="N29" s="287"/>
      <c r="O29" s="291"/>
      <c r="P29" s="292"/>
      <c r="Q29" s="292"/>
      <c r="R29" s="287" t="s">
        <v>12</v>
      </c>
    </row>
    <row r="30" spans="1:19" hidden="1">
      <c r="A30" s="288" t="str">
        <f t="shared" si="0"/>
        <v>MTC-MT-20260012</v>
      </c>
      <c r="B30" s="162" t="s">
        <v>200</v>
      </c>
      <c r="C30" s="15" t="s">
        <v>201</v>
      </c>
      <c r="D30" s="16"/>
      <c r="E30" s="162" t="s">
        <v>67</v>
      </c>
      <c r="F30" s="162" t="s">
        <v>202</v>
      </c>
      <c r="G30" s="289" t="s">
        <v>152</v>
      </c>
      <c r="H30" s="289" t="s">
        <v>184</v>
      </c>
      <c r="I30" s="16" t="s">
        <v>185</v>
      </c>
      <c r="J30" s="16"/>
      <c r="K30" s="16"/>
      <c r="L30" s="16" t="s">
        <v>172</v>
      </c>
      <c r="M30" s="294">
        <v>244442</v>
      </c>
      <c r="N30" s="287"/>
      <c r="O30" s="291"/>
      <c r="P30" s="292"/>
      <c r="Q30" s="292"/>
      <c r="R30" s="287" t="s">
        <v>12</v>
      </c>
      <c r="S30" s="104">
        <v>1</v>
      </c>
    </row>
    <row r="31" spans="1:19" hidden="1">
      <c r="A31" s="288" t="str">
        <f t="shared" si="0"/>
        <v>MTC-MT-20260013</v>
      </c>
      <c r="B31" s="162" t="s">
        <v>203</v>
      </c>
      <c r="C31" s="15" t="s">
        <v>204</v>
      </c>
      <c r="D31" s="16"/>
      <c r="E31" s="162" t="s">
        <v>66</v>
      </c>
      <c r="F31" s="162" t="s">
        <v>202</v>
      </c>
      <c r="G31" s="289" t="s">
        <v>152</v>
      </c>
      <c r="H31" s="289" t="s">
        <v>184</v>
      </c>
      <c r="I31" s="16" t="s">
        <v>185</v>
      </c>
      <c r="J31" s="16" t="s">
        <v>205</v>
      </c>
      <c r="K31" s="16" t="s">
        <v>162</v>
      </c>
      <c r="L31" s="16" t="s">
        <v>172</v>
      </c>
      <c r="M31" s="294">
        <v>244455</v>
      </c>
      <c r="N31" s="287"/>
      <c r="O31" s="291"/>
      <c r="P31" s="292"/>
      <c r="Q31" s="292"/>
      <c r="R31" s="287" t="s">
        <v>12</v>
      </c>
      <c r="S31" s="104">
        <v>3</v>
      </c>
    </row>
    <row r="32" spans="1:19" hidden="1">
      <c r="A32" s="288" t="str">
        <f t="shared" si="0"/>
        <v>MTC-MT-20260014</v>
      </c>
      <c r="B32" s="162" t="s">
        <v>206</v>
      </c>
      <c r="C32" s="15" t="s">
        <v>204</v>
      </c>
      <c r="D32" s="16"/>
      <c r="E32" s="162" t="s">
        <v>61</v>
      </c>
      <c r="F32" s="162" t="s">
        <v>179</v>
      </c>
      <c r="G32" s="289" t="s">
        <v>152</v>
      </c>
      <c r="H32" s="289" t="s">
        <v>184</v>
      </c>
      <c r="I32" s="16" t="s">
        <v>185</v>
      </c>
      <c r="J32" s="16"/>
      <c r="K32" s="16"/>
      <c r="L32" s="16" t="s">
        <v>172</v>
      </c>
      <c r="M32" s="294">
        <v>244455</v>
      </c>
      <c r="N32" s="287"/>
      <c r="O32" s="291"/>
      <c r="P32" s="292"/>
      <c r="Q32" s="292"/>
      <c r="R32" s="287" t="s">
        <v>12</v>
      </c>
    </row>
    <row r="33" spans="1:18">
      <c r="A33" s="288" t="str">
        <f t="shared" si="0"/>
        <v>MTC-MT-20260015</v>
      </c>
      <c r="B33" s="162" t="s">
        <v>207</v>
      </c>
      <c r="C33" s="15" t="s">
        <v>204</v>
      </c>
      <c r="D33" s="16"/>
      <c r="E33" s="162" t="s">
        <v>60</v>
      </c>
      <c r="F33" s="162" t="s">
        <v>208</v>
      </c>
      <c r="G33" s="289" t="s">
        <v>152</v>
      </c>
      <c r="H33" s="289" t="s">
        <v>153</v>
      </c>
      <c r="I33" s="16" t="s">
        <v>161</v>
      </c>
      <c r="J33" s="16"/>
      <c r="K33" s="16"/>
      <c r="L33" s="16" t="s">
        <v>85</v>
      </c>
      <c r="M33" s="290"/>
      <c r="N33" s="287"/>
      <c r="O33" s="291"/>
      <c r="P33" s="292"/>
      <c r="Q33" s="292"/>
      <c r="R33" s="287" t="s">
        <v>12</v>
      </c>
    </row>
    <row r="34" spans="1:18" ht="1.8" hidden="1" customHeight="1">
      <c r="A34" s="288" t="str">
        <f t="shared" si="0"/>
        <v>MTC-MT-20260016</v>
      </c>
      <c r="B34" s="162" t="s">
        <v>209</v>
      </c>
      <c r="C34" s="15" t="s">
        <v>187</v>
      </c>
      <c r="D34" s="16"/>
      <c r="E34" s="162" t="s">
        <v>60</v>
      </c>
      <c r="F34" s="162" t="s">
        <v>210</v>
      </c>
      <c r="G34" s="289" t="s">
        <v>152</v>
      </c>
      <c r="H34" s="289" t="s">
        <v>153</v>
      </c>
      <c r="I34" s="16" t="s">
        <v>154</v>
      </c>
      <c r="J34" s="16"/>
      <c r="K34" s="16"/>
      <c r="L34" s="16" t="s">
        <v>172</v>
      </c>
      <c r="M34" s="290"/>
      <c r="N34" s="287"/>
      <c r="O34" s="291"/>
      <c r="P34" s="292"/>
      <c r="Q34" s="292"/>
      <c r="R34" s="287" t="s">
        <v>12</v>
      </c>
    </row>
    <row r="35" spans="1:18">
      <c r="A35" s="288" t="str">
        <f t="shared" si="0"/>
        <v>MTC-MT-20260017</v>
      </c>
      <c r="B35" s="162" t="s">
        <v>211</v>
      </c>
      <c r="C35" s="15" t="s">
        <v>165</v>
      </c>
      <c r="D35" s="16"/>
      <c r="E35" s="162" t="s">
        <v>166</v>
      </c>
      <c r="F35" s="162" t="s">
        <v>212</v>
      </c>
      <c r="G35" s="289" t="s">
        <v>171</v>
      </c>
      <c r="H35" s="289" t="s">
        <v>171</v>
      </c>
      <c r="I35" s="16" t="s">
        <v>154</v>
      </c>
      <c r="J35" s="16"/>
      <c r="K35" s="16"/>
      <c r="L35" s="16" t="s">
        <v>85</v>
      </c>
      <c r="M35" s="290"/>
      <c r="N35" s="287"/>
      <c r="O35" s="291"/>
      <c r="P35" s="292"/>
      <c r="Q35" s="292"/>
      <c r="R35" s="287" t="s">
        <v>12</v>
      </c>
    </row>
    <row r="36" spans="1:18" hidden="1">
      <c r="A36" s="288" t="str">
        <f t="shared" si="0"/>
        <v>MTC-MT-20260018</v>
      </c>
      <c r="B36" s="162" t="s">
        <v>213</v>
      </c>
      <c r="C36" s="15" t="s">
        <v>150</v>
      </c>
      <c r="D36" s="16"/>
      <c r="E36" s="162" t="s">
        <v>60</v>
      </c>
      <c r="F36" s="162" t="s">
        <v>170</v>
      </c>
      <c r="G36" s="289" t="s">
        <v>152</v>
      </c>
      <c r="H36" s="289" t="s">
        <v>214</v>
      </c>
      <c r="I36" s="16" t="s">
        <v>185</v>
      </c>
      <c r="J36" s="16"/>
      <c r="K36" s="16"/>
      <c r="L36" s="16" t="s">
        <v>172</v>
      </c>
      <c r="M36" s="294">
        <v>244460</v>
      </c>
      <c r="N36" s="287"/>
      <c r="O36" s="291"/>
      <c r="P36" s="292"/>
      <c r="Q36" s="292"/>
      <c r="R36" s="287" t="s">
        <v>12</v>
      </c>
    </row>
    <row r="37" spans="1:18" hidden="1">
      <c r="A37" s="288" t="str">
        <f t="shared" si="0"/>
        <v>MTC-MT-20260019</v>
      </c>
      <c r="B37" s="162" t="s">
        <v>215</v>
      </c>
      <c r="C37" s="15" t="s">
        <v>216</v>
      </c>
      <c r="D37" s="16"/>
      <c r="E37" s="162" t="s">
        <v>67</v>
      </c>
      <c r="F37" s="162" t="s">
        <v>217</v>
      </c>
      <c r="G37" s="289" t="s">
        <v>152</v>
      </c>
      <c r="H37" s="289" t="s">
        <v>184</v>
      </c>
      <c r="I37" s="16" t="s">
        <v>185</v>
      </c>
      <c r="J37" s="16"/>
      <c r="K37" s="16"/>
      <c r="L37" s="16" t="s">
        <v>172</v>
      </c>
      <c r="M37" s="294">
        <v>244455</v>
      </c>
      <c r="N37" s="287" t="s">
        <v>191</v>
      </c>
      <c r="O37" s="291" t="s">
        <v>218</v>
      </c>
      <c r="P37" s="292"/>
      <c r="Q37" s="292"/>
      <c r="R37" s="287" t="s">
        <v>12</v>
      </c>
    </row>
    <row r="38" spans="1:18" hidden="1">
      <c r="A38" s="288" t="str">
        <f t="shared" si="0"/>
        <v>MTC-MT-20260020</v>
      </c>
      <c r="B38" s="162" t="s">
        <v>219</v>
      </c>
      <c r="C38" s="15" t="s">
        <v>201</v>
      </c>
      <c r="D38" s="16"/>
      <c r="E38" s="162" t="s">
        <v>60</v>
      </c>
      <c r="F38" s="162" t="s">
        <v>220</v>
      </c>
      <c r="G38" s="289" t="s">
        <v>152</v>
      </c>
      <c r="H38" s="289" t="s">
        <v>184</v>
      </c>
      <c r="I38" s="16" t="s">
        <v>185</v>
      </c>
      <c r="J38" s="16"/>
      <c r="K38" s="16"/>
      <c r="L38" s="16" t="s">
        <v>172</v>
      </c>
      <c r="M38" s="294">
        <v>244445</v>
      </c>
      <c r="N38" s="287"/>
      <c r="O38" s="291"/>
      <c r="P38" s="292"/>
      <c r="Q38" s="292"/>
      <c r="R38" s="287" t="s">
        <v>12</v>
      </c>
    </row>
    <row r="39" spans="1:18" hidden="1">
      <c r="A39" s="288" t="str">
        <f t="shared" si="0"/>
        <v>MTC-MT-20260021</v>
      </c>
      <c r="B39" s="162" t="s">
        <v>221</v>
      </c>
      <c r="C39" s="15" t="s">
        <v>222</v>
      </c>
      <c r="D39" s="16"/>
      <c r="E39" s="162" t="s">
        <v>66</v>
      </c>
      <c r="F39" s="162" t="s">
        <v>220</v>
      </c>
      <c r="G39" s="289" t="s">
        <v>152</v>
      </c>
      <c r="H39" s="289" t="s">
        <v>184</v>
      </c>
      <c r="I39" s="16" t="s">
        <v>185</v>
      </c>
      <c r="J39" s="16" t="s">
        <v>205</v>
      </c>
      <c r="K39" s="16" t="s">
        <v>162</v>
      </c>
      <c r="L39" s="16" t="s">
        <v>172</v>
      </c>
      <c r="M39" s="294">
        <v>244464</v>
      </c>
      <c r="N39" s="287" t="s">
        <v>191</v>
      </c>
      <c r="O39" s="291" t="s">
        <v>223</v>
      </c>
      <c r="P39" s="292"/>
      <c r="Q39" s="292"/>
      <c r="R39" s="287" t="s">
        <v>12</v>
      </c>
    </row>
    <row r="40" spans="1:18" hidden="1">
      <c r="A40" s="288" t="str">
        <f t="shared" si="0"/>
        <v>MTC-MT-20260022</v>
      </c>
      <c r="B40" s="162" t="s">
        <v>224</v>
      </c>
      <c r="C40" s="15" t="s">
        <v>216</v>
      </c>
      <c r="D40" s="16"/>
      <c r="E40" s="162" t="s">
        <v>66</v>
      </c>
      <c r="F40" s="162" t="s">
        <v>220</v>
      </c>
      <c r="G40" s="289" t="s">
        <v>152</v>
      </c>
      <c r="H40" s="289" t="s">
        <v>184</v>
      </c>
      <c r="I40" s="16" t="s">
        <v>185</v>
      </c>
      <c r="J40" s="16" t="s">
        <v>205</v>
      </c>
      <c r="K40" s="16" t="s">
        <v>162</v>
      </c>
      <c r="L40" s="16" t="s">
        <v>172</v>
      </c>
      <c r="M40" s="294">
        <v>244464</v>
      </c>
      <c r="N40" s="287" t="s">
        <v>191</v>
      </c>
      <c r="O40" s="291" t="s">
        <v>225</v>
      </c>
      <c r="P40" s="292"/>
      <c r="Q40" s="292"/>
      <c r="R40" s="287" t="s">
        <v>12</v>
      </c>
    </row>
    <row r="41" spans="1:18" hidden="1">
      <c r="A41" s="288" t="str">
        <f t="shared" si="0"/>
        <v>MTC-MT-20260023</v>
      </c>
      <c r="B41" s="162" t="s">
        <v>226</v>
      </c>
      <c r="C41" s="15" t="s">
        <v>216</v>
      </c>
      <c r="D41" s="16"/>
      <c r="E41" s="162" t="s">
        <v>66</v>
      </c>
      <c r="F41" s="162" t="s">
        <v>202</v>
      </c>
      <c r="G41" s="289" t="s">
        <v>152</v>
      </c>
      <c r="H41" s="289" t="s">
        <v>184</v>
      </c>
      <c r="I41" s="16" t="s">
        <v>185</v>
      </c>
      <c r="J41" s="16" t="s">
        <v>205</v>
      </c>
      <c r="K41" s="16" t="s">
        <v>162</v>
      </c>
      <c r="L41" s="16" t="s">
        <v>172</v>
      </c>
      <c r="M41" s="294">
        <v>244464</v>
      </c>
      <c r="N41" s="287" t="s">
        <v>191</v>
      </c>
      <c r="O41" s="291" t="s">
        <v>227</v>
      </c>
      <c r="P41" s="292"/>
      <c r="Q41" s="292"/>
      <c r="R41" s="287" t="s">
        <v>12</v>
      </c>
    </row>
    <row r="42" spans="1:18">
      <c r="A42" s="288" t="str">
        <f t="shared" si="0"/>
        <v>MTC-MT-20260024</v>
      </c>
      <c r="B42" s="162" t="s">
        <v>228</v>
      </c>
      <c r="C42" s="15" t="s">
        <v>222</v>
      </c>
      <c r="D42" s="16"/>
      <c r="E42" s="162" t="s">
        <v>166</v>
      </c>
      <c r="F42" s="162" t="s">
        <v>229</v>
      </c>
      <c r="G42" s="289" t="s">
        <v>171</v>
      </c>
      <c r="H42" s="289"/>
      <c r="I42" s="16" t="s">
        <v>185</v>
      </c>
      <c r="J42" s="16"/>
      <c r="K42" s="16"/>
      <c r="L42" s="16" t="s">
        <v>85</v>
      </c>
      <c r="M42" s="290"/>
      <c r="N42" s="287"/>
      <c r="O42" s="291"/>
      <c r="P42" s="292"/>
      <c r="Q42" s="292"/>
      <c r="R42" s="287" t="s">
        <v>12</v>
      </c>
    </row>
    <row r="43" spans="1:18">
      <c r="A43" s="288" t="str">
        <f t="shared" si="0"/>
        <v>MTC-MT-20260025</v>
      </c>
      <c r="B43" s="303" t="s">
        <v>230</v>
      </c>
      <c r="C43" s="15" t="s">
        <v>222</v>
      </c>
      <c r="D43" s="16"/>
      <c r="E43" s="162" t="s">
        <v>194</v>
      </c>
      <c r="F43" s="162" t="s">
        <v>229</v>
      </c>
      <c r="G43" s="289" t="s">
        <v>152</v>
      </c>
      <c r="H43" s="289" t="s">
        <v>184</v>
      </c>
      <c r="I43" s="16" t="s">
        <v>185</v>
      </c>
      <c r="J43" s="16"/>
      <c r="K43" s="16"/>
      <c r="L43" s="16" t="s">
        <v>85</v>
      </c>
      <c r="M43" s="290">
        <v>244450</v>
      </c>
      <c r="N43" s="287"/>
      <c r="O43" s="291"/>
      <c r="P43" s="292"/>
      <c r="Q43" s="292"/>
      <c r="R43" s="287" t="s">
        <v>12</v>
      </c>
    </row>
    <row r="44" spans="1:18" hidden="1">
      <c r="A44" s="288" t="str">
        <f t="shared" si="0"/>
        <v>MTC-MT-20260026</v>
      </c>
      <c r="B44" s="162" t="s">
        <v>231</v>
      </c>
      <c r="C44" s="15" t="s">
        <v>222</v>
      </c>
      <c r="D44" s="16"/>
      <c r="E44" s="162" t="s">
        <v>66</v>
      </c>
      <c r="F44" s="162" t="s">
        <v>202</v>
      </c>
      <c r="G44" s="289" t="s">
        <v>152</v>
      </c>
      <c r="H44" s="289" t="s">
        <v>184</v>
      </c>
      <c r="I44" s="16" t="s">
        <v>185</v>
      </c>
      <c r="J44" s="16" t="s">
        <v>205</v>
      </c>
      <c r="K44" s="16" t="s">
        <v>162</v>
      </c>
      <c r="L44" s="16" t="s">
        <v>172</v>
      </c>
      <c r="M44" s="294">
        <v>244450</v>
      </c>
      <c r="N44" s="287"/>
      <c r="O44" s="291"/>
      <c r="P44" s="292"/>
      <c r="Q44" s="292"/>
      <c r="R44" s="287" t="s">
        <v>12</v>
      </c>
    </row>
    <row r="45" spans="1:18" ht="16.2" customHeight="1">
      <c r="A45" s="288" t="str">
        <f t="shared" si="0"/>
        <v>MTC-MT-20260027</v>
      </c>
      <c r="B45" s="162" t="s">
        <v>232</v>
      </c>
      <c r="C45" s="15" t="s">
        <v>233</v>
      </c>
      <c r="D45" s="16"/>
      <c r="E45" s="162" t="s">
        <v>60</v>
      </c>
      <c r="F45" s="162"/>
      <c r="G45" s="289" t="s">
        <v>152</v>
      </c>
      <c r="H45" s="289" t="s">
        <v>234</v>
      </c>
      <c r="I45" s="16" t="s">
        <v>185</v>
      </c>
      <c r="J45" s="16"/>
      <c r="K45" s="16"/>
      <c r="L45" s="16" t="s">
        <v>85</v>
      </c>
      <c r="M45" s="290"/>
      <c r="N45" s="287"/>
      <c r="O45" s="291"/>
      <c r="P45" s="292"/>
      <c r="Q45" s="292"/>
      <c r="R45" s="287" t="s">
        <v>12</v>
      </c>
    </row>
    <row r="46" spans="1:18">
      <c r="A46" s="288" t="str">
        <f t="shared" si="0"/>
        <v>MTC-MT-20260028</v>
      </c>
      <c r="B46" s="162" t="s">
        <v>235</v>
      </c>
      <c r="C46" s="15" t="s">
        <v>216</v>
      </c>
      <c r="D46" s="16"/>
      <c r="E46" s="162" t="s">
        <v>60</v>
      </c>
      <c r="F46" s="162"/>
      <c r="G46" s="289" t="s">
        <v>152</v>
      </c>
      <c r="H46" s="289" t="s">
        <v>236</v>
      </c>
      <c r="I46" s="16" t="s">
        <v>161</v>
      </c>
      <c r="J46" s="16"/>
      <c r="K46" s="16"/>
      <c r="L46" s="16" t="s">
        <v>85</v>
      </c>
      <c r="M46" s="290"/>
      <c r="N46" s="287"/>
      <c r="O46" s="291"/>
      <c r="P46" s="292"/>
      <c r="Q46" s="292"/>
      <c r="R46" s="287" t="s">
        <v>12</v>
      </c>
    </row>
    <row r="47" spans="1:18">
      <c r="A47" s="288" t="str">
        <f t="shared" si="0"/>
        <v>MTC-MT-20260029</v>
      </c>
      <c r="B47" s="162" t="s">
        <v>237</v>
      </c>
      <c r="C47" s="15" t="s">
        <v>150</v>
      </c>
      <c r="D47" s="16"/>
      <c r="E47" s="162" t="s">
        <v>67</v>
      </c>
      <c r="F47" s="162"/>
      <c r="G47" s="289" t="s">
        <v>152</v>
      </c>
      <c r="H47" s="289" t="s">
        <v>234</v>
      </c>
      <c r="I47" s="16" t="s">
        <v>161</v>
      </c>
      <c r="J47" s="16"/>
      <c r="K47" s="16"/>
      <c r="L47" s="16" t="s">
        <v>85</v>
      </c>
      <c r="M47" s="290"/>
      <c r="N47" s="287"/>
      <c r="O47" s="291"/>
      <c r="P47" s="292"/>
      <c r="Q47" s="292"/>
      <c r="R47" s="287" t="s">
        <v>12</v>
      </c>
    </row>
    <row r="48" spans="1:18">
      <c r="A48" s="288" t="str">
        <f t="shared" si="0"/>
        <v>MTC-MT-20260030</v>
      </c>
      <c r="B48" s="162" t="s">
        <v>238</v>
      </c>
      <c r="C48" s="15" t="s">
        <v>150</v>
      </c>
      <c r="D48" s="16"/>
      <c r="E48" s="162" t="s">
        <v>60</v>
      </c>
      <c r="F48" s="162"/>
      <c r="G48" s="289" t="s">
        <v>152</v>
      </c>
      <c r="H48" s="289" t="s">
        <v>184</v>
      </c>
      <c r="I48" s="16" t="s">
        <v>185</v>
      </c>
      <c r="J48" s="16"/>
      <c r="K48" s="16"/>
      <c r="L48" s="16" t="s">
        <v>85</v>
      </c>
      <c r="M48" s="290">
        <v>244451</v>
      </c>
      <c r="N48" s="287"/>
      <c r="O48" s="291"/>
      <c r="P48" s="292"/>
      <c r="Q48" s="292"/>
      <c r="R48" s="287" t="s">
        <v>12</v>
      </c>
    </row>
    <row r="49" spans="1:18" hidden="1">
      <c r="A49" s="288" t="str">
        <f t="shared" si="0"/>
        <v>MTC-MT-20260031</v>
      </c>
      <c r="B49" s="162" t="s">
        <v>239</v>
      </c>
      <c r="C49" s="15" t="s">
        <v>150</v>
      </c>
      <c r="D49" s="16"/>
      <c r="E49" s="162" t="s">
        <v>240</v>
      </c>
      <c r="F49" s="162"/>
      <c r="G49" s="289" t="s">
        <v>152</v>
      </c>
      <c r="H49" s="289" t="s">
        <v>184</v>
      </c>
      <c r="I49" s="16" t="s">
        <v>185</v>
      </c>
      <c r="J49" s="16"/>
      <c r="K49" s="16"/>
      <c r="L49" s="16" t="s">
        <v>172</v>
      </c>
      <c r="M49" s="294">
        <v>244465</v>
      </c>
      <c r="N49" s="287"/>
      <c r="O49" s="291"/>
      <c r="P49" s="292"/>
      <c r="Q49" s="292"/>
      <c r="R49" s="287" t="s">
        <v>12</v>
      </c>
    </row>
    <row r="50" spans="1:18">
      <c r="A50" s="288" t="str">
        <f t="shared" si="0"/>
        <v>MTC-MT-20260032</v>
      </c>
      <c r="B50" s="162" t="s">
        <v>241</v>
      </c>
      <c r="C50" s="15" t="s">
        <v>158</v>
      </c>
      <c r="D50" s="16"/>
      <c r="E50" s="162" t="s">
        <v>194</v>
      </c>
      <c r="F50" s="162"/>
      <c r="G50" s="289" t="s">
        <v>152</v>
      </c>
      <c r="H50" s="289" t="s">
        <v>242</v>
      </c>
      <c r="I50" s="16" t="s">
        <v>154</v>
      </c>
      <c r="J50" s="16"/>
      <c r="K50" s="16"/>
      <c r="L50" s="16" t="s">
        <v>85</v>
      </c>
      <c r="M50" s="290"/>
      <c r="N50" s="287"/>
      <c r="O50" s="291"/>
      <c r="P50" s="292"/>
      <c r="Q50" s="292"/>
      <c r="R50" s="287" t="s">
        <v>12</v>
      </c>
    </row>
    <row r="51" spans="1:18">
      <c r="A51" s="288" t="str">
        <f t="shared" si="0"/>
        <v>MTC-MT-20260033</v>
      </c>
      <c r="B51" s="162" t="s">
        <v>243</v>
      </c>
      <c r="C51" s="15" t="s">
        <v>244</v>
      </c>
      <c r="D51" s="16"/>
      <c r="E51" s="162" t="s">
        <v>194</v>
      </c>
      <c r="F51" s="162"/>
      <c r="G51" s="289" t="s">
        <v>152</v>
      </c>
      <c r="H51" s="289" t="s">
        <v>184</v>
      </c>
      <c r="I51" s="16" t="s">
        <v>185</v>
      </c>
      <c r="J51" s="16"/>
      <c r="K51" s="16"/>
      <c r="L51" s="16" t="s">
        <v>85</v>
      </c>
      <c r="M51" s="290">
        <v>244447</v>
      </c>
      <c r="N51" s="287"/>
      <c r="O51" s="291"/>
      <c r="P51" s="292"/>
      <c r="Q51" s="292"/>
      <c r="R51" s="287" t="s">
        <v>12</v>
      </c>
    </row>
    <row r="52" spans="1:18">
      <c r="A52" s="288" t="str">
        <f t="shared" si="0"/>
        <v>MTC-MT-20260034</v>
      </c>
      <c r="B52" s="162" t="s">
        <v>245</v>
      </c>
      <c r="C52" s="15" t="s">
        <v>204</v>
      </c>
      <c r="D52" s="16"/>
      <c r="E52" s="162" t="s">
        <v>194</v>
      </c>
      <c r="F52" s="162"/>
      <c r="G52" s="289" t="s">
        <v>152</v>
      </c>
      <c r="H52" s="289" t="s">
        <v>184</v>
      </c>
      <c r="I52" s="16" t="s">
        <v>185</v>
      </c>
      <c r="J52" s="16"/>
      <c r="K52" s="16"/>
      <c r="L52" s="16" t="s">
        <v>85</v>
      </c>
      <c r="M52" s="290">
        <v>244448</v>
      </c>
      <c r="N52" s="287"/>
      <c r="O52" s="291"/>
      <c r="P52" s="292"/>
      <c r="Q52" s="292"/>
      <c r="R52" s="287" t="s">
        <v>12</v>
      </c>
    </row>
    <row r="53" spans="1:18">
      <c r="A53" s="288" t="str">
        <f t="shared" si="0"/>
        <v>MTC-MT-20260035</v>
      </c>
      <c r="B53" s="162" t="s">
        <v>246</v>
      </c>
      <c r="C53" s="15" t="s">
        <v>247</v>
      </c>
      <c r="D53" s="16"/>
      <c r="E53" s="162" t="s">
        <v>194</v>
      </c>
      <c r="F53" s="162"/>
      <c r="G53" s="289" t="s">
        <v>152</v>
      </c>
      <c r="H53" s="289" t="s">
        <v>184</v>
      </c>
      <c r="I53" s="16" t="s">
        <v>185</v>
      </c>
      <c r="J53" s="16"/>
      <c r="K53" s="16"/>
      <c r="L53" s="16" t="s">
        <v>85</v>
      </c>
      <c r="M53" s="290"/>
      <c r="N53" s="287"/>
      <c r="O53" s="291"/>
      <c r="P53" s="292"/>
      <c r="Q53" s="292"/>
      <c r="R53" s="287" t="s">
        <v>12</v>
      </c>
    </row>
    <row r="54" spans="1:18" hidden="1">
      <c r="A54" s="288" t="str">
        <f t="shared" si="0"/>
        <v>MTC-MT-20260036</v>
      </c>
      <c r="B54" s="162" t="s">
        <v>248</v>
      </c>
      <c r="C54" s="15" t="s">
        <v>201</v>
      </c>
      <c r="D54" s="16"/>
      <c r="E54" s="162" t="s">
        <v>194</v>
      </c>
      <c r="F54" s="162"/>
      <c r="G54" s="16" t="s">
        <v>152</v>
      </c>
      <c r="H54" s="289" t="s">
        <v>184</v>
      </c>
      <c r="I54" s="16" t="s">
        <v>185</v>
      </c>
      <c r="J54" s="16"/>
      <c r="K54" s="16"/>
      <c r="L54" s="16" t="s">
        <v>172</v>
      </c>
      <c r="M54" s="290">
        <v>244477</v>
      </c>
      <c r="N54" s="287" t="s">
        <v>191</v>
      </c>
      <c r="O54" s="291"/>
      <c r="P54" s="292"/>
      <c r="Q54" s="292"/>
      <c r="R54" s="287" t="s">
        <v>12</v>
      </c>
    </row>
    <row r="55" spans="1:18">
      <c r="A55" s="288" t="str">
        <f t="shared" si="0"/>
        <v>MTC-MT-20260037</v>
      </c>
      <c r="B55" s="162" t="s">
        <v>249</v>
      </c>
      <c r="C55" s="15" t="s">
        <v>222</v>
      </c>
      <c r="D55" s="16"/>
      <c r="E55" s="162" t="s">
        <v>194</v>
      </c>
      <c r="F55" s="162"/>
      <c r="G55" s="289" t="s">
        <v>152</v>
      </c>
      <c r="H55" s="16" t="s">
        <v>242</v>
      </c>
      <c r="I55" s="16" t="s">
        <v>154</v>
      </c>
      <c r="J55" s="16"/>
      <c r="K55" s="16"/>
      <c r="L55" s="16" t="s">
        <v>85</v>
      </c>
      <c r="M55" s="290"/>
      <c r="N55" s="287"/>
      <c r="O55" s="291"/>
      <c r="P55" s="292"/>
      <c r="Q55" s="292"/>
      <c r="R55" s="287" t="s">
        <v>12</v>
      </c>
    </row>
    <row r="56" spans="1:18" hidden="1">
      <c r="A56" s="288" t="str">
        <f t="shared" si="0"/>
        <v>MTC-MT-20260038</v>
      </c>
      <c r="B56" s="162" t="s">
        <v>250</v>
      </c>
      <c r="C56" s="15" t="s">
        <v>251</v>
      </c>
      <c r="D56" s="16"/>
      <c r="E56" s="162" t="s">
        <v>252</v>
      </c>
      <c r="F56" s="162"/>
      <c r="G56" s="289" t="s">
        <v>152</v>
      </c>
      <c r="H56" s="289" t="s">
        <v>253</v>
      </c>
      <c r="I56" s="16" t="s">
        <v>185</v>
      </c>
      <c r="J56" s="16"/>
      <c r="K56" s="16"/>
      <c r="L56" s="16" t="s">
        <v>172</v>
      </c>
      <c r="M56" s="294">
        <v>244440</v>
      </c>
      <c r="N56" s="287"/>
      <c r="O56" s="291"/>
      <c r="P56" s="292"/>
      <c r="Q56" s="292"/>
      <c r="R56" s="287" t="s">
        <v>12</v>
      </c>
    </row>
    <row r="57" spans="1:18" hidden="1">
      <c r="A57" s="288" t="str">
        <f t="shared" si="0"/>
        <v>MTC-MT-20260039</v>
      </c>
      <c r="B57" s="162" t="s">
        <v>254</v>
      </c>
      <c r="C57" s="15" t="s">
        <v>251</v>
      </c>
      <c r="D57" s="16"/>
      <c r="E57" s="162" t="s">
        <v>252</v>
      </c>
      <c r="F57" s="162" t="s">
        <v>255</v>
      </c>
      <c r="G57" s="289" t="s">
        <v>152</v>
      </c>
      <c r="H57" s="289" t="s">
        <v>253</v>
      </c>
      <c r="I57" s="16" t="s">
        <v>185</v>
      </c>
      <c r="J57" s="16"/>
      <c r="K57" s="16"/>
      <c r="L57" s="16" t="s">
        <v>172</v>
      </c>
      <c r="M57" s="294">
        <v>244443</v>
      </c>
      <c r="N57" s="287"/>
      <c r="O57" s="291"/>
      <c r="P57" s="292"/>
      <c r="Q57" s="292"/>
      <c r="R57" s="287" t="s">
        <v>12</v>
      </c>
    </row>
    <row r="58" spans="1:18">
      <c r="A58" s="288" t="str">
        <f t="shared" si="0"/>
        <v>MTC-MT-20260040</v>
      </c>
      <c r="B58" s="162" t="s">
        <v>256</v>
      </c>
      <c r="C58" s="15" t="s">
        <v>165</v>
      </c>
      <c r="D58" s="16"/>
      <c r="E58" s="162" t="s">
        <v>194</v>
      </c>
      <c r="F58" s="162"/>
      <c r="G58" s="289" t="s">
        <v>152</v>
      </c>
      <c r="H58" s="289" t="s">
        <v>253</v>
      </c>
      <c r="I58" s="16" t="s">
        <v>185</v>
      </c>
      <c r="J58" s="16"/>
      <c r="K58" s="16"/>
      <c r="L58" s="16" t="s">
        <v>85</v>
      </c>
      <c r="M58" s="290"/>
      <c r="N58" s="287"/>
      <c r="O58" s="291"/>
      <c r="P58" s="292"/>
      <c r="Q58" s="292"/>
      <c r="R58" s="287" t="s">
        <v>12</v>
      </c>
    </row>
    <row r="59" spans="1:18" hidden="1">
      <c r="A59" s="288" t="str">
        <f t="shared" si="0"/>
        <v>MTC-MT-20260041</v>
      </c>
      <c r="B59" s="162" t="s">
        <v>257</v>
      </c>
      <c r="C59" s="15" t="s">
        <v>251</v>
      </c>
      <c r="D59" s="16"/>
      <c r="E59" s="162" t="s">
        <v>252</v>
      </c>
      <c r="F59" s="162" t="s">
        <v>255</v>
      </c>
      <c r="G59" s="289" t="s">
        <v>152</v>
      </c>
      <c r="H59" s="289" t="s">
        <v>253</v>
      </c>
      <c r="I59" s="16" t="s">
        <v>185</v>
      </c>
      <c r="J59" s="16"/>
      <c r="K59" s="16"/>
      <c r="L59" s="16" t="s">
        <v>172</v>
      </c>
      <c r="M59" s="294"/>
      <c r="N59" s="287"/>
      <c r="O59" s="291"/>
      <c r="P59" s="292"/>
      <c r="Q59" s="292"/>
      <c r="R59" s="287" t="s">
        <v>12</v>
      </c>
    </row>
    <row r="60" spans="1:18" hidden="1">
      <c r="A60" s="288" t="str">
        <f t="shared" si="0"/>
        <v>MTC-MT-20260042</v>
      </c>
      <c r="B60" s="162" t="s">
        <v>258</v>
      </c>
      <c r="C60" s="15" t="s">
        <v>251</v>
      </c>
      <c r="D60" s="16"/>
      <c r="E60" s="162" t="s">
        <v>252</v>
      </c>
      <c r="F60" s="162" t="s">
        <v>255</v>
      </c>
      <c r="G60" s="289" t="s">
        <v>152</v>
      </c>
      <c r="H60" s="289" t="s">
        <v>253</v>
      </c>
      <c r="I60" s="16" t="s">
        <v>185</v>
      </c>
      <c r="J60" s="16"/>
      <c r="K60" s="16"/>
      <c r="L60" s="16" t="s">
        <v>172</v>
      </c>
      <c r="M60" s="294">
        <v>244467</v>
      </c>
      <c r="N60" s="287"/>
      <c r="O60" s="291"/>
      <c r="P60" s="292"/>
      <c r="Q60" s="292"/>
      <c r="R60" s="287" t="s">
        <v>12</v>
      </c>
    </row>
    <row r="61" spans="1:18" hidden="1">
      <c r="A61" s="288" t="str">
        <f t="shared" si="0"/>
        <v>MTC-MT-20260043</v>
      </c>
      <c r="B61" s="162" t="s">
        <v>259</v>
      </c>
      <c r="C61" s="15" t="s">
        <v>251</v>
      </c>
      <c r="D61" s="16"/>
      <c r="E61" s="162" t="s">
        <v>252</v>
      </c>
      <c r="F61" s="162" t="s">
        <v>255</v>
      </c>
      <c r="G61" s="289" t="s">
        <v>152</v>
      </c>
      <c r="H61" s="289" t="s">
        <v>253</v>
      </c>
      <c r="I61" s="16" t="s">
        <v>185</v>
      </c>
      <c r="J61" s="16"/>
      <c r="K61" s="16"/>
      <c r="L61" s="16" t="s">
        <v>172</v>
      </c>
      <c r="M61" s="294">
        <v>244467</v>
      </c>
      <c r="N61" s="287"/>
      <c r="O61" s="291"/>
      <c r="P61" s="292"/>
      <c r="Q61" s="292"/>
      <c r="R61" s="287" t="s">
        <v>12</v>
      </c>
    </row>
    <row r="62" spans="1:18" hidden="1">
      <c r="A62" s="288" t="str">
        <f t="shared" si="0"/>
        <v>MTC-MT-20260044</v>
      </c>
      <c r="B62" s="162" t="s">
        <v>260</v>
      </c>
      <c r="C62" s="15" t="s">
        <v>251</v>
      </c>
      <c r="D62" s="16"/>
      <c r="E62" s="162" t="s">
        <v>252</v>
      </c>
      <c r="F62" s="162" t="s">
        <v>255</v>
      </c>
      <c r="G62" s="289" t="s">
        <v>152</v>
      </c>
      <c r="H62" s="289" t="s">
        <v>253</v>
      </c>
      <c r="I62" s="16" t="s">
        <v>185</v>
      </c>
      <c r="J62" s="16"/>
      <c r="K62" s="16"/>
      <c r="L62" s="16" t="s">
        <v>172</v>
      </c>
      <c r="M62" s="294">
        <v>244467</v>
      </c>
      <c r="N62" s="287"/>
      <c r="O62" s="291"/>
      <c r="P62" s="292"/>
      <c r="Q62" s="292"/>
      <c r="R62" s="287" t="s">
        <v>12</v>
      </c>
    </row>
    <row r="63" spans="1:18" hidden="1">
      <c r="A63" s="288" t="str">
        <f t="shared" si="0"/>
        <v>MTC-MT-20260045</v>
      </c>
      <c r="B63" s="162" t="s">
        <v>261</v>
      </c>
      <c r="C63" s="15" t="s">
        <v>251</v>
      </c>
      <c r="D63" s="16"/>
      <c r="E63" s="162" t="s">
        <v>252</v>
      </c>
      <c r="F63" s="162" t="s">
        <v>255</v>
      </c>
      <c r="G63" s="289" t="s">
        <v>152</v>
      </c>
      <c r="H63" s="289" t="s">
        <v>253</v>
      </c>
      <c r="I63" s="16" t="s">
        <v>185</v>
      </c>
      <c r="J63" s="16"/>
      <c r="K63" s="16"/>
      <c r="L63" s="16" t="s">
        <v>172</v>
      </c>
      <c r="M63" s="294">
        <v>244467</v>
      </c>
      <c r="N63" s="287"/>
      <c r="O63" s="291"/>
      <c r="P63" s="292"/>
      <c r="Q63" s="292"/>
      <c r="R63" s="287" t="s">
        <v>12</v>
      </c>
    </row>
    <row r="64" spans="1:18" hidden="1">
      <c r="A64" s="288" t="str">
        <f t="shared" si="0"/>
        <v>MTC-MT-20260046</v>
      </c>
      <c r="B64" s="162" t="s">
        <v>262</v>
      </c>
      <c r="C64" s="15" t="s">
        <v>251</v>
      </c>
      <c r="D64" s="16"/>
      <c r="E64" s="162" t="s">
        <v>252</v>
      </c>
      <c r="F64" s="162" t="s">
        <v>255</v>
      </c>
      <c r="G64" s="289" t="s">
        <v>152</v>
      </c>
      <c r="H64" s="289" t="s">
        <v>253</v>
      </c>
      <c r="I64" s="16" t="s">
        <v>185</v>
      </c>
      <c r="J64" s="16"/>
      <c r="K64" s="16"/>
      <c r="L64" s="16" t="s">
        <v>172</v>
      </c>
      <c r="M64" s="294">
        <v>244444</v>
      </c>
      <c r="N64" s="287"/>
      <c r="O64" s="291"/>
      <c r="P64" s="292"/>
      <c r="Q64" s="292"/>
      <c r="R64" s="287" t="s">
        <v>12</v>
      </c>
    </row>
    <row r="65" spans="1:18" hidden="1">
      <c r="A65" s="288" t="str">
        <f t="shared" si="0"/>
        <v>MTC-MT-20260047</v>
      </c>
      <c r="B65" s="162" t="s">
        <v>263</v>
      </c>
      <c r="C65" s="15" t="s">
        <v>251</v>
      </c>
      <c r="D65" s="16"/>
      <c r="E65" s="162" t="s">
        <v>252</v>
      </c>
      <c r="F65" s="162" t="s">
        <v>255</v>
      </c>
      <c r="G65" s="289" t="s">
        <v>152</v>
      </c>
      <c r="H65" s="289" t="s">
        <v>253</v>
      </c>
      <c r="I65" s="16" t="s">
        <v>185</v>
      </c>
      <c r="J65" s="16"/>
      <c r="K65" s="16"/>
      <c r="L65" s="16" t="s">
        <v>172</v>
      </c>
      <c r="M65" s="294">
        <v>244444</v>
      </c>
      <c r="N65" s="287"/>
      <c r="O65" s="291"/>
      <c r="P65" s="292"/>
      <c r="Q65" s="292"/>
      <c r="R65" s="287" t="s">
        <v>12</v>
      </c>
    </row>
    <row r="66" spans="1:18" hidden="1">
      <c r="A66" s="288" t="str">
        <f t="shared" si="0"/>
        <v>MTC-MT-20260048</v>
      </c>
      <c r="B66" s="162" t="s">
        <v>264</v>
      </c>
      <c r="C66" s="15" t="s">
        <v>251</v>
      </c>
      <c r="D66" s="16"/>
      <c r="E66" s="162" t="s">
        <v>252</v>
      </c>
      <c r="F66" s="162" t="s">
        <v>255</v>
      </c>
      <c r="G66" s="289" t="s">
        <v>152</v>
      </c>
      <c r="H66" s="289" t="s">
        <v>253</v>
      </c>
      <c r="I66" s="16" t="s">
        <v>185</v>
      </c>
      <c r="J66" s="16"/>
      <c r="K66" s="16"/>
      <c r="L66" s="16" t="s">
        <v>172</v>
      </c>
      <c r="M66" s="294">
        <v>244444</v>
      </c>
      <c r="N66" s="287"/>
      <c r="O66" s="291"/>
      <c r="P66" s="292"/>
      <c r="Q66" s="292"/>
      <c r="R66" s="287" t="s">
        <v>12</v>
      </c>
    </row>
    <row r="67" spans="1:18" hidden="1">
      <c r="A67" s="288" t="str">
        <f t="shared" si="0"/>
        <v>MTC-MT-20260049</v>
      </c>
      <c r="B67" s="162" t="s">
        <v>265</v>
      </c>
      <c r="C67" s="15" t="s">
        <v>251</v>
      </c>
      <c r="D67" s="16"/>
      <c r="E67" s="162" t="s">
        <v>252</v>
      </c>
      <c r="F67" s="162" t="s">
        <v>255</v>
      </c>
      <c r="G67" s="289" t="s">
        <v>152</v>
      </c>
      <c r="H67" s="289" t="s">
        <v>253</v>
      </c>
      <c r="I67" s="16" t="s">
        <v>185</v>
      </c>
      <c r="J67" s="16"/>
      <c r="K67" s="16"/>
      <c r="L67" s="16" t="s">
        <v>172</v>
      </c>
      <c r="M67" s="294">
        <v>244444</v>
      </c>
      <c r="N67" s="287"/>
      <c r="O67" s="291"/>
      <c r="P67" s="292"/>
      <c r="Q67" s="292"/>
      <c r="R67" s="287" t="s">
        <v>12</v>
      </c>
    </row>
    <row r="68" spans="1:18" hidden="1">
      <c r="A68" s="288" t="str">
        <f t="shared" si="0"/>
        <v>MTC-MT-20260050</v>
      </c>
      <c r="B68" s="304" t="s">
        <v>266</v>
      </c>
      <c r="C68" s="15" t="s">
        <v>251</v>
      </c>
      <c r="D68" s="287" t="s">
        <v>267</v>
      </c>
      <c r="E68" s="304" t="s">
        <v>268</v>
      </c>
      <c r="F68" s="304" t="s">
        <v>107</v>
      </c>
      <c r="G68" s="305" t="s">
        <v>152</v>
      </c>
      <c r="H68" s="289" t="s">
        <v>253</v>
      </c>
      <c r="I68" s="16" t="s">
        <v>185</v>
      </c>
      <c r="J68" s="16"/>
      <c r="K68" s="16"/>
      <c r="L68" s="16" t="s">
        <v>172</v>
      </c>
      <c r="M68" s="294">
        <v>244442</v>
      </c>
      <c r="N68" s="287"/>
      <c r="O68" s="291"/>
      <c r="P68" s="292"/>
      <c r="Q68" s="292"/>
      <c r="R68" s="287" t="s">
        <v>12</v>
      </c>
    </row>
    <row r="69" spans="1:18" hidden="1">
      <c r="A69" s="288" t="str">
        <f t="shared" si="0"/>
        <v>MTC-MT-20260051</v>
      </c>
      <c r="B69" s="162" t="s">
        <v>269</v>
      </c>
      <c r="C69" s="15" t="s">
        <v>251</v>
      </c>
      <c r="D69" s="16"/>
      <c r="E69" s="162" t="s">
        <v>252</v>
      </c>
      <c r="F69" s="162" t="s">
        <v>270</v>
      </c>
      <c r="G69" s="289" t="s">
        <v>152</v>
      </c>
      <c r="H69" s="289" t="s">
        <v>253</v>
      </c>
      <c r="I69" s="16" t="s">
        <v>185</v>
      </c>
      <c r="J69" s="16"/>
      <c r="K69" s="16"/>
      <c r="L69" s="16" t="s">
        <v>172</v>
      </c>
      <c r="M69" s="294">
        <v>244442</v>
      </c>
      <c r="N69" s="287"/>
      <c r="O69" s="291"/>
      <c r="P69" s="292"/>
      <c r="Q69" s="292"/>
      <c r="R69" s="287" t="s">
        <v>12</v>
      </c>
    </row>
    <row r="70" spans="1:18" hidden="1">
      <c r="A70" s="288" t="str">
        <f t="shared" si="0"/>
        <v>MTC-MT-20260052</v>
      </c>
      <c r="B70" s="162" t="s">
        <v>271</v>
      </c>
      <c r="C70" s="15" t="s">
        <v>251</v>
      </c>
      <c r="D70" s="16"/>
      <c r="E70" s="162" t="s">
        <v>67</v>
      </c>
      <c r="F70" s="162"/>
      <c r="G70" s="289" t="s">
        <v>152</v>
      </c>
      <c r="H70" s="289" t="s">
        <v>253</v>
      </c>
      <c r="I70" s="16" t="s">
        <v>185</v>
      </c>
      <c r="J70" s="16"/>
      <c r="K70" s="16"/>
      <c r="L70" s="16" t="s">
        <v>172</v>
      </c>
      <c r="M70" s="294">
        <v>244442</v>
      </c>
      <c r="N70" s="287"/>
      <c r="O70" s="291"/>
      <c r="P70" s="292"/>
      <c r="Q70" s="292"/>
      <c r="R70" s="287" t="s">
        <v>12</v>
      </c>
    </row>
    <row r="71" spans="1:18" hidden="1">
      <c r="A71" s="288" t="str">
        <f t="shared" si="0"/>
        <v>MTC-MT-20260053</v>
      </c>
      <c r="B71" s="162" t="s">
        <v>272</v>
      </c>
      <c r="C71" s="15" t="s">
        <v>204</v>
      </c>
      <c r="D71" s="16"/>
      <c r="E71" s="162" t="s">
        <v>67</v>
      </c>
      <c r="F71" s="162" t="s">
        <v>273</v>
      </c>
      <c r="G71" s="289" t="s">
        <v>152</v>
      </c>
      <c r="H71" s="289" t="s">
        <v>253</v>
      </c>
      <c r="I71" s="16" t="s">
        <v>185</v>
      </c>
      <c r="J71" s="16"/>
      <c r="K71" s="16"/>
      <c r="L71" s="16" t="s">
        <v>172</v>
      </c>
      <c r="M71" s="294">
        <v>244442</v>
      </c>
      <c r="N71" s="287"/>
      <c r="O71" s="291"/>
      <c r="P71" s="292"/>
      <c r="Q71" s="292"/>
      <c r="R71" s="287" t="s">
        <v>12</v>
      </c>
    </row>
    <row r="72" spans="1:18" hidden="1">
      <c r="A72" s="288" t="str">
        <f t="shared" si="0"/>
        <v>MTC-MT-20260054</v>
      </c>
      <c r="B72" s="162" t="s">
        <v>274</v>
      </c>
      <c r="C72" s="15" t="s">
        <v>251</v>
      </c>
      <c r="D72" s="16"/>
      <c r="E72" s="162" t="s">
        <v>60</v>
      </c>
      <c r="F72" s="162" t="s">
        <v>151</v>
      </c>
      <c r="G72" s="289" t="s">
        <v>152</v>
      </c>
      <c r="H72" s="162" t="s">
        <v>184</v>
      </c>
      <c r="I72" s="16" t="s">
        <v>161</v>
      </c>
      <c r="J72" s="16"/>
      <c r="K72" s="16"/>
      <c r="L72" s="16" t="s">
        <v>172</v>
      </c>
      <c r="M72" s="294">
        <v>244442</v>
      </c>
      <c r="N72" s="287"/>
      <c r="O72" s="291"/>
      <c r="P72" s="292"/>
      <c r="Q72" s="292"/>
      <c r="R72" s="287" t="s">
        <v>12</v>
      </c>
    </row>
    <row r="73" spans="1:18" hidden="1">
      <c r="A73" s="288" t="str">
        <f t="shared" si="0"/>
        <v>MTC-MT-20260055</v>
      </c>
      <c r="B73" s="162" t="s">
        <v>275</v>
      </c>
      <c r="C73" s="15" t="s">
        <v>251</v>
      </c>
      <c r="D73" s="16"/>
      <c r="E73" s="162" t="s">
        <v>60</v>
      </c>
      <c r="F73" s="162" t="s">
        <v>276</v>
      </c>
      <c r="G73" s="289" t="s">
        <v>152</v>
      </c>
      <c r="H73" s="162" t="s">
        <v>184</v>
      </c>
      <c r="I73" s="16" t="s">
        <v>161</v>
      </c>
      <c r="J73" s="16"/>
      <c r="K73" s="16"/>
      <c r="L73" s="16" t="s">
        <v>172</v>
      </c>
      <c r="M73" s="294">
        <v>244444</v>
      </c>
      <c r="N73" s="287"/>
      <c r="O73" s="291"/>
      <c r="P73" s="292"/>
      <c r="Q73" s="292"/>
      <c r="R73" s="287" t="s">
        <v>12</v>
      </c>
    </row>
    <row r="74" spans="1:18" hidden="1">
      <c r="A74" s="288" t="str">
        <f t="shared" si="0"/>
        <v>MTC-MT-20260056</v>
      </c>
      <c r="B74" s="162" t="s">
        <v>277</v>
      </c>
      <c r="C74" s="15" t="s">
        <v>251</v>
      </c>
      <c r="D74" s="16"/>
      <c r="E74" s="162" t="s">
        <v>60</v>
      </c>
      <c r="F74" s="162" t="s">
        <v>276</v>
      </c>
      <c r="G74" s="289" t="s">
        <v>152</v>
      </c>
      <c r="H74" s="162" t="s">
        <v>184</v>
      </c>
      <c r="I74" s="16" t="s">
        <v>161</v>
      </c>
      <c r="J74" s="16"/>
      <c r="K74" s="16"/>
      <c r="L74" s="16" t="s">
        <v>172</v>
      </c>
      <c r="M74" s="294">
        <v>244444</v>
      </c>
      <c r="N74" s="287"/>
      <c r="O74" s="291"/>
      <c r="P74" s="292"/>
      <c r="Q74" s="292"/>
      <c r="R74" s="287" t="s">
        <v>12</v>
      </c>
    </row>
    <row r="75" spans="1:18" hidden="1">
      <c r="A75" s="288" t="str">
        <f t="shared" si="0"/>
        <v>MTC-MT-20260057</v>
      </c>
      <c r="B75" s="162" t="s">
        <v>278</v>
      </c>
      <c r="C75" s="15" t="s">
        <v>251</v>
      </c>
      <c r="D75" s="16" t="s">
        <v>279</v>
      </c>
      <c r="E75" s="162" t="s">
        <v>60</v>
      </c>
      <c r="F75" s="162"/>
      <c r="G75" s="289" t="s">
        <v>152</v>
      </c>
      <c r="H75" s="162" t="s">
        <v>184</v>
      </c>
      <c r="I75" s="16" t="s">
        <v>185</v>
      </c>
      <c r="J75" s="16"/>
      <c r="K75" s="16"/>
      <c r="L75" s="16" t="s">
        <v>172</v>
      </c>
      <c r="M75" s="294">
        <v>244443</v>
      </c>
      <c r="N75" s="287"/>
      <c r="O75" s="291"/>
      <c r="P75" s="292"/>
      <c r="Q75" s="292"/>
      <c r="R75" s="287" t="s">
        <v>12</v>
      </c>
    </row>
    <row r="76" spans="1:18" hidden="1">
      <c r="A76" s="288" t="str">
        <f t="shared" si="0"/>
        <v>MTC-MT-20260058</v>
      </c>
      <c r="B76" s="162" t="s">
        <v>280</v>
      </c>
      <c r="C76" s="15" t="s">
        <v>244</v>
      </c>
      <c r="D76" s="16"/>
      <c r="E76" s="162" t="s">
        <v>60</v>
      </c>
      <c r="F76" s="162" t="s">
        <v>281</v>
      </c>
      <c r="G76" s="289" t="s">
        <v>152</v>
      </c>
      <c r="H76" s="162" t="s">
        <v>184</v>
      </c>
      <c r="I76" s="16" t="s">
        <v>185</v>
      </c>
      <c r="J76" s="16"/>
      <c r="K76" s="16"/>
      <c r="L76" s="16" t="s">
        <v>172</v>
      </c>
      <c r="M76" s="294">
        <v>244445</v>
      </c>
      <c r="N76" s="287"/>
      <c r="O76" s="291"/>
      <c r="P76" s="292"/>
      <c r="Q76" s="292"/>
      <c r="R76" s="287" t="s">
        <v>12</v>
      </c>
    </row>
    <row r="77" spans="1:18" hidden="1">
      <c r="A77" s="288" t="str">
        <f t="shared" si="0"/>
        <v>MTC-MT-20260059</v>
      </c>
      <c r="B77" s="162" t="s">
        <v>282</v>
      </c>
      <c r="C77" s="15" t="s">
        <v>244</v>
      </c>
      <c r="D77" s="16"/>
      <c r="E77" s="162" t="s">
        <v>60</v>
      </c>
      <c r="F77" s="162" t="s">
        <v>281</v>
      </c>
      <c r="G77" s="289" t="s">
        <v>152</v>
      </c>
      <c r="H77" s="162" t="s">
        <v>184</v>
      </c>
      <c r="I77" s="16" t="s">
        <v>185</v>
      </c>
      <c r="J77" s="16"/>
      <c r="K77" s="16"/>
      <c r="L77" s="16" t="s">
        <v>172</v>
      </c>
      <c r="M77" s="294">
        <v>244445</v>
      </c>
      <c r="N77" s="287"/>
      <c r="O77" s="291"/>
      <c r="P77" s="292"/>
      <c r="Q77" s="292"/>
      <c r="R77" s="287" t="s">
        <v>12</v>
      </c>
    </row>
    <row r="78" spans="1:18" hidden="1">
      <c r="A78" s="288" t="str">
        <f t="shared" si="0"/>
        <v>MTC-MT-20260060</v>
      </c>
      <c r="B78" s="162" t="s">
        <v>283</v>
      </c>
      <c r="C78" s="15" t="s">
        <v>247</v>
      </c>
      <c r="D78" s="16"/>
      <c r="E78" s="162" t="s">
        <v>61</v>
      </c>
      <c r="F78" s="162" t="s">
        <v>284</v>
      </c>
      <c r="G78" s="289" t="s">
        <v>152</v>
      </c>
      <c r="H78" s="162" t="s">
        <v>184</v>
      </c>
      <c r="I78" s="16" t="s">
        <v>185</v>
      </c>
      <c r="J78" s="16"/>
      <c r="K78" s="16"/>
      <c r="L78" s="16" t="s">
        <v>172</v>
      </c>
      <c r="M78" s="294">
        <v>244445</v>
      </c>
      <c r="N78" s="287"/>
      <c r="O78" s="291"/>
      <c r="P78" s="292"/>
      <c r="Q78" s="292"/>
      <c r="R78" s="287" t="s">
        <v>12</v>
      </c>
    </row>
    <row r="79" spans="1:18" hidden="1">
      <c r="A79" s="288" t="str">
        <f t="shared" si="0"/>
        <v>MTC-MT-20260061</v>
      </c>
      <c r="B79" s="162" t="s">
        <v>285</v>
      </c>
      <c r="C79" s="15" t="s">
        <v>216</v>
      </c>
      <c r="D79" s="16"/>
      <c r="E79" s="162" t="s">
        <v>61</v>
      </c>
      <c r="F79" s="162" t="s">
        <v>286</v>
      </c>
      <c r="G79" s="289" t="s">
        <v>152</v>
      </c>
      <c r="H79" s="162" t="s">
        <v>184</v>
      </c>
      <c r="I79" s="16" t="s">
        <v>185</v>
      </c>
      <c r="J79" s="16"/>
      <c r="K79" s="16"/>
      <c r="L79" s="16" t="s">
        <v>172</v>
      </c>
      <c r="M79" s="294">
        <v>244445</v>
      </c>
      <c r="N79" s="287"/>
      <c r="O79" s="291"/>
      <c r="P79" s="292"/>
      <c r="Q79" s="292"/>
      <c r="R79" s="287" t="s">
        <v>12</v>
      </c>
    </row>
    <row r="80" spans="1:18" hidden="1">
      <c r="A80" s="288" t="str">
        <f t="shared" ref="A80:A137" si="1">"MTC-MT-2026"&amp;TEXT(ROW(A62),"0000")</f>
        <v>MTC-MT-20260062</v>
      </c>
      <c r="B80" s="162" t="s">
        <v>287</v>
      </c>
      <c r="C80" s="15" t="s">
        <v>216</v>
      </c>
      <c r="D80" s="16"/>
      <c r="E80" s="162" t="s">
        <v>61</v>
      </c>
      <c r="F80" s="162" t="s">
        <v>288</v>
      </c>
      <c r="G80" s="289" t="s">
        <v>152</v>
      </c>
      <c r="H80" s="162" t="s">
        <v>184</v>
      </c>
      <c r="I80" s="16" t="s">
        <v>185</v>
      </c>
      <c r="J80" s="16"/>
      <c r="K80" s="16"/>
      <c r="L80" s="16" t="s">
        <v>172</v>
      </c>
      <c r="M80" s="294">
        <v>244445</v>
      </c>
      <c r="N80" s="287"/>
      <c r="O80" s="291"/>
      <c r="P80" s="292"/>
      <c r="Q80" s="292"/>
      <c r="R80" s="287" t="s">
        <v>12</v>
      </c>
    </row>
    <row r="81" spans="1:18" hidden="1">
      <c r="A81" s="288" t="str">
        <f t="shared" si="1"/>
        <v>MTC-MT-20260063</v>
      </c>
      <c r="B81" s="162" t="s">
        <v>289</v>
      </c>
      <c r="C81" s="15" t="s">
        <v>165</v>
      </c>
      <c r="D81" s="16"/>
      <c r="E81" s="162" t="s">
        <v>61</v>
      </c>
      <c r="F81" s="162" t="s">
        <v>290</v>
      </c>
      <c r="G81" s="289" t="s">
        <v>152</v>
      </c>
      <c r="H81" s="162" t="s">
        <v>184</v>
      </c>
      <c r="I81" s="16" t="s">
        <v>185</v>
      </c>
      <c r="J81" s="16"/>
      <c r="K81" s="16"/>
      <c r="L81" s="16" t="s">
        <v>172</v>
      </c>
      <c r="M81" s="294">
        <v>244445</v>
      </c>
      <c r="N81" s="287"/>
      <c r="O81" s="291"/>
      <c r="P81" s="292"/>
      <c r="Q81" s="292"/>
      <c r="R81" s="287" t="s">
        <v>12</v>
      </c>
    </row>
    <row r="82" spans="1:18" hidden="1">
      <c r="A82" s="288" t="str">
        <f t="shared" si="1"/>
        <v>MTC-MT-20260064</v>
      </c>
      <c r="B82" s="162" t="s">
        <v>291</v>
      </c>
      <c r="C82" s="15" t="s">
        <v>187</v>
      </c>
      <c r="D82" s="16"/>
      <c r="E82" s="162" t="s">
        <v>61</v>
      </c>
      <c r="F82" s="162" t="s">
        <v>288</v>
      </c>
      <c r="G82" s="289" t="s">
        <v>152</v>
      </c>
      <c r="H82" s="162" t="s">
        <v>184</v>
      </c>
      <c r="I82" s="16" t="s">
        <v>185</v>
      </c>
      <c r="J82" s="16"/>
      <c r="K82" s="16"/>
      <c r="L82" s="16" t="s">
        <v>172</v>
      </c>
      <c r="M82" s="294">
        <v>244445</v>
      </c>
      <c r="N82" s="287"/>
      <c r="O82" s="291"/>
      <c r="P82" s="292"/>
      <c r="Q82" s="292"/>
      <c r="R82" s="287" t="s">
        <v>12</v>
      </c>
    </row>
    <row r="83" spans="1:18">
      <c r="A83" s="288" t="str">
        <f t="shared" si="1"/>
        <v>MTC-MT-20260065</v>
      </c>
      <c r="B83" s="162" t="s">
        <v>292</v>
      </c>
      <c r="C83" s="15" t="s">
        <v>222</v>
      </c>
      <c r="D83" s="16"/>
      <c r="E83" s="162" t="s">
        <v>61</v>
      </c>
      <c r="F83" s="162" t="s">
        <v>293</v>
      </c>
      <c r="G83" s="289" t="s">
        <v>152</v>
      </c>
      <c r="H83" s="162" t="s">
        <v>184</v>
      </c>
      <c r="I83" s="16" t="s">
        <v>185</v>
      </c>
      <c r="J83" s="16"/>
      <c r="K83" s="16"/>
      <c r="L83" s="16" t="s">
        <v>85</v>
      </c>
      <c r="M83" s="290">
        <v>244445</v>
      </c>
      <c r="N83" s="287"/>
      <c r="O83" s="291"/>
      <c r="P83" s="292"/>
      <c r="Q83" s="292"/>
      <c r="R83" s="287" t="s">
        <v>12</v>
      </c>
    </row>
    <row r="84" spans="1:18" hidden="1">
      <c r="A84" s="288" t="str">
        <f t="shared" si="1"/>
        <v>MTC-MT-20260066</v>
      </c>
      <c r="B84" s="162" t="s">
        <v>294</v>
      </c>
      <c r="C84" s="15" t="s">
        <v>158</v>
      </c>
      <c r="D84" s="16"/>
      <c r="E84" s="162" t="s">
        <v>61</v>
      </c>
      <c r="F84" s="162" t="s">
        <v>286</v>
      </c>
      <c r="G84" s="289" t="s">
        <v>152</v>
      </c>
      <c r="H84" s="162" t="s">
        <v>184</v>
      </c>
      <c r="I84" s="16" t="s">
        <v>185</v>
      </c>
      <c r="J84" s="16"/>
      <c r="K84" s="16"/>
      <c r="L84" s="16" t="s">
        <v>172</v>
      </c>
      <c r="M84" s="294">
        <v>244447</v>
      </c>
      <c r="N84" s="287"/>
      <c r="O84" s="291"/>
      <c r="P84" s="292"/>
      <c r="Q84" s="292"/>
      <c r="R84" s="287" t="s">
        <v>12</v>
      </c>
    </row>
    <row r="85" spans="1:18" hidden="1">
      <c r="A85" s="288" t="str">
        <f t="shared" si="1"/>
        <v>MTC-MT-20260067</v>
      </c>
      <c r="B85" s="162" t="s">
        <v>295</v>
      </c>
      <c r="C85" s="15" t="s">
        <v>233</v>
      </c>
      <c r="D85" s="16"/>
      <c r="E85" s="162" t="s">
        <v>61</v>
      </c>
      <c r="F85" s="162" t="s">
        <v>296</v>
      </c>
      <c r="G85" s="289" t="s">
        <v>152</v>
      </c>
      <c r="H85" s="162" t="s">
        <v>184</v>
      </c>
      <c r="I85" s="16" t="s">
        <v>185</v>
      </c>
      <c r="J85" s="16"/>
      <c r="K85" s="16"/>
      <c r="L85" s="16" t="s">
        <v>172</v>
      </c>
      <c r="M85" s="294">
        <v>244447</v>
      </c>
      <c r="N85" s="287"/>
      <c r="O85" s="291"/>
      <c r="P85" s="292"/>
      <c r="Q85" s="292"/>
      <c r="R85" s="287" t="s">
        <v>12</v>
      </c>
    </row>
    <row r="86" spans="1:18" hidden="1">
      <c r="A86" s="288" t="str">
        <f t="shared" si="1"/>
        <v>MTC-MT-20260068</v>
      </c>
      <c r="B86" s="162" t="s">
        <v>297</v>
      </c>
      <c r="C86" s="15" t="s">
        <v>233</v>
      </c>
      <c r="D86" s="16"/>
      <c r="E86" s="162" t="s">
        <v>61</v>
      </c>
      <c r="F86" s="162" t="s">
        <v>288</v>
      </c>
      <c r="G86" s="289" t="s">
        <v>152</v>
      </c>
      <c r="H86" s="162" t="s">
        <v>184</v>
      </c>
      <c r="I86" s="16" t="s">
        <v>185</v>
      </c>
      <c r="J86" s="16"/>
      <c r="K86" s="16"/>
      <c r="L86" s="16" t="s">
        <v>172</v>
      </c>
      <c r="M86" s="294">
        <v>244447</v>
      </c>
      <c r="N86" s="287"/>
      <c r="O86" s="291"/>
      <c r="P86" s="292"/>
      <c r="Q86" s="292"/>
      <c r="R86" s="287" t="s">
        <v>12</v>
      </c>
    </row>
    <row r="87" spans="1:18" hidden="1">
      <c r="A87" s="288" t="str">
        <f t="shared" si="1"/>
        <v>MTC-MT-20260069</v>
      </c>
      <c r="B87" s="162" t="s">
        <v>298</v>
      </c>
      <c r="C87" s="15" t="s">
        <v>187</v>
      </c>
      <c r="D87" s="16"/>
      <c r="E87" s="162" t="s">
        <v>61</v>
      </c>
      <c r="F87" s="162" t="s">
        <v>296</v>
      </c>
      <c r="G87" s="289" t="s">
        <v>152</v>
      </c>
      <c r="H87" s="162" t="s">
        <v>184</v>
      </c>
      <c r="I87" s="16" t="s">
        <v>185</v>
      </c>
      <c r="J87" s="16"/>
      <c r="K87" s="16"/>
      <c r="L87" s="16" t="s">
        <v>172</v>
      </c>
      <c r="M87" s="294">
        <v>244447</v>
      </c>
      <c r="N87" s="287"/>
      <c r="O87" s="291"/>
      <c r="P87" s="292"/>
      <c r="Q87" s="292"/>
      <c r="R87" s="287" t="s">
        <v>12</v>
      </c>
    </row>
    <row r="88" spans="1:18">
      <c r="A88" s="288" t="str">
        <f t="shared" si="1"/>
        <v>MTC-MT-20260070</v>
      </c>
      <c r="B88" s="162" t="s">
        <v>299</v>
      </c>
      <c r="C88" s="15" t="s">
        <v>150</v>
      </c>
      <c r="D88" s="16"/>
      <c r="E88" s="162" t="s">
        <v>67</v>
      </c>
      <c r="F88" s="162" t="s">
        <v>300</v>
      </c>
      <c r="G88" s="289" t="s">
        <v>152</v>
      </c>
      <c r="H88" s="162" t="s">
        <v>184</v>
      </c>
      <c r="I88" s="16" t="s">
        <v>185</v>
      </c>
      <c r="J88" s="16"/>
      <c r="K88" s="16"/>
      <c r="L88" s="16" t="s">
        <v>85</v>
      </c>
      <c r="M88" s="290"/>
      <c r="N88" s="287"/>
      <c r="O88" s="291"/>
      <c r="P88" s="292"/>
      <c r="Q88" s="292"/>
      <c r="R88" s="287" t="s">
        <v>12</v>
      </c>
    </row>
    <row r="89" spans="1:18">
      <c r="A89" s="288" t="str">
        <f t="shared" si="1"/>
        <v>MTC-MT-20260071</v>
      </c>
      <c r="B89" s="162" t="s">
        <v>301</v>
      </c>
      <c r="C89" s="15" t="s">
        <v>150</v>
      </c>
      <c r="D89" s="16"/>
      <c r="E89" s="162" t="s">
        <v>67</v>
      </c>
      <c r="F89" s="162" t="s">
        <v>300</v>
      </c>
      <c r="G89" s="289" t="s">
        <v>152</v>
      </c>
      <c r="H89" s="162" t="s">
        <v>184</v>
      </c>
      <c r="I89" s="16" t="s">
        <v>185</v>
      </c>
      <c r="J89" s="16"/>
      <c r="K89" s="16"/>
      <c r="L89" s="16" t="s">
        <v>85</v>
      </c>
      <c r="M89" s="290"/>
      <c r="N89" s="287"/>
      <c r="O89" s="291"/>
      <c r="P89" s="292"/>
      <c r="Q89" s="292"/>
      <c r="R89" s="287" t="s">
        <v>12</v>
      </c>
    </row>
    <row r="90" spans="1:18" hidden="1">
      <c r="A90" s="288" t="str">
        <f t="shared" si="1"/>
        <v>MTC-MT-20260072</v>
      </c>
      <c r="B90" s="162" t="s">
        <v>302</v>
      </c>
      <c r="C90" s="15" t="s">
        <v>150</v>
      </c>
      <c r="D90" s="16"/>
      <c r="E90" s="162" t="s">
        <v>67</v>
      </c>
      <c r="F90" s="162" t="s">
        <v>300</v>
      </c>
      <c r="G90" s="289" t="s">
        <v>152</v>
      </c>
      <c r="H90" s="162" t="s">
        <v>184</v>
      </c>
      <c r="I90" s="16" t="s">
        <v>185</v>
      </c>
      <c r="J90" s="16"/>
      <c r="K90" s="16"/>
      <c r="L90" s="16" t="s">
        <v>172</v>
      </c>
      <c r="M90" s="294">
        <v>244448</v>
      </c>
      <c r="N90" s="287"/>
      <c r="O90" s="291"/>
      <c r="P90" s="292"/>
      <c r="Q90" s="292"/>
      <c r="R90" s="287" t="s">
        <v>12</v>
      </c>
    </row>
    <row r="91" spans="1:18" hidden="1">
      <c r="A91" s="288" t="str">
        <f t="shared" si="1"/>
        <v>MTC-MT-20260073</v>
      </c>
      <c r="B91" s="162" t="s">
        <v>303</v>
      </c>
      <c r="C91" s="15" t="s">
        <v>150</v>
      </c>
      <c r="D91" s="16"/>
      <c r="E91" s="162" t="s">
        <v>67</v>
      </c>
      <c r="F91" s="162" t="s">
        <v>300</v>
      </c>
      <c r="G91" s="289" t="s">
        <v>152</v>
      </c>
      <c r="H91" s="162" t="s">
        <v>184</v>
      </c>
      <c r="I91" s="16" t="s">
        <v>185</v>
      </c>
      <c r="J91" s="16"/>
      <c r="K91" s="16"/>
      <c r="L91" s="16" t="s">
        <v>172</v>
      </c>
      <c r="M91" s="294">
        <v>244448</v>
      </c>
      <c r="N91" s="287"/>
      <c r="O91" s="291"/>
      <c r="P91" s="292"/>
      <c r="Q91" s="292"/>
      <c r="R91" s="287" t="s">
        <v>12</v>
      </c>
    </row>
    <row r="92" spans="1:18" hidden="1">
      <c r="A92" s="288" t="str">
        <f t="shared" si="1"/>
        <v>MTC-MT-20260074</v>
      </c>
      <c r="B92" s="306" t="s">
        <v>304</v>
      </c>
      <c r="C92" s="307" t="s">
        <v>150</v>
      </c>
      <c r="D92" s="308"/>
      <c r="E92" s="306" t="s">
        <v>66</v>
      </c>
      <c r="F92" s="306" t="s">
        <v>151</v>
      </c>
      <c r="G92" s="309" t="s">
        <v>171</v>
      </c>
      <c r="H92" s="310"/>
      <c r="I92" s="311"/>
      <c r="J92" s="311" t="s">
        <v>155</v>
      </c>
      <c r="K92" s="311" t="s">
        <v>156</v>
      </c>
      <c r="L92" s="16" t="s">
        <v>172</v>
      </c>
      <c r="M92" s="312">
        <v>244446</v>
      </c>
      <c r="N92" s="308"/>
      <c r="O92" s="313"/>
      <c r="P92" s="314"/>
      <c r="Q92" s="314"/>
      <c r="R92" s="287" t="s">
        <v>12</v>
      </c>
    </row>
    <row r="93" spans="1:18" hidden="1">
      <c r="A93" s="288" t="str">
        <f t="shared" si="1"/>
        <v>MTC-MT-20260075</v>
      </c>
      <c r="B93" s="162" t="s">
        <v>305</v>
      </c>
      <c r="C93" s="15" t="s">
        <v>204</v>
      </c>
      <c r="D93" s="16"/>
      <c r="E93" s="162" t="s">
        <v>61</v>
      </c>
      <c r="F93" s="162" t="s">
        <v>306</v>
      </c>
      <c r="G93" s="289" t="s">
        <v>152</v>
      </c>
      <c r="H93" s="162" t="s">
        <v>184</v>
      </c>
      <c r="I93" s="16" t="s">
        <v>185</v>
      </c>
      <c r="J93" s="16"/>
      <c r="K93" s="16"/>
      <c r="L93" s="16" t="s">
        <v>172</v>
      </c>
      <c r="M93" s="294">
        <v>244457</v>
      </c>
      <c r="N93" s="287"/>
      <c r="O93" s="291"/>
      <c r="P93" s="292"/>
      <c r="Q93" s="292"/>
      <c r="R93" s="287" t="s">
        <v>12</v>
      </c>
    </row>
    <row r="94" spans="1:18" hidden="1">
      <c r="A94" s="288" t="str">
        <f t="shared" si="1"/>
        <v>MTC-MT-20260076</v>
      </c>
      <c r="B94" s="162" t="s">
        <v>305</v>
      </c>
      <c r="C94" s="15" t="s">
        <v>222</v>
      </c>
      <c r="D94" s="16"/>
      <c r="E94" s="162" t="s">
        <v>61</v>
      </c>
      <c r="F94" s="162" t="s">
        <v>307</v>
      </c>
      <c r="G94" s="289" t="s">
        <v>152</v>
      </c>
      <c r="H94" s="162" t="s">
        <v>184</v>
      </c>
      <c r="I94" s="16" t="s">
        <v>185</v>
      </c>
      <c r="J94" s="16"/>
      <c r="K94" s="16"/>
      <c r="L94" s="16" t="s">
        <v>172</v>
      </c>
      <c r="M94" s="294">
        <v>244457</v>
      </c>
      <c r="N94" s="287"/>
      <c r="O94" s="291"/>
      <c r="P94" s="292"/>
      <c r="Q94" s="292"/>
      <c r="R94" s="287" t="s">
        <v>12</v>
      </c>
    </row>
    <row r="95" spans="1:18" hidden="1">
      <c r="A95" s="288" t="str">
        <f t="shared" si="1"/>
        <v>MTC-MT-20260077</v>
      </c>
      <c r="B95" s="162" t="s">
        <v>308</v>
      </c>
      <c r="C95" s="15" t="s">
        <v>216</v>
      </c>
      <c r="D95" s="16"/>
      <c r="E95" s="162" t="s">
        <v>61</v>
      </c>
      <c r="F95" s="162" t="s">
        <v>309</v>
      </c>
      <c r="G95" s="289" t="s">
        <v>152</v>
      </c>
      <c r="H95" s="162" t="s">
        <v>184</v>
      </c>
      <c r="I95" s="16" t="s">
        <v>161</v>
      </c>
      <c r="J95" s="16"/>
      <c r="K95" s="16"/>
      <c r="L95" s="16" t="s">
        <v>172</v>
      </c>
      <c r="M95" s="290">
        <v>244456</v>
      </c>
      <c r="N95" s="287"/>
      <c r="O95" s="291"/>
      <c r="P95" s="292"/>
      <c r="Q95" s="292"/>
      <c r="R95" s="287" t="s">
        <v>12</v>
      </c>
    </row>
    <row r="96" spans="1:18">
      <c r="A96" s="288" t="str">
        <f t="shared" si="1"/>
        <v>MTC-MT-20260078</v>
      </c>
      <c r="B96" s="162" t="s">
        <v>310</v>
      </c>
      <c r="C96" s="16" t="s">
        <v>311</v>
      </c>
      <c r="D96" s="16"/>
      <c r="E96" s="162" t="s">
        <v>62</v>
      </c>
      <c r="F96" s="162" t="s">
        <v>312</v>
      </c>
      <c r="G96" s="16" t="s">
        <v>152</v>
      </c>
      <c r="H96" s="315" t="s">
        <v>313</v>
      </c>
      <c r="I96" s="16" t="s">
        <v>161</v>
      </c>
      <c r="J96" s="316" t="s">
        <v>155</v>
      </c>
      <c r="K96" s="316" t="s">
        <v>162</v>
      </c>
      <c r="L96" s="452" t="s">
        <v>85</v>
      </c>
      <c r="M96" s="318"/>
      <c r="N96" s="16" t="s">
        <v>314</v>
      </c>
      <c r="O96" s="319"/>
      <c r="P96" s="319"/>
      <c r="Q96" s="320"/>
      <c r="R96" s="321" t="s">
        <v>14</v>
      </c>
    </row>
    <row r="97" spans="1:19" hidden="1">
      <c r="A97" s="288" t="str">
        <f t="shared" si="1"/>
        <v>MTC-MT-20260079</v>
      </c>
      <c r="B97" s="162" t="s">
        <v>315</v>
      </c>
      <c r="C97" s="16" t="s">
        <v>222</v>
      </c>
      <c r="D97" s="16"/>
      <c r="E97" s="162" t="s">
        <v>66</v>
      </c>
      <c r="F97" s="162" t="s">
        <v>316</v>
      </c>
      <c r="G97" s="16" t="s">
        <v>152</v>
      </c>
      <c r="H97" s="315"/>
      <c r="I97" s="16" t="s">
        <v>185</v>
      </c>
      <c r="J97" s="316" t="s">
        <v>155</v>
      </c>
      <c r="K97" s="316" t="s">
        <v>162</v>
      </c>
      <c r="L97" s="317" t="s">
        <v>172</v>
      </c>
      <c r="M97" s="322">
        <v>46165</v>
      </c>
      <c r="N97" s="16" t="s">
        <v>317</v>
      </c>
      <c r="O97" s="319">
        <v>15</v>
      </c>
      <c r="P97" s="319">
        <v>0</v>
      </c>
      <c r="Q97" s="320" t="s">
        <v>318</v>
      </c>
      <c r="R97" s="321" t="s">
        <v>13</v>
      </c>
      <c r="S97" s="104">
        <v>4</v>
      </c>
    </row>
    <row r="98" spans="1:19" hidden="1">
      <c r="A98" s="288" t="str">
        <f t="shared" si="1"/>
        <v>MTC-MT-20260080</v>
      </c>
      <c r="B98" s="162" t="s">
        <v>257</v>
      </c>
      <c r="C98" s="16" t="s">
        <v>255</v>
      </c>
      <c r="D98" s="16"/>
      <c r="E98" s="162" t="s">
        <v>252</v>
      </c>
      <c r="F98" s="162" t="s">
        <v>255</v>
      </c>
      <c r="G98" s="16" t="s">
        <v>152</v>
      </c>
      <c r="H98" s="315"/>
      <c r="I98" s="16" t="s">
        <v>161</v>
      </c>
      <c r="J98" s="316" t="s">
        <v>155</v>
      </c>
      <c r="K98" s="316" t="s">
        <v>162</v>
      </c>
      <c r="L98" s="317" t="s">
        <v>172</v>
      </c>
      <c r="M98" s="322">
        <v>46159</v>
      </c>
      <c r="N98" s="16" t="s">
        <v>191</v>
      </c>
      <c r="O98" s="319">
        <v>180</v>
      </c>
      <c r="P98" s="319">
        <v>0</v>
      </c>
      <c r="Q98" s="320"/>
      <c r="R98" s="321" t="s">
        <v>13</v>
      </c>
      <c r="S98" s="104">
        <v>3</v>
      </c>
    </row>
    <row r="99" spans="1:19" hidden="1">
      <c r="A99" s="288" t="str">
        <f t="shared" si="1"/>
        <v>MTC-MT-20260081</v>
      </c>
      <c r="B99" s="162" t="s">
        <v>262</v>
      </c>
      <c r="C99" s="16" t="s">
        <v>255</v>
      </c>
      <c r="D99" s="16"/>
      <c r="E99" s="162" t="s">
        <v>252</v>
      </c>
      <c r="F99" s="162" t="s">
        <v>255</v>
      </c>
      <c r="G99" s="16" t="s">
        <v>152</v>
      </c>
      <c r="H99" s="315"/>
      <c r="I99" s="16" t="s">
        <v>185</v>
      </c>
      <c r="J99" s="316" t="s">
        <v>155</v>
      </c>
      <c r="K99" s="316" t="s">
        <v>162</v>
      </c>
      <c r="L99" s="317" t="s">
        <v>172</v>
      </c>
      <c r="M99" s="322">
        <v>46159</v>
      </c>
      <c r="N99" s="16" t="s">
        <v>191</v>
      </c>
      <c r="O99" s="319">
        <v>180</v>
      </c>
      <c r="P99" s="319">
        <v>0</v>
      </c>
      <c r="Q99" s="320"/>
      <c r="R99" s="321" t="s">
        <v>13</v>
      </c>
      <c r="S99" s="104">
        <v>3</v>
      </c>
    </row>
    <row r="100" spans="1:19" hidden="1">
      <c r="A100" s="288" t="str">
        <f t="shared" si="1"/>
        <v>MTC-MT-20260082</v>
      </c>
      <c r="B100" s="315" t="s">
        <v>263</v>
      </c>
      <c r="C100" s="16" t="s">
        <v>255</v>
      </c>
      <c r="D100" s="316"/>
      <c r="E100" s="162" t="s">
        <v>252</v>
      </c>
      <c r="F100" s="162" t="s">
        <v>255</v>
      </c>
      <c r="G100" s="16" t="s">
        <v>152</v>
      </c>
      <c r="H100" s="315"/>
      <c r="I100" s="16" t="s">
        <v>185</v>
      </c>
      <c r="J100" s="316" t="s">
        <v>155</v>
      </c>
      <c r="K100" s="316" t="s">
        <v>162</v>
      </c>
      <c r="L100" s="317" t="s">
        <v>172</v>
      </c>
      <c r="M100" s="322">
        <v>46159</v>
      </c>
      <c r="N100" s="16" t="s">
        <v>317</v>
      </c>
      <c r="O100" s="319">
        <v>180</v>
      </c>
      <c r="P100" s="319">
        <v>0</v>
      </c>
      <c r="Q100" s="320"/>
      <c r="R100" s="321" t="s">
        <v>13</v>
      </c>
      <c r="S100" s="104">
        <v>3</v>
      </c>
    </row>
    <row r="101" spans="1:19" hidden="1">
      <c r="A101" s="288" t="str">
        <f t="shared" si="1"/>
        <v>MTC-MT-20260083</v>
      </c>
      <c r="B101" s="162" t="s">
        <v>264</v>
      </c>
      <c r="C101" s="16" t="s">
        <v>255</v>
      </c>
      <c r="D101" s="16"/>
      <c r="E101" s="162" t="s">
        <v>252</v>
      </c>
      <c r="F101" s="162" t="s">
        <v>255</v>
      </c>
      <c r="G101" s="16" t="s">
        <v>152</v>
      </c>
      <c r="H101" s="315"/>
      <c r="I101" s="16" t="s">
        <v>185</v>
      </c>
      <c r="J101" s="316" t="s">
        <v>155</v>
      </c>
      <c r="K101" s="316" t="s">
        <v>162</v>
      </c>
      <c r="L101" s="317" t="s">
        <v>172</v>
      </c>
      <c r="M101" s="322">
        <v>46159</v>
      </c>
      <c r="N101" s="16" t="s">
        <v>317</v>
      </c>
      <c r="O101" s="319">
        <v>180</v>
      </c>
      <c r="P101" s="319">
        <v>0</v>
      </c>
      <c r="Q101" s="320"/>
      <c r="R101" s="321" t="s">
        <v>13</v>
      </c>
      <c r="S101" s="104">
        <v>3</v>
      </c>
    </row>
    <row r="102" spans="1:19" hidden="1">
      <c r="A102" s="288" t="str">
        <f t="shared" si="1"/>
        <v>MTC-MT-20260084</v>
      </c>
      <c r="B102" s="162" t="s">
        <v>265</v>
      </c>
      <c r="C102" s="16" t="s">
        <v>255</v>
      </c>
      <c r="D102" s="16"/>
      <c r="E102" s="162" t="s">
        <v>252</v>
      </c>
      <c r="F102" s="162" t="s">
        <v>255</v>
      </c>
      <c r="G102" s="16" t="s">
        <v>152</v>
      </c>
      <c r="H102" s="162"/>
      <c r="I102" s="16" t="s">
        <v>185</v>
      </c>
      <c r="J102" s="16" t="s">
        <v>155</v>
      </c>
      <c r="K102" s="16" t="s">
        <v>162</v>
      </c>
      <c r="L102" s="317" t="s">
        <v>172</v>
      </c>
      <c r="M102" s="322">
        <v>46159</v>
      </c>
      <c r="N102" s="16" t="s">
        <v>317</v>
      </c>
      <c r="O102" s="319">
        <v>180</v>
      </c>
      <c r="P102" s="319">
        <v>0</v>
      </c>
      <c r="Q102" s="323"/>
      <c r="R102" s="324" t="s">
        <v>13</v>
      </c>
      <c r="S102" s="104">
        <v>3</v>
      </c>
    </row>
    <row r="103" spans="1:19" hidden="1">
      <c r="A103" s="288" t="str">
        <f t="shared" si="1"/>
        <v>MTC-MT-20260085</v>
      </c>
      <c r="B103" s="162" t="s">
        <v>319</v>
      </c>
      <c r="C103" s="16" t="s">
        <v>320</v>
      </c>
      <c r="D103" s="16"/>
      <c r="E103" s="162" t="s">
        <v>60</v>
      </c>
      <c r="F103" s="162" t="s">
        <v>321</v>
      </c>
      <c r="G103" s="16" t="s">
        <v>152</v>
      </c>
      <c r="H103" s="162"/>
      <c r="I103" s="16" t="s">
        <v>185</v>
      </c>
      <c r="J103" s="16" t="s">
        <v>155</v>
      </c>
      <c r="K103" s="16" t="s">
        <v>162</v>
      </c>
      <c r="L103" s="170" t="s">
        <v>172</v>
      </c>
      <c r="M103" s="322">
        <v>46154</v>
      </c>
      <c r="N103" s="16" t="s">
        <v>317</v>
      </c>
      <c r="O103" s="291">
        <v>2</v>
      </c>
      <c r="P103" s="291">
        <v>47</v>
      </c>
      <c r="Q103" s="292" t="s">
        <v>322</v>
      </c>
      <c r="R103" s="16" t="s">
        <v>13</v>
      </c>
      <c r="S103" s="104">
        <v>2</v>
      </c>
    </row>
    <row r="104" spans="1:19" hidden="1">
      <c r="A104" s="288" t="str">
        <f t="shared" ref="A104:A133" si="2">"MTC-MT-2026"&amp;TEXT(ROW(A87),"0000")</f>
        <v>MTC-MT-20260087</v>
      </c>
      <c r="B104" s="162" t="s">
        <v>323</v>
      </c>
      <c r="C104" s="15" t="s">
        <v>187</v>
      </c>
      <c r="D104" s="16"/>
      <c r="E104" s="162" t="s">
        <v>324</v>
      </c>
      <c r="F104" s="162" t="s">
        <v>325</v>
      </c>
      <c r="G104" s="16" t="s">
        <v>152</v>
      </c>
      <c r="H104" s="162"/>
      <c r="I104" s="16" t="s">
        <v>161</v>
      </c>
      <c r="J104" s="16" t="s">
        <v>155</v>
      </c>
      <c r="K104" s="16" t="s">
        <v>156</v>
      </c>
      <c r="L104" s="170" t="s">
        <v>172</v>
      </c>
      <c r="M104" s="322">
        <v>46144</v>
      </c>
      <c r="N104" s="287" t="s">
        <v>326</v>
      </c>
      <c r="O104" s="291"/>
      <c r="P104" s="291"/>
      <c r="Q104" s="292"/>
      <c r="R104" s="16" t="s">
        <v>13</v>
      </c>
      <c r="S104" s="104">
        <v>1</v>
      </c>
    </row>
    <row r="105" spans="1:19">
      <c r="A105" s="288" t="str">
        <f t="shared" si="2"/>
        <v>MTC-MT-20260088</v>
      </c>
      <c r="B105" s="162" t="s">
        <v>327</v>
      </c>
      <c r="C105" s="15" t="s">
        <v>150</v>
      </c>
      <c r="D105" s="16"/>
      <c r="E105" s="162" t="s">
        <v>62</v>
      </c>
      <c r="F105" s="162" t="s">
        <v>328</v>
      </c>
      <c r="G105" s="16" t="s">
        <v>171</v>
      </c>
      <c r="H105" s="162"/>
      <c r="I105" s="16" t="s">
        <v>161</v>
      </c>
      <c r="J105" s="16" t="s">
        <v>155</v>
      </c>
      <c r="K105" s="16" t="s">
        <v>156</v>
      </c>
      <c r="L105" s="15" t="s">
        <v>85</v>
      </c>
      <c r="M105" s="318"/>
      <c r="N105" s="287"/>
      <c r="O105" s="291"/>
      <c r="P105" s="291"/>
      <c r="Q105" s="292"/>
      <c r="R105" s="16" t="s">
        <v>14</v>
      </c>
    </row>
    <row r="106" spans="1:19" hidden="1">
      <c r="A106" s="288" t="str">
        <f t="shared" si="2"/>
        <v>MTC-MT-20260089</v>
      </c>
      <c r="B106" s="162" t="s">
        <v>329</v>
      </c>
      <c r="C106" s="15" t="s">
        <v>150</v>
      </c>
      <c r="D106" s="16"/>
      <c r="E106" s="162" t="s">
        <v>330</v>
      </c>
      <c r="F106" s="162" t="s">
        <v>331</v>
      </c>
      <c r="G106" s="16" t="s">
        <v>152</v>
      </c>
      <c r="H106" s="162"/>
      <c r="I106" s="16" t="s">
        <v>161</v>
      </c>
      <c r="J106" s="16" t="s">
        <v>155</v>
      </c>
      <c r="K106" s="16" t="s">
        <v>156</v>
      </c>
      <c r="L106" s="170" t="s">
        <v>172</v>
      </c>
      <c r="M106" s="322">
        <v>46156</v>
      </c>
      <c r="N106" s="287" t="s">
        <v>317</v>
      </c>
      <c r="O106" s="291">
        <v>8</v>
      </c>
      <c r="P106" s="291">
        <v>0</v>
      </c>
      <c r="Q106" s="292" t="s">
        <v>332</v>
      </c>
      <c r="R106" s="16" t="s">
        <v>13</v>
      </c>
      <c r="S106" s="104">
        <v>2</v>
      </c>
    </row>
    <row r="107" spans="1:19">
      <c r="A107" s="288" t="str">
        <f t="shared" si="2"/>
        <v>MTC-MT-20260090</v>
      </c>
      <c r="B107" s="162" t="s">
        <v>333</v>
      </c>
      <c r="C107" s="15" t="s">
        <v>150</v>
      </c>
      <c r="D107" s="16"/>
      <c r="E107" s="162" t="s">
        <v>60</v>
      </c>
      <c r="F107" s="162" t="s">
        <v>334</v>
      </c>
      <c r="G107" s="16" t="s">
        <v>152</v>
      </c>
      <c r="H107" s="162"/>
      <c r="I107" s="16" t="s">
        <v>185</v>
      </c>
      <c r="J107" s="16" t="s">
        <v>155</v>
      </c>
      <c r="K107" s="16" t="s">
        <v>156</v>
      </c>
      <c r="L107" s="15" t="s">
        <v>85</v>
      </c>
      <c r="M107" s="318"/>
      <c r="N107" s="287"/>
      <c r="O107" s="291"/>
      <c r="P107" s="291"/>
      <c r="Q107" s="292"/>
      <c r="R107" s="16" t="s">
        <v>14</v>
      </c>
    </row>
    <row r="108" spans="1:19" hidden="1">
      <c r="A108" s="288" t="str">
        <f t="shared" si="2"/>
        <v>MTC-MT-20260091</v>
      </c>
      <c r="B108" s="162" t="s">
        <v>335</v>
      </c>
      <c r="C108" s="15" t="s">
        <v>150</v>
      </c>
      <c r="D108" s="16"/>
      <c r="E108" s="162" t="s">
        <v>336</v>
      </c>
      <c r="F108" s="162" t="s">
        <v>337</v>
      </c>
      <c r="G108" s="16" t="s">
        <v>152</v>
      </c>
      <c r="H108" s="162"/>
      <c r="I108" s="16" t="s">
        <v>161</v>
      </c>
      <c r="J108" s="16" t="s">
        <v>155</v>
      </c>
      <c r="K108" s="16" t="s">
        <v>156</v>
      </c>
      <c r="L108" s="170" t="s">
        <v>172</v>
      </c>
      <c r="M108" s="322">
        <v>46165</v>
      </c>
      <c r="N108" s="287" t="s">
        <v>317</v>
      </c>
      <c r="O108" s="291">
        <v>30</v>
      </c>
      <c r="P108" s="291">
        <v>0</v>
      </c>
      <c r="Q108" s="292" t="s">
        <v>338</v>
      </c>
      <c r="R108" s="16" t="s">
        <v>13</v>
      </c>
      <c r="S108" s="104">
        <v>4</v>
      </c>
    </row>
    <row r="109" spans="1:19">
      <c r="A109" s="288" t="str">
        <f t="shared" si="2"/>
        <v>MTC-MT-20260092</v>
      </c>
      <c r="B109" s="315" t="s">
        <v>339</v>
      </c>
      <c r="C109" s="325" t="s">
        <v>150</v>
      </c>
      <c r="D109" s="316"/>
      <c r="E109" s="315" t="s">
        <v>336</v>
      </c>
      <c r="F109" s="315" t="s">
        <v>337</v>
      </c>
      <c r="G109" s="316" t="s">
        <v>152</v>
      </c>
      <c r="H109" s="315"/>
      <c r="I109" s="316" t="s">
        <v>154</v>
      </c>
      <c r="J109" s="316" t="s">
        <v>155</v>
      </c>
      <c r="K109" s="316" t="s">
        <v>156</v>
      </c>
      <c r="L109" s="325" t="s">
        <v>85</v>
      </c>
      <c r="M109" s="326"/>
      <c r="N109" s="327"/>
      <c r="O109" s="328"/>
      <c r="P109" s="328"/>
      <c r="Q109" s="329"/>
      <c r="R109" s="316" t="s">
        <v>14</v>
      </c>
    </row>
    <row r="110" spans="1:19">
      <c r="A110" s="288" t="str">
        <f t="shared" si="2"/>
        <v>MTC-MT-20260093</v>
      </c>
      <c r="B110" s="162" t="s">
        <v>340</v>
      </c>
      <c r="C110" s="325" t="s">
        <v>150</v>
      </c>
      <c r="D110" s="16"/>
      <c r="E110" s="162" t="s">
        <v>60</v>
      </c>
      <c r="F110" s="162" t="s">
        <v>341</v>
      </c>
      <c r="G110" s="316" t="s">
        <v>152</v>
      </c>
      <c r="H110" s="162"/>
      <c r="I110" s="316" t="s">
        <v>185</v>
      </c>
      <c r="J110" s="316" t="s">
        <v>155</v>
      </c>
      <c r="K110" s="16" t="s">
        <v>156</v>
      </c>
      <c r="L110" s="15" t="s">
        <v>85</v>
      </c>
      <c r="M110" s="318"/>
      <c r="N110" s="287"/>
      <c r="O110" s="291"/>
      <c r="P110" s="291"/>
      <c r="Q110" s="292"/>
      <c r="R110" s="16" t="s">
        <v>14</v>
      </c>
    </row>
    <row r="111" spans="1:19" hidden="1">
      <c r="A111" s="288" t="str">
        <f t="shared" si="2"/>
        <v>MTC-MT-20260094</v>
      </c>
      <c r="B111" s="330" t="s">
        <v>342</v>
      </c>
      <c r="C111" s="331" t="s">
        <v>150</v>
      </c>
      <c r="D111" s="332" t="s">
        <v>279</v>
      </c>
      <c r="E111" s="162"/>
      <c r="F111" s="162"/>
      <c r="G111" s="316" t="s">
        <v>152</v>
      </c>
      <c r="H111" s="162"/>
      <c r="I111" s="316"/>
      <c r="J111" s="16"/>
      <c r="K111" s="16"/>
      <c r="L111" s="170" t="s">
        <v>172</v>
      </c>
      <c r="M111" s="322">
        <v>46145</v>
      </c>
      <c r="N111" s="287" t="s">
        <v>191</v>
      </c>
      <c r="O111" s="291"/>
      <c r="P111" s="291"/>
      <c r="Q111" s="292"/>
      <c r="R111" s="16" t="s">
        <v>13</v>
      </c>
      <c r="S111" s="104">
        <v>1</v>
      </c>
    </row>
    <row r="112" spans="1:19" hidden="1">
      <c r="A112" s="288" t="str">
        <f t="shared" si="2"/>
        <v>MTC-MT-20260095</v>
      </c>
      <c r="B112" s="330" t="s">
        <v>343</v>
      </c>
      <c r="C112" s="331" t="s">
        <v>150</v>
      </c>
      <c r="D112" s="332" t="s">
        <v>279</v>
      </c>
      <c r="E112" s="162"/>
      <c r="F112" s="162"/>
      <c r="G112" s="316" t="s">
        <v>152</v>
      </c>
      <c r="H112" s="162"/>
      <c r="I112" s="316"/>
      <c r="J112" s="16"/>
      <c r="K112" s="16"/>
      <c r="L112" s="170" t="s">
        <v>172</v>
      </c>
      <c r="M112" s="322">
        <v>46145</v>
      </c>
      <c r="N112" s="287" t="s">
        <v>191</v>
      </c>
      <c r="O112" s="291"/>
      <c r="P112" s="291"/>
      <c r="Q112" s="292"/>
      <c r="R112" s="16" t="s">
        <v>13</v>
      </c>
      <c r="S112" s="104">
        <v>1</v>
      </c>
    </row>
    <row r="113" spans="1:19" hidden="1">
      <c r="A113" s="288" t="str">
        <f t="shared" si="2"/>
        <v>MTC-MT-20260096</v>
      </c>
      <c r="B113" s="330" t="s">
        <v>344</v>
      </c>
      <c r="C113" s="331" t="s">
        <v>165</v>
      </c>
      <c r="D113" s="332" t="s">
        <v>279</v>
      </c>
      <c r="E113" s="162"/>
      <c r="F113" s="162"/>
      <c r="G113" s="316" t="s">
        <v>152</v>
      </c>
      <c r="H113" s="162"/>
      <c r="I113" s="316"/>
      <c r="J113" s="16"/>
      <c r="K113" s="16"/>
      <c r="L113" s="170" t="s">
        <v>172</v>
      </c>
      <c r="M113" s="322">
        <v>46145</v>
      </c>
      <c r="N113" s="287" t="s">
        <v>191</v>
      </c>
      <c r="O113" s="291"/>
      <c r="P113" s="291"/>
      <c r="Q113" s="292"/>
      <c r="R113" s="16" t="s">
        <v>13</v>
      </c>
      <c r="S113" s="104">
        <v>1</v>
      </c>
    </row>
    <row r="114" spans="1:19" s="270" customFormat="1" ht="14.85" hidden="1" customHeight="1">
      <c r="A114" s="288" t="str">
        <f t="shared" si="2"/>
        <v>MTC-MT-20260097</v>
      </c>
      <c r="B114" s="170" t="s">
        <v>345</v>
      </c>
      <c r="C114" s="15" t="s">
        <v>158</v>
      </c>
      <c r="D114" s="15"/>
      <c r="E114" s="170" t="s">
        <v>66</v>
      </c>
      <c r="F114" s="170" t="s">
        <v>346</v>
      </c>
      <c r="G114" s="325" t="s">
        <v>152</v>
      </c>
      <c r="H114" s="170"/>
      <c r="I114" s="325" t="s">
        <v>185</v>
      </c>
      <c r="J114" s="15" t="s">
        <v>155</v>
      </c>
      <c r="K114" s="15" t="s">
        <v>162</v>
      </c>
      <c r="L114" s="170" t="s">
        <v>172</v>
      </c>
      <c r="M114" s="322">
        <v>46166</v>
      </c>
      <c r="N114" s="298" t="s">
        <v>317</v>
      </c>
      <c r="O114" s="299">
        <v>5</v>
      </c>
      <c r="P114" s="299">
        <v>0</v>
      </c>
      <c r="Q114" s="413" t="s">
        <v>347</v>
      </c>
      <c r="R114" s="15" t="s">
        <v>13</v>
      </c>
      <c r="S114" s="107">
        <v>4</v>
      </c>
    </row>
    <row r="115" spans="1:19" hidden="1">
      <c r="A115" s="288" t="str">
        <f t="shared" si="2"/>
        <v>MTC-MT-20260098</v>
      </c>
      <c r="B115" s="162" t="s">
        <v>348</v>
      </c>
      <c r="C115" s="15" t="s">
        <v>158</v>
      </c>
      <c r="D115" s="16"/>
      <c r="E115" s="162" t="s">
        <v>66</v>
      </c>
      <c r="F115" s="162" t="s">
        <v>346</v>
      </c>
      <c r="G115" s="316" t="s">
        <v>152</v>
      </c>
      <c r="H115" s="162"/>
      <c r="I115" s="316" t="s">
        <v>154</v>
      </c>
      <c r="J115" s="16" t="s">
        <v>155</v>
      </c>
      <c r="K115" s="16" t="s">
        <v>162</v>
      </c>
      <c r="L115" s="170" t="s">
        <v>172</v>
      </c>
      <c r="M115" s="322">
        <v>46186</v>
      </c>
      <c r="N115" s="287" t="s">
        <v>191</v>
      </c>
      <c r="O115" s="291">
        <v>5</v>
      </c>
      <c r="P115" s="291">
        <v>0</v>
      </c>
      <c r="Q115" s="292"/>
      <c r="R115" s="16" t="s">
        <v>14</v>
      </c>
      <c r="S115" s="104">
        <v>2</v>
      </c>
    </row>
    <row r="116" spans="1:19" s="270" customFormat="1" ht="14.85" hidden="1" customHeight="1">
      <c r="A116" s="288" t="str">
        <f t="shared" si="2"/>
        <v>MTC-MT-20260099</v>
      </c>
      <c r="B116" s="170" t="s">
        <v>349</v>
      </c>
      <c r="C116" s="15" t="s">
        <v>158</v>
      </c>
      <c r="D116" s="15"/>
      <c r="E116" s="170" t="s">
        <v>66</v>
      </c>
      <c r="F116" s="170" t="s">
        <v>346</v>
      </c>
      <c r="G116" s="325" t="s">
        <v>152</v>
      </c>
      <c r="H116" s="170"/>
      <c r="I116" s="325" t="s">
        <v>185</v>
      </c>
      <c r="J116" s="15" t="s">
        <v>155</v>
      </c>
      <c r="K116" s="15" t="s">
        <v>162</v>
      </c>
      <c r="L116" s="170" t="s">
        <v>172</v>
      </c>
      <c r="M116" s="322">
        <v>46166</v>
      </c>
      <c r="N116" s="298" t="s">
        <v>317</v>
      </c>
      <c r="O116" s="299">
        <v>12</v>
      </c>
      <c r="P116" s="299">
        <v>0</v>
      </c>
      <c r="Q116" s="413" t="s">
        <v>350</v>
      </c>
      <c r="R116" s="15" t="s">
        <v>13</v>
      </c>
      <c r="S116" s="107">
        <v>4</v>
      </c>
    </row>
    <row r="117" spans="1:19" ht="19.2" hidden="1" customHeight="1">
      <c r="A117" s="288" t="str">
        <f t="shared" si="2"/>
        <v>MTC-MT-20260100</v>
      </c>
      <c r="B117" s="162" t="s">
        <v>351</v>
      </c>
      <c r="C117" s="15" t="s">
        <v>352</v>
      </c>
      <c r="D117" s="16"/>
      <c r="E117" s="162" t="s">
        <v>66</v>
      </c>
      <c r="F117" s="162" t="s">
        <v>353</v>
      </c>
      <c r="G117" s="16" t="s">
        <v>152</v>
      </c>
      <c r="H117" s="162"/>
      <c r="I117" s="16" t="s">
        <v>185</v>
      </c>
      <c r="J117" s="16" t="s">
        <v>155</v>
      </c>
      <c r="K117" s="16" t="s">
        <v>162</v>
      </c>
      <c r="L117" s="170" t="s">
        <v>172</v>
      </c>
      <c r="M117" s="322">
        <v>46157</v>
      </c>
      <c r="N117" s="287" t="s">
        <v>191</v>
      </c>
      <c r="O117" s="291">
        <v>15</v>
      </c>
      <c r="P117" s="291">
        <v>0</v>
      </c>
      <c r="Q117" s="334" t="s">
        <v>354</v>
      </c>
      <c r="R117" s="16" t="s">
        <v>13</v>
      </c>
      <c r="S117" s="104">
        <v>3</v>
      </c>
    </row>
    <row r="118" spans="1:19" s="270" customFormat="1" ht="18.600000000000001" hidden="1" customHeight="1">
      <c r="A118" s="288" t="str">
        <f t="shared" si="2"/>
        <v>MTC-MT-20260101</v>
      </c>
      <c r="B118" s="170" t="s">
        <v>355</v>
      </c>
      <c r="C118" s="15" t="s">
        <v>352</v>
      </c>
      <c r="D118" s="15"/>
      <c r="E118" s="170" t="s">
        <v>66</v>
      </c>
      <c r="F118" s="170" t="s">
        <v>352</v>
      </c>
      <c r="G118" s="325" t="s">
        <v>152</v>
      </c>
      <c r="H118" s="170"/>
      <c r="I118" s="325" t="s">
        <v>185</v>
      </c>
      <c r="J118" s="15" t="s">
        <v>155</v>
      </c>
      <c r="K118" s="15" t="s">
        <v>162</v>
      </c>
      <c r="L118" s="170" t="s">
        <v>172</v>
      </c>
      <c r="M118" s="322">
        <v>46157</v>
      </c>
      <c r="N118" s="298" t="s">
        <v>191</v>
      </c>
      <c r="O118" s="299">
        <v>3</v>
      </c>
      <c r="P118" s="299">
        <v>0</v>
      </c>
      <c r="Q118" s="413" t="s">
        <v>356</v>
      </c>
      <c r="R118" s="15" t="s">
        <v>13</v>
      </c>
      <c r="S118" s="107">
        <v>3</v>
      </c>
    </row>
    <row r="119" spans="1:19" hidden="1">
      <c r="A119" s="288" t="str">
        <f t="shared" si="2"/>
        <v>MTC-MT-20260102</v>
      </c>
      <c r="B119" s="162" t="s">
        <v>357</v>
      </c>
      <c r="C119" s="15" t="s">
        <v>233</v>
      </c>
      <c r="D119" s="16"/>
      <c r="E119" s="162" t="s">
        <v>66</v>
      </c>
      <c r="F119" s="162" t="s">
        <v>352</v>
      </c>
      <c r="G119" s="316" t="s">
        <v>152</v>
      </c>
      <c r="H119" s="162"/>
      <c r="I119" s="316" t="s">
        <v>185</v>
      </c>
      <c r="J119" s="16" t="s">
        <v>155</v>
      </c>
      <c r="K119" s="16" t="s">
        <v>162</v>
      </c>
      <c r="L119" s="170" t="s">
        <v>172</v>
      </c>
      <c r="M119" s="335">
        <v>244484</v>
      </c>
      <c r="N119" s="287" t="s">
        <v>191</v>
      </c>
      <c r="O119" s="291"/>
      <c r="P119" s="291"/>
      <c r="Q119" s="292"/>
      <c r="R119" s="16" t="s">
        <v>13</v>
      </c>
      <c r="S119" s="104">
        <v>2</v>
      </c>
    </row>
    <row r="120" spans="1:19" hidden="1">
      <c r="A120" s="288" t="str">
        <f t="shared" si="2"/>
        <v>MTC-MT-20260103</v>
      </c>
      <c r="B120" s="162" t="s">
        <v>358</v>
      </c>
      <c r="C120" s="15" t="s">
        <v>233</v>
      </c>
      <c r="D120" s="16"/>
      <c r="E120" s="162" t="s">
        <v>66</v>
      </c>
      <c r="F120" s="162" t="s">
        <v>352</v>
      </c>
      <c r="G120" s="316" t="s">
        <v>152</v>
      </c>
      <c r="H120" s="162"/>
      <c r="I120" s="316" t="s">
        <v>185</v>
      </c>
      <c r="J120" s="16" t="s">
        <v>155</v>
      </c>
      <c r="K120" s="16" t="s">
        <v>162</v>
      </c>
      <c r="L120" s="170" t="s">
        <v>172</v>
      </c>
      <c r="M120" s="318">
        <v>46192</v>
      </c>
      <c r="N120" s="287" t="s">
        <v>317</v>
      </c>
      <c r="O120" s="291">
        <v>15</v>
      </c>
      <c r="P120" s="291">
        <v>0</v>
      </c>
      <c r="Q120" s="292"/>
      <c r="R120" s="16" t="s">
        <v>14</v>
      </c>
      <c r="S120" s="104">
        <v>3</v>
      </c>
    </row>
    <row r="121" spans="1:19" hidden="1">
      <c r="A121" s="288" t="str">
        <f t="shared" si="2"/>
        <v>MTC-MT-20260104</v>
      </c>
      <c r="B121" s="162" t="s">
        <v>359</v>
      </c>
      <c r="C121" s="15" t="s">
        <v>233</v>
      </c>
      <c r="D121" s="16"/>
      <c r="E121" s="162" t="s">
        <v>66</v>
      </c>
      <c r="F121" s="162" t="s">
        <v>352</v>
      </c>
      <c r="G121" s="316" t="s">
        <v>152</v>
      </c>
      <c r="H121" s="162"/>
      <c r="I121" s="316" t="s">
        <v>185</v>
      </c>
      <c r="J121" s="16" t="s">
        <v>155</v>
      </c>
      <c r="K121" s="16" t="s">
        <v>162</v>
      </c>
      <c r="L121" s="170" t="s">
        <v>172</v>
      </c>
      <c r="M121" s="335">
        <v>244484</v>
      </c>
      <c r="N121" s="287" t="s">
        <v>191</v>
      </c>
      <c r="O121" s="291"/>
      <c r="P121" s="291"/>
      <c r="Q121" s="292"/>
      <c r="R121" s="16" t="s">
        <v>13</v>
      </c>
      <c r="S121" s="104">
        <v>2</v>
      </c>
    </row>
    <row r="122" spans="1:19" hidden="1">
      <c r="A122" s="288" t="str">
        <f t="shared" si="2"/>
        <v>MTC-MT-20260105</v>
      </c>
      <c r="B122" s="162" t="s">
        <v>360</v>
      </c>
      <c r="C122" s="15" t="s">
        <v>233</v>
      </c>
      <c r="D122" s="16"/>
      <c r="E122" s="162" t="s">
        <v>66</v>
      </c>
      <c r="F122" s="162" t="s">
        <v>352</v>
      </c>
      <c r="G122" s="316" t="s">
        <v>152</v>
      </c>
      <c r="H122" s="162"/>
      <c r="I122" s="316" t="s">
        <v>185</v>
      </c>
      <c r="J122" s="16" t="s">
        <v>155</v>
      </c>
      <c r="K122" s="16" t="s">
        <v>162</v>
      </c>
      <c r="L122" s="170" t="s">
        <v>172</v>
      </c>
      <c r="M122" s="318">
        <v>46192</v>
      </c>
      <c r="N122" s="287" t="s">
        <v>317</v>
      </c>
      <c r="O122" s="291">
        <v>0</v>
      </c>
      <c r="P122" s="291">
        <v>0</v>
      </c>
      <c r="Q122" s="292"/>
      <c r="R122" s="16" t="s">
        <v>14</v>
      </c>
      <c r="S122" s="104">
        <v>3</v>
      </c>
    </row>
    <row r="123" spans="1:19" s="270" customFormat="1" ht="16.8" hidden="1" customHeight="1">
      <c r="A123" s="288" t="str">
        <f t="shared" si="2"/>
        <v>MTC-MT-20260106</v>
      </c>
      <c r="B123" s="170" t="s">
        <v>361</v>
      </c>
      <c r="C123" s="15" t="s">
        <v>244</v>
      </c>
      <c r="D123" s="15"/>
      <c r="E123" s="170" t="s">
        <v>66</v>
      </c>
      <c r="F123" s="170" t="s">
        <v>362</v>
      </c>
      <c r="G123" s="325" t="s">
        <v>152</v>
      </c>
      <c r="H123" s="170"/>
      <c r="I123" s="325" t="s">
        <v>185</v>
      </c>
      <c r="J123" s="15" t="s">
        <v>155</v>
      </c>
      <c r="K123" s="15" t="s">
        <v>162</v>
      </c>
      <c r="L123" s="170" t="s">
        <v>172</v>
      </c>
      <c r="M123" s="322">
        <v>46166</v>
      </c>
      <c r="N123" s="298" t="s">
        <v>317</v>
      </c>
      <c r="O123" s="299">
        <v>7</v>
      </c>
      <c r="P123" s="299">
        <v>0</v>
      </c>
      <c r="Q123" s="413" t="s">
        <v>363</v>
      </c>
      <c r="R123" s="15" t="s">
        <v>13</v>
      </c>
      <c r="S123" s="107">
        <v>4</v>
      </c>
    </row>
    <row r="124" spans="1:19" ht="14.85" hidden="1" customHeight="1">
      <c r="A124" s="288" t="str">
        <f t="shared" si="2"/>
        <v>MTC-MT-20260107</v>
      </c>
      <c r="B124" s="162" t="s">
        <v>364</v>
      </c>
      <c r="C124" s="15" t="s">
        <v>244</v>
      </c>
      <c r="D124" s="16"/>
      <c r="E124" s="162" t="s">
        <v>66</v>
      </c>
      <c r="F124" s="162" t="s">
        <v>362</v>
      </c>
      <c r="G124" s="316" t="s">
        <v>152</v>
      </c>
      <c r="H124" s="162"/>
      <c r="I124" s="316" t="s">
        <v>185</v>
      </c>
      <c r="J124" s="16" t="s">
        <v>155</v>
      </c>
      <c r="K124" s="16" t="s">
        <v>162</v>
      </c>
      <c r="L124" s="170" t="s">
        <v>172</v>
      </c>
      <c r="M124" s="322">
        <v>46166</v>
      </c>
      <c r="N124" s="298" t="s">
        <v>317</v>
      </c>
      <c r="O124" s="291">
        <v>4</v>
      </c>
      <c r="P124" s="291">
        <v>0</v>
      </c>
      <c r="Q124" s="414" t="s">
        <v>365</v>
      </c>
      <c r="R124" s="16" t="s">
        <v>13</v>
      </c>
      <c r="S124" s="104">
        <v>4</v>
      </c>
    </row>
    <row r="125" spans="1:19" s="270" customFormat="1" ht="14.85" hidden="1" customHeight="1">
      <c r="A125" s="288" t="str">
        <f t="shared" si="2"/>
        <v>MTC-MT-20260108</v>
      </c>
      <c r="B125" s="170" t="s">
        <v>366</v>
      </c>
      <c r="C125" s="15" t="s">
        <v>244</v>
      </c>
      <c r="D125" s="15"/>
      <c r="E125" s="170" t="s">
        <v>66</v>
      </c>
      <c r="F125" s="170" t="s">
        <v>362</v>
      </c>
      <c r="G125" s="325" t="s">
        <v>152</v>
      </c>
      <c r="H125" s="170"/>
      <c r="I125" s="325" t="s">
        <v>185</v>
      </c>
      <c r="J125" s="15" t="s">
        <v>155</v>
      </c>
      <c r="K125" s="15" t="s">
        <v>162</v>
      </c>
      <c r="L125" s="170" t="s">
        <v>172</v>
      </c>
      <c r="M125" s="322">
        <v>46166</v>
      </c>
      <c r="N125" s="298" t="s">
        <v>317</v>
      </c>
      <c r="O125" s="299">
        <v>4</v>
      </c>
      <c r="P125" s="299">
        <v>0</v>
      </c>
      <c r="Q125" s="413" t="s">
        <v>347</v>
      </c>
      <c r="R125" s="15" t="s">
        <v>13</v>
      </c>
      <c r="S125" s="107">
        <v>4</v>
      </c>
    </row>
    <row r="126" spans="1:19" s="270" customFormat="1" ht="15.6" hidden="1" customHeight="1">
      <c r="A126" s="288" t="str">
        <f t="shared" si="2"/>
        <v>MTC-MT-20260109</v>
      </c>
      <c r="B126" s="170" t="s">
        <v>367</v>
      </c>
      <c r="C126" s="15" t="s">
        <v>244</v>
      </c>
      <c r="D126" s="15"/>
      <c r="E126" s="170" t="s">
        <v>66</v>
      </c>
      <c r="F126" s="170" t="s">
        <v>362</v>
      </c>
      <c r="G126" s="325" t="s">
        <v>152</v>
      </c>
      <c r="H126" s="170"/>
      <c r="I126" s="325" t="s">
        <v>185</v>
      </c>
      <c r="J126" s="15" t="s">
        <v>155</v>
      </c>
      <c r="K126" s="15" t="s">
        <v>162</v>
      </c>
      <c r="L126" s="170" t="s">
        <v>172</v>
      </c>
      <c r="M126" s="336">
        <v>46179</v>
      </c>
      <c r="N126" s="298" t="s">
        <v>317</v>
      </c>
      <c r="O126" s="299">
        <v>15</v>
      </c>
      <c r="P126" s="299">
        <v>0</v>
      </c>
      <c r="Q126" s="413" t="s">
        <v>368</v>
      </c>
      <c r="R126" s="15" t="s">
        <v>14</v>
      </c>
      <c r="S126" s="107">
        <v>1</v>
      </c>
    </row>
    <row r="127" spans="1:19" s="270" customFormat="1" ht="17.399999999999999" hidden="1" customHeight="1">
      <c r="A127" s="288" t="str">
        <f t="shared" si="2"/>
        <v>MTC-MT-20260110</v>
      </c>
      <c r="B127" s="170" t="s">
        <v>369</v>
      </c>
      <c r="C127" s="15" t="s">
        <v>244</v>
      </c>
      <c r="D127" s="15"/>
      <c r="E127" s="170" t="s">
        <v>66</v>
      </c>
      <c r="F127" s="170" t="s">
        <v>362</v>
      </c>
      <c r="G127" s="325" t="s">
        <v>152</v>
      </c>
      <c r="H127" s="170"/>
      <c r="I127" s="325" t="s">
        <v>185</v>
      </c>
      <c r="J127" s="15" t="s">
        <v>155</v>
      </c>
      <c r="K127" s="15" t="s">
        <v>162</v>
      </c>
      <c r="L127" s="170" t="s">
        <v>172</v>
      </c>
      <c r="M127" s="336">
        <v>46179</v>
      </c>
      <c r="N127" s="298" t="s">
        <v>317</v>
      </c>
      <c r="O127" s="299">
        <v>10</v>
      </c>
      <c r="P127" s="299">
        <v>0</v>
      </c>
      <c r="Q127" s="413" t="s">
        <v>370</v>
      </c>
      <c r="R127" s="15" t="s">
        <v>14</v>
      </c>
      <c r="S127" s="107">
        <v>1</v>
      </c>
    </row>
    <row r="128" spans="1:19" s="270" customFormat="1" ht="14.4" hidden="1" customHeight="1">
      <c r="A128" s="288" t="str">
        <f t="shared" si="2"/>
        <v>MTC-MT-20260111</v>
      </c>
      <c r="B128" s="170" t="s">
        <v>371</v>
      </c>
      <c r="C128" s="15" t="s">
        <v>244</v>
      </c>
      <c r="D128" s="15"/>
      <c r="E128" s="170" t="s">
        <v>66</v>
      </c>
      <c r="F128" s="170" t="s">
        <v>362</v>
      </c>
      <c r="G128" s="325" t="s">
        <v>152</v>
      </c>
      <c r="H128" s="170"/>
      <c r="I128" s="325" t="s">
        <v>185</v>
      </c>
      <c r="J128" s="15" t="s">
        <v>155</v>
      </c>
      <c r="K128" s="15" t="s">
        <v>162</v>
      </c>
      <c r="L128" s="170" t="s">
        <v>172</v>
      </c>
      <c r="M128" s="336">
        <v>46179</v>
      </c>
      <c r="N128" s="298" t="s">
        <v>317</v>
      </c>
      <c r="O128" s="299">
        <v>15</v>
      </c>
      <c r="P128" s="299">
        <v>0</v>
      </c>
      <c r="Q128" s="413" t="s">
        <v>370</v>
      </c>
      <c r="R128" s="15" t="s">
        <v>14</v>
      </c>
      <c r="S128" s="107">
        <v>1</v>
      </c>
    </row>
    <row r="129" spans="1:19" s="270" customFormat="1" ht="16.8" hidden="1" customHeight="1">
      <c r="A129" s="288" t="str">
        <f t="shared" si="2"/>
        <v>MTC-MT-20260112</v>
      </c>
      <c r="B129" s="170" t="s">
        <v>372</v>
      </c>
      <c r="C129" s="15" t="s">
        <v>204</v>
      </c>
      <c r="D129" s="15"/>
      <c r="E129" s="170" t="s">
        <v>66</v>
      </c>
      <c r="F129" s="170" t="s">
        <v>373</v>
      </c>
      <c r="G129" s="325" t="s">
        <v>152</v>
      </c>
      <c r="H129" s="170"/>
      <c r="I129" s="325" t="s">
        <v>185</v>
      </c>
      <c r="J129" s="15" t="s">
        <v>155</v>
      </c>
      <c r="K129" s="15" t="s">
        <v>162</v>
      </c>
      <c r="L129" s="170" t="s">
        <v>172</v>
      </c>
      <c r="M129" s="336">
        <v>46179</v>
      </c>
      <c r="N129" s="298" t="s">
        <v>317</v>
      </c>
      <c r="O129" s="299">
        <v>10</v>
      </c>
      <c r="P129" s="299">
        <v>0</v>
      </c>
      <c r="Q129" s="413" t="s">
        <v>374</v>
      </c>
      <c r="R129" s="15" t="s">
        <v>14</v>
      </c>
      <c r="S129" s="107">
        <v>1</v>
      </c>
    </row>
    <row r="130" spans="1:19" hidden="1">
      <c r="A130" s="288" t="str">
        <f t="shared" si="2"/>
        <v>MTC-MT-20260113</v>
      </c>
      <c r="B130" s="162" t="s">
        <v>375</v>
      </c>
      <c r="C130" s="15" t="s">
        <v>204</v>
      </c>
      <c r="D130" s="16"/>
      <c r="E130" s="162" t="s">
        <v>66</v>
      </c>
      <c r="F130" s="162" t="s">
        <v>373</v>
      </c>
      <c r="G130" s="316" t="s">
        <v>152</v>
      </c>
      <c r="H130" s="162"/>
      <c r="I130" s="316" t="s">
        <v>185</v>
      </c>
      <c r="J130" s="16" t="s">
        <v>155</v>
      </c>
      <c r="K130" s="16" t="s">
        <v>162</v>
      </c>
      <c r="L130" s="170" t="s">
        <v>172</v>
      </c>
      <c r="M130" s="318">
        <v>244513</v>
      </c>
      <c r="N130" s="287" t="s">
        <v>191</v>
      </c>
      <c r="O130" s="291"/>
      <c r="P130" s="291"/>
      <c r="Q130" s="292"/>
      <c r="R130" s="16" t="s">
        <v>14</v>
      </c>
      <c r="S130" s="104">
        <v>2</v>
      </c>
    </row>
    <row r="131" spans="1:19" hidden="1">
      <c r="A131" s="288" t="str">
        <f t="shared" si="2"/>
        <v>MTC-MT-20260114</v>
      </c>
      <c r="B131" s="162" t="s">
        <v>376</v>
      </c>
      <c r="C131" s="15" t="s">
        <v>204</v>
      </c>
      <c r="D131" s="16"/>
      <c r="E131" s="162" t="s">
        <v>66</v>
      </c>
      <c r="F131" s="162" t="s">
        <v>373</v>
      </c>
      <c r="G131" s="316" t="s">
        <v>152</v>
      </c>
      <c r="H131" s="162"/>
      <c r="I131" s="316" t="s">
        <v>185</v>
      </c>
      <c r="J131" s="16" t="s">
        <v>155</v>
      </c>
      <c r="K131" s="16" t="s">
        <v>162</v>
      </c>
      <c r="L131" s="170" t="s">
        <v>172</v>
      </c>
      <c r="M131" s="318">
        <v>244513</v>
      </c>
      <c r="N131" s="287" t="s">
        <v>191</v>
      </c>
      <c r="O131" s="291"/>
      <c r="P131" s="291"/>
      <c r="Q131" s="292"/>
      <c r="R131" s="16" t="s">
        <v>14</v>
      </c>
      <c r="S131" s="104">
        <v>2</v>
      </c>
    </row>
    <row r="132" spans="1:19" s="270" customFormat="1" ht="16.2" hidden="1" customHeight="1">
      <c r="A132" s="288" t="str">
        <f t="shared" si="2"/>
        <v>MTC-MT-20260115</v>
      </c>
      <c r="B132" s="170" t="s">
        <v>377</v>
      </c>
      <c r="C132" s="15" t="s">
        <v>204</v>
      </c>
      <c r="D132" s="15"/>
      <c r="E132" s="170" t="s">
        <v>66</v>
      </c>
      <c r="F132" s="170" t="s">
        <v>373</v>
      </c>
      <c r="G132" s="325" t="s">
        <v>152</v>
      </c>
      <c r="H132" s="170"/>
      <c r="I132" s="325" t="s">
        <v>185</v>
      </c>
      <c r="J132" s="15" t="s">
        <v>155</v>
      </c>
      <c r="K132" s="15" t="s">
        <v>162</v>
      </c>
      <c r="L132" s="170" t="s">
        <v>172</v>
      </c>
      <c r="M132" s="336">
        <v>46179</v>
      </c>
      <c r="N132" s="298" t="s">
        <v>317</v>
      </c>
      <c r="O132" s="299">
        <v>15</v>
      </c>
      <c r="P132" s="299">
        <v>0</v>
      </c>
      <c r="Q132" s="413" t="s">
        <v>378</v>
      </c>
      <c r="R132" s="15" t="s">
        <v>14</v>
      </c>
      <c r="S132" s="107">
        <v>1</v>
      </c>
    </row>
    <row r="133" spans="1:19" s="270" customFormat="1" ht="17.399999999999999" hidden="1" customHeight="1">
      <c r="A133" s="288" t="str">
        <f t="shared" si="2"/>
        <v>MTC-MT-20260116</v>
      </c>
      <c r="B133" s="170" t="s">
        <v>379</v>
      </c>
      <c r="C133" s="15" t="s">
        <v>204</v>
      </c>
      <c r="D133" s="15"/>
      <c r="E133" s="170" t="s">
        <v>66</v>
      </c>
      <c r="F133" s="170" t="s">
        <v>373</v>
      </c>
      <c r="G133" s="325" t="s">
        <v>152</v>
      </c>
      <c r="H133" s="170"/>
      <c r="I133" s="325" t="s">
        <v>185</v>
      </c>
      <c r="J133" s="15" t="s">
        <v>155</v>
      </c>
      <c r="K133" s="15" t="s">
        <v>162</v>
      </c>
      <c r="L133" s="170" t="s">
        <v>172</v>
      </c>
      <c r="M133" s="336">
        <v>46179</v>
      </c>
      <c r="N133" s="298" t="s">
        <v>317</v>
      </c>
      <c r="O133" s="299">
        <v>10</v>
      </c>
      <c r="P133" s="299">
        <v>0</v>
      </c>
      <c r="Q133" s="413" t="s">
        <v>380</v>
      </c>
      <c r="R133" s="15" t="s">
        <v>14</v>
      </c>
      <c r="S133" s="107">
        <v>1</v>
      </c>
    </row>
    <row r="134" spans="1:19" hidden="1">
      <c r="A134" s="288" t="str">
        <f t="shared" si="1"/>
        <v>MTC-MT-20260116</v>
      </c>
      <c r="B134" s="162" t="s">
        <v>381</v>
      </c>
      <c r="C134" s="15" t="s">
        <v>247</v>
      </c>
      <c r="D134" s="16"/>
      <c r="E134" s="162" t="s">
        <v>66</v>
      </c>
      <c r="F134" s="162" t="s">
        <v>382</v>
      </c>
      <c r="G134" s="316" t="s">
        <v>152</v>
      </c>
      <c r="H134" s="162"/>
      <c r="I134" s="316" t="s">
        <v>185</v>
      </c>
      <c r="J134" s="16" t="s">
        <v>155</v>
      </c>
      <c r="K134" s="16" t="s">
        <v>162</v>
      </c>
      <c r="L134" s="170" t="s">
        <v>172</v>
      </c>
      <c r="M134" s="318">
        <v>46176</v>
      </c>
      <c r="N134" s="287" t="s">
        <v>317</v>
      </c>
      <c r="O134" s="291"/>
      <c r="P134" s="291"/>
      <c r="Q134" s="292"/>
      <c r="R134" s="16" t="s">
        <v>14</v>
      </c>
      <c r="S134" s="104">
        <v>1</v>
      </c>
    </row>
    <row r="135" spans="1:19" hidden="1">
      <c r="A135" s="288" t="str">
        <f t="shared" si="1"/>
        <v>MTC-MT-20260117</v>
      </c>
      <c r="B135" s="162" t="s">
        <v>383</v>
      </c>
      <c r="C135" s="15" t="s">
        <v>247</v>
      </c>
      <c r="D135" s="16"/>
      <c r="E135" s="162" t="s">
        <v>66</v>
      </c>
      <c r="F135" s="162" t="s">
        <v>382</v>
      </c>
      <c r="G135" s="316" t="s">
        <v>152</v>
      </c>
      <c r="H135" s="162"/>
      <c r="I135" s="316" t="s">
        <v>185</v>
      </c>
      <c r="J135" s="16" t="s">
        <v>155</v>
      </c>
      <c r="K135" s="16" t="s">
        <v>162</v>
      </c>
      <c r="L135" s="170" t="s">
        <v>172</v>
      </c>
      <c r="M135" s="318">
        <v>46176</v>
      </c>
      <c r="N135" s="287" t="s">
        <v>317</v>
      </c>
      <c r="O135" s="291"/>
      <c r="P135" s="291"/>
      <c r="Q135" s="292"/>
      <c r="R135" s="16" t="s">
        <v>14</v>
      </c>
      <c r="S135" s="104">
        <v>1</v>
      </c>
    </row>
    <row r="136" spans="1:19" hidden="1">
      <c r="A136" s="288" t="str">
        <f t="shared" si="1"/>
        <v>MTC-MT-20260118</v>
      </c>
      <c r="B136" s="162" t="s">
        <v>384</v>
      </c>
      <c r="C136" s="15" t="s">
        <v>247</v>
      </c>
      <c r="D136" s="16"/>
      <c r="E136" s="162" t="s">
        <v>66</v>
      </c>
      <c r="F136" s="162" t="s">
        <v>382</v>
      </c>
      <c r="G136" s="316" t="s">
        <v>152</v>
      </c>
      <c r="H136" s="162"/>
      <c r="I136" s="316" t="s">
        <v>185</v>
      </c>
      <c r="J136" s="16" t="s">
        <v>155</v>
      </c>
      <c r="K136" s="16" t="s">
        <v>162</v>
      </c>
      <c r="L136" s="170" t="s">
        <v>172</v>
      </c>
      <c r="M136" s="318">
        <v>46176</v>
      </c>
      <c r="N136" s="287" t="s">
        <v>317</v>
      </c>
      <c r="O136" s="291"/>
      <c r="P136" s="291"/>
      <c r="Q136" s="292"/>
      <c r="R136" s="16" t="s">
        <v>14</v>
      </c>
      <c r="S136" s="104">
        <v>1</v>
      </c>
    </row>
    <row r="137" spans="1:19" hidden="1">
      <c r="A137" s="288" t="str">
        <f t="shared" si="1"/>
        <v>MTC-MT-20260119</v>
      </c>
      <c r="B137" s="162" t="s">
        <v>385</v>
      </c>
      <c r="C137" s="15" t="s">
        <v>247</v>
      </c>
      <c r="D137" s="16"/>
      <c r="E137" s="162" t="s">
        <v>66</v>
      </c>
      <c r="F137" s="162" t="s">
        <v>382</v>
      </c>
      <c r="G137" s="316" t="s">
        <v>152</v>
      </c>
      <c r="H137" s="162"/>
      <c r="I137" s="316" t="s">
        <v>185</v>
      </c>
      <c r="J137" s="16" t="s">
        <v>155</v>
      </c>
      <c r="K137" s="16" t="s">
        <v>162</v>
      </c>
      <c r="L137" s="170" t="s">
        <v>172</v>
      </c>
      <c r="M137" s="318">
        <v>46176</v>
      </c>
      <c r="N137" s="287" t="s">
        <v>317</v>
      </c>
      <c r="O137" s="291"/>
      <c r="P137" s="291"/>
      <c r="Q137" s="292"/>
      <c r="R137" s="16" t="s">
        <v>14</v>
      </c>
      <c r="S137" s="104">
        <v>1</v>
      </c>
    </row>
    <row r="138" spans="1:19" hidden="1">
      <c r="A138" s="288" t="str">
        <f t="shared" ref="A138:A175" si="3">"MTC-MT-2026"&amp;TEXT(ROW(A121),"0000")</f>
        <v>MTC-MT-20260121</v>
      </c>
      <c r="B138" s="162" t="s">
        <v>386</v>
      </c>
      <c r="C138" s="15" t="s">
        <v>247</v>
      </c>
      <c r="D138" s="16"/>
      <c r="E138" s="162" t="s">
        <v>66</v>
      </c>
      <c r="F138" s="162" t="s">
        <v>382</v>
      </c>
      <c r="G138" s="316" t="s">
        <v>152</v>
      </c>
      <c r="H138" s="162"/>
      <c r="I138" s="316" t="s">
        <v>185</v>
      </c>
      <c r="J138" s="16" t="s">
        <v>155</v>
      </c>
      <c r="K138" s="16" t="s">
        <v>162</v>
      </c>
      <c r="L138" s="170" t="s">
        <v>172</v>
      </c>
      <c r="M138" s="318">
        <v>46197</v>
      </c>
      <c r="N138" s="287" t="s">
        <v>191</v>
      </c>
      <c r="O138" s="291"/>
      <c r="P138" s="291"/>
      <c r="Q138" s="292"/>
      <c r="R138" s="16" t="s">
        <v>14</v>
      </c>
      <c r="S138" s="104">
        <v>4</v>
      </c>
    </row>
    <row r="139" spans="1:19">
      <c r="A139" s="288" t="str">
        <f t="shared" si="3"/>
        <v>MTC-MT-20260122</v>
      </c>
      <c r="B139" s="162" t="s">
        <v>387</v>
      </c>
      <c r="C139" s="15" t="s">
        <v>201</v>
      </c>
      <c r="D139" s="16"/>
      <c r="E139" s="162" t="s">
        <v>66</v>
      </c>
      <c r="F139" s="162" t="s">
        <v>388</v>
      </c>
      <c r="G139" s="316" t="s">
        <v>152</v>
      </c>
      <c r="H139" s="162"/>
      <c r="I139" s="316" t="s">
        <v>185</v>
      </c>
      <c r="J139" s="16" t="s">
        <v>155</v>
      </c>
      <c r="K139" s="16" t="s">
        <v>162</v>
      </c>
      <c r="L139" s="15" t="s">
        <v>85</v>
      </c>
      <c r="M139" s="318"/>
      <c r="N139" s="287" t="s">
        <v>191</v>
      </c>
      <c r="O139" s="291"/>
      <c r="P139" s="291"/>
      <c r="Q139" s="292"/>
      <c r="R139" s="16" t="s">
        <v>14</v>
      </c>
    </row>
    <row r="140" spans="1:19" hidden="1">
      <c r="A140" s="288" t="str">
        <f t="shared" si="3"/>
        <v>MTC-MT-20260123</v>
      </c>
      <c r="B140" s="162" t="s">
        <v>389</v>
      </c>
      <c r="C140" s="15" t="s">
        <v>201</v>
      </c>
      <c r="D140" s="16"/>
      <c r="E140" s="162" t="s">
        <v>66</v>
      </c>
      <c r="F140" s="162" t="s">
        <v>388</v>
      </c>
      <c r="G140" s="316" t="s">
        <v>152</v>
      </c>
      <c r="H140" s="162"/>
      <c r="I140" s="316" t="s">
        <v>185</v>
      </c>
      <c r="J140" s="16" t="s">
        <v>155</v>
      </c>
      <c r="K140" s="16" t="s">
        <v>162</v>
      </c>
      <c r="L140" s="170" t="s">
        <v>172</v>
      </c>
      <c r="M140" s="322">
        <v>46178</v>
      </c>
      <c r="N140" s="287" t="s">
        <v>317</v>
      </c>
      <c r="O140" s="291"/>
      <c r="P140" s="291">
        <v>0</v>
      </c>
      <c r="Q140" s="292"/>
      <c r="R140" s="16" t="s">
        <v>14</v>
      </c>
      <c r="S140" s="104">
        <v>1</v>
      </c>
    </row>
    <row r="141" spans="1:19" hidden="1">
      <c r="A141" s="288" t="str">
        <f t="shared" si="3"/>
        <v>MTC-MT-20260124</v>
      </c>
      <c r="B141" s="162" t="s">
        <v>390</v>
      </c>
      <c r="C141" s="15" t="s">
        <v>201</v>
      </c>
      <c r="D141" s="16"/>
      <c r="E141" s="162" t="s">
        <v>66</v>
      </c>
      <c r="F141" s="162" t="s">
        <v>388</v>
      </c>
      <c r="G141" s="316" t="s">
        <v>152</v>
      </c>
      <c r="H141" s="162"/>
      <c r="I141" s="316" t="s">
        <v>185</v>
      </c>
      <c r="J141" s="16" t="s">
        <v>155</v>
      </c>
      <c r="K141" s="16" t="s">
        <v>162</v>
      </c>
      <c r="L141" s="170" t="s">
        <v>172</v>
      </c>
      <c r="M141" s="318">
        <v>46197</v>
      </c>
      <c r="N141" s="287" t="s">
        <v>191</v>
      </c>
      <c r="O141" s="291"/>
      <c r="P141" s="291"/>
      <c r="Q141" s="292"/>
      <c r="R141" s="16" t="s">
        <v>14</v>
      </c>
      <c r="S141" s="104">
        <v>4</v>
      </c>
    </row>
    <row r="142" spans="1:19" hidden="1">
      <c r="A142" s="288" t="str">
        <f t="shared" si="3"/>
        <v>MTC-MT-20260125</v>
      </c>
      <c r="B142" s="162" t="s">
        <v>391</v>
      </c>
      <c r="C142" s="15" t="s">
        <v>201</v>
      </c>
      <c r="D142" s="16"/>
      <c r="E142" s="162" t="s">
        <v>66</v>
      </c>
      <c r="F142" s="162" t="s">
        <v>388</v>
      </c>
      <c r="G142" s="316" t="s">
        <v>152</v>
      </c>
      <c r="H142" s="162"/>
      <c r="I142" s="316" t="s">
        <v>185</v>
      </c>
      <c r="J142" s="16" t="s">
        <v>155</v>
      </c>
      <c r="K142" s="16" t="s">
        <v>162</v>
      </c>
      <c r="L142" s="170" t="s">
        <v>172</v>
      </c>
      <c r="M142" s="318">
        <v>46197</v>
      </c>
      <c r="N142" s="287" t="s">
        <v>191</v>
      </c>
      <c r="O142" s="291">
        <v>5</v>
      </c>
      <c r="P142" s="291">
        <v>0</v>
      </c>
      <c r="Q142" s="292"/>
      <c r="R142" s="16" t="s">
        <v>14</v>
      </c>
      <c r="S142" s="104">
        <v>4</v>
      </c>
    </row>
    <row r="143" spans="1:19" s="270" customFormat="1" ht="18.600000000000001" hidden="1" customHeight="1">
      <c r="A143" s="288" t="str">
        <f t="shared" si="3"/>
        <v>MTC-MT-20260126</v>
      </c>
      <c r="B143" s="170" t="s">
        <v>392</v>
      </c>
      <c r="C143" s="15" t="s">
        <v>201</v>
      </c>
      <c r="D143" s="15"/>
      <c r="E143" s="170" t="s">
        <v>66</v>
      </c>
      <c r="F143" s="170" t="s">
        <v>388</v>
      </c>
      <c r="G143" s="325" t="s">
        <v>152</v>
      </c>
      <c r="H143" s="170"/>
      <c r="I143" s="325" t="s">
        <v>185</v>
      </c>
      <c r="J143" s="15" t="s">
        <v>155</v>
      </c>
      <c r="K143" s="15" t="s">
        <v>162</v>
      </c>
      <c r="L143" s="170" t="s">
        <v>172</v>
      </c>
      <c r="M143" s="322">
        <v>46155</v>
      </c>
      <c r="N143" s="298" t="s">
        <v>191</v>
      </c>
      <c r="O143" s="299">
        <v>10</v>
      </c>
      <c r="P143" s="299">
        <v>0</v>
      </c>
      <c r="Q143" s="333" t="s">
        <v>393</v>
      </c>
      <c r="R143" s="15" t="s">
        <v>13</v>
      </c>
      <c r="S143" s="107">
        <v>2</v>
      </c>
    </row>
    <row r="144" spans="1:19" hidden="1">
      <c r="A144" s="288" t="str">
        <f t="shared" si="3"/>
        <v>MTC-MT-20260127</v>
      </c>
      <c r="B144" s="162" t="s">
        <v>394</v>
      </c>
      <c r="C144" s="15" t="s">
        <v>201</v>
      </c>
      <c r="D144" s="16"/>
      <c r="E144" s="162" t="s">
        <v>66</v>
      </c>
      <c r="F144" s="162" t="s">
        <v>388</v>
      </c>
      <c r="G144" s="316" t="s">
        <v>152</v>
      </c>
      <c r="H144" s="162"/>
      <c r="I144" s="316" t="s">
        <v>185</v>
      </c>
      <c r="J144" s="16" t="s">
        <v>155</v>
      </c>
      <c r="K144" s="16" t="s">
        <v>162</v>
      </c>
      <c r="L144" s="170" t="s">
        <v>172</v>
      </c>
      <c r="M144" s="336">
        <v>46155</v>
      </c>
      <c r="N144" s="287" t="s">
        <v>191</v>
      </c>
      <c r="O144" s="291">
        <v>10</v>
      </c>
      <c r="P144" s="291">
        <v>0</v>
      </c>
      <c r="Q144" s="292"/>
      <c r="R144" s="16" t="s">
        <v>13</v>
      </c>
      <c r="S144" s="104">
        <v>2</v>
      </c>
    </row>
    <row r="145" spans="1:19" hidden="1">
      <c r="A145" s="288" t="str">
        <f t="shared" si="3"/>
        <v>MTC-MT-20260128</v>
      </c>
      <c r="B145" s="162" t="s">
        <v>395</v>
      </c>
      <c r="C145" s="15" t="s">
        <v>201</v>
      </c>
      <c r="D145" s="16"/>
      <c r="E145" s="162" t="s">
        <v>66</v>
      </c>
      <c r="F145" s="162" t="s">
        <v>388</v>
      </c>
      <c r="G145" s="316" t="s">
        <v>152</v>
      </c>
      <c r="H145" s="162"/>
      <c r="I145" s="316" t="s">
        <v>185</v>
      </c>
      <c r="J145" s="16" t="s">
        <v>155</v>
      </c>
      <c r="K145" s="16" t="s">
        <v>162</v>
      </c>
      <c r="L145" s="170" t="s">
        <v>172</v>
      </c>
      <c r="M145" s="336">
        <v>46155</v>
      </c>
      <c r="N145" s="287" t="s">
        <v>191</v>
      </c>
      <c r="O145" s="291">
        <v>12</v>
      </c>
      <c r="P145" s="291">
        <v>0</v>
      </c>
      <c r="Q145" s="292"/>
      <c r="R145" s="16" t="s">
        <v>13</v>
      </c>
      <c r="S145" s="104">
        <v>2</v>
      </c>
    </row>
    <row r="146" spans="1:19" hidden="1">
      <c r="A146" s="288" t="str">
        <f t="shared" si="3"/>
        <v>MTC-MT-20260129</v>
      </c>
      <c r="B146" s="162" t="s">
        <v>396</v>
      </c>
      <c r="C146" s="15" t="s">
        <v>201</v>
      </c>
      <c r="D146" s="16"/>
      <c r="E146" s="162" t="s">
        <v>66</v>
      </c>
      <c r="F146" s="162" t="s">
        <v>388</v>
      </c>
      <c r="G146" s="316" t="s">
        <v>152</v>
      </c>
      <c r="H146" s="162"/>
      <c r="I146" s="316" t="s">
        <v>185</v>
      </c>
      <c r="J146" s="16" t="s">
        <v>155</v>
      </c>
      <c r="K146" s="16" t="s">
        <v>162</v>
      </c>
      <c r="L146" s="170" t="s">
        <v>172</v>
      </c>
      <c r="M146" s="336">
        <v>46155</v>
      </c>
      <c r="N146" s="287" t="s">
        <v>191</v>
      </c>
      <c r="O146" s="291">
        <v>12</v>
      </c>
      <c r="P146" s="291">
        <v>0</v>
      </c>
      <c r="Q146" s="292"/>
      <c r="R146" s="16" t="s">
        <v>13</v>
      </c>
      <c r="S146" s="104">
        <v>2</v>
      </c>
    </row>
    <row r="147" spans="1:19" hidden="1">
      <c r="A147" s="288" t="str">
        <f t="shared" si="3"/>
        <v>MTC-MT-20260130</v>
      </c>
      <c r="B147" s="162" t="s">
        <v>397</v>
      </c>
      <c r="C147" s="15" t="s">
        <v>222</v>
      </c>
      <c r="D147" s="16"/>
      <c r="E147" s="162" t="s">
        <v>66</v>
      </c>
      <c r="F147" s="162" t="s">
        <v>398</v>
      </c>
      <c r="G147" s="316" t="s">
        <v>152</v>
      </c>
      <c r="H147" s="162"/>
      <c r="I147" s="316" t="s">
        <v>185</v>
      </c>
      <c r="J147" s="16" t="s">
        <v>155</v>
      </c>
      <c r="K147" s="16" t="s">
        <v>162</v>
      </c>
      <c r="L147" s="170" t="s">
        <v>172</v>
      </c>
      <c r="M147" s="336">
        <v>46155</v>
      </c>
      <c r="N147" s="287" t="s">
        <v>191</v>
      </c>
      <c r="O147" s="291"/>
      <c r="P147" s="291"/>
      <c r="Q147" s="292"/>
      <c r="R147" s="16" t="s">
        <v>13</v>
      </c>
      <c r="S147" s="104">
        <v>2</v>
      </c>
    </row>
    <row r="148" spans="1:19" hidden="1">
      <c r="A148" s="288" t="str">
        <f t="shared" si="3"/>
        <v>MTC-MT-20260131</v>
      </c>
      <c r="B148" s="162" t="s">
        <v>399</v>
      </c>
      <c r="C148" s="15" t="s">
        <v>222</v>
      </c>
      <c r="D148" s="16"/>
      <c r="E148" s="162" t="s">
        <v>66</v>
      </c>
      <c r="F148" s="162" t="s">
        <v>398</v>
      </c>
      <c r="G148" s="316" t="s">
        <v>152</v>
      </c>
      <c r="H148" s="162"/>
      <c r="I148" s="316" t="s">
        <v>185</v>
      </c>
      <c r="J148" s="16" t="s">
        <v>155</v>
      </c>
      <c r="K148" s="16" t="s">
        <v>162</v>
      </c>
      <c r="L148" s="170" t="s">
        <v>172</v>
      </c>
      <c r="M148" s="318">
        <v>46192</v>
      </c>
      <c r="N148" s="287" t="s">
        <v>191</v>
      </c>
      <c r="O148" s="291"/>
      <c r="P148" s="291"/>
      <c r="Q148" s="292"/>
      <c r="R148" s="16" t="s">
        <v>14</v>
      </c>
      <c r="S148" s="104">
        <v>3</v>
      </c>
    </row>
    <row r="149" spans="1:19" s="270" customFormat="1" ht="18" hidden="1" customHeight="1">
      <c r="A149" s="288" t="str">
        <f t="shared" si="3"/>
        <v>MTC-MT-20260132</v>
      </c>
      <c r="B149" s="170" t="s">
        <v>400</v>
      </c>
      <c r="C149" s="15" t="s">
        <v>222</v>
      </c>
      <c r="D149" s="15"/>
      <c r="E149" s="170" t="s">
        <v>66</v>
      </c>
      <c r="F149" s="170" t="s">
        <v>398</v>
      </c>
      <c r="G149" s="325" t="s">
        <v>152</v>
      </c>
      <c r="H149" s="170"/>
      <c r="I149" s="325" t="s">
        <v>185</v>
      </c>
      <c r="J149" s="15" t="s">
        <v>155</v>
      </c>
      <c r="K149" s="15" t="s">
        <v>162</v>
      </c>
      <c r="L149" s="170" t="s">
        <v>172</v>
      </c>
      <c r="M149" s="336">
        <v>46173</v>
      </c>
      <c r="N149" s="298" t="s">
        <v>317</v>
      </c>
      <c r="O149" s="299">
        <v>5</v>
      </c>
      <c r="P149" s="299">
        <v>0</v>
      </c>
      <c r="Q149" s="413" t="s">
        <v>401</v>
      </c>
      <c r="R149" s="15" t="s">
        <v>13</v>
      </c>
      <c r="S149" s="107">
        <v>5</v>
      </c>
    </row>
    <row r="150" spans="1:19" s="270" customFormat="1" ht="15" hidden="1" customHeight="1">
      <c r="A150" s="288" t="str">
        <f t="shared" si="3"/>
        <v>MTC-MT-20260133</v>
      </c>
      <c r="B150" s="170" t="s">
        <v>402</v>
      </c>
      <c r="C150" s="15" t="s">
        <v>222</v>
      </c>
      <c r="D150" s="15"/>
      <c r="E150" s="170" t="s">
        <v>66</v>
      </c>
      <c r="F150" s="170" t="s">
        <v>398</v>
      </c>
      <c r="G150" s="325" t="s">
        <v>152</v>
      </c>
      <c r="H150" s="170"/>
      <c r="I150" s="325" t="s">
        <v>185</v>
      </c>
      <c r="J150" s="15" t="s">
        <v>155</v>
      </c>
      <c r="K150" s="15" t="s">
        <v>162</v>
      </c>
      <c r="L150" s="170" t="s">
        <v>172</v>
      </c>
      <c r="M150" s="336">
        <v>46173</v>
      </c>
      <c r="N150" s="298" t="s">
        <v>317</v>
      </c>
      <c r="O150" s="299">
        <v>5</v>
      </c>
      <c r="P150" s="299">
        <v>0</v>
      </c>
      <c r="Q150" s="413" t="s">
        <v>403</v>
      </c>
      <c r="R150" s="15" t="s">
        <v>13</v>
      </c>
      <c r="S150" s="107">
        <v>5</v>
      </c>
    </row>
    <row r="151" spans="1:19" s="270" customFormat="1" ht="18.600000000000001" hidden="1" customHeight="1">
      <c r="A151" s="288" t="str">
        <f t="shared" si="3"/>
        <v>MTC-MT-20260134</v>
      </c>
      <c r="B151" s="170" t="s">
        <v>404</v>
      </c>
      <c r="C151" s="15" t="s">
        <v>222</v>
      </c>
      <c r="D151" s="15"/>
      <c r="E151" s="170" t="s">
        <v>66</v>
      </c>
      <c r="F151" s="170" t="s">
        <v>398</v>
      </c>
      <c r="G151" s="325" t="s">
        <v>152</v>
      </c>
      <c r="H151" s="170"/>
      <c r="I151" s="325" t="s">
        <v>185</v>
      </c>
      <c r="J151" s="15" t="s">
        <v>155</v>
      </c>
      <c r="K151" s="15" t="s">
        <v>162</v>
      </c>
      <c r="L151" s="170" t="s">
        <v>172</v>
      </c>
      <c r="M151" s="336">
        <v>46173</v>
      </c>
      <c r="N151" s="298" t="s">
        <v>317</v>
      </c>
      <c r="O151" s="299">
        <v>7</v>
      </c>
      <c r="P151" s="299">
        <v>0</v>
      </c>
      <c r="Q151" s="413" t="s">
        <v>405</v>
      </c>
      <c r="R151" s="15" t="s">
        <v>13</v>
      </c>
      <c r="S151" s="107">
        <v>5</v>
      </c>
    </row>
    <row r="152" spans="1:19" hidden="1">
      <c r="A152" s="288" t="str">
        <f t="shared" si="3"/>
        <v>MTC-MT-20260135</v>
      </c>
      <c r="B152" s="162" t="s">
        <v>406</v>
      </c>
      <c r="C152" s="15" t="s">
        <v>222</v>
      </c>
      <c r="D152" s="16"/>
      <c r="E152" s="162" t="s">
        <v>66</v>
      </c>
      <c r="F152" s="162" t="s">
        <v>398</v>
      </c>
      <c r="G152" s="316" t="s">
        <v>152</v>
      </c>
      <c r="H152" s="162"/>
      <c r="I152" s="316" t="s">
        <v>185</v>
      </c>
      <c r="J152" s="16" t="s">
        <v>155</v>
      </c>
      <c r="K152" s="16" t="s">
        <v>162</v>
      </c>
      <c r="L152" s="170" t="s">
        <v>172</v>
      </c>
      <c r="M152" s="318">
        <v>46192</v>
      </c>
      <c r="N152" s="287" t="s">
        <v>191</v>
      </c>
      <c r="O152" s="291"/>
      <c r="P152" s="291"/>
      <c r="Q152" s="292"/>
      <c r="R152" s="16" t="s">
        <v>14</v>
      </c>
      <c r="S152" s="104">
        <v>3</v>
      </c>
    </row>
    <row r="153" spans="1:19" hidden="1">
      <c r="A153" s="288" t="str">
        <f t="shared" si="3"/>
        <v>MTC-MT-20260136</v>
      </c>
      <c r="B153" s="162" t="s">
        <v>407</v>
      </c>
      <c r="C153" s="15" t="s">
        <v>216</v>
      </c>
      <c r="D153" s="16"/>
      <c r="E153" s="162" t="s">
        <v>66</v>
      </c>
      <c r="F153" s="162" t="s">
        <v>408</v>
      </c>
      <c r="G153" s="316" t="s">
        <v>152</v>
      </c>
      <c r="H153" s="162"/>
      <c r="I153" s="316" t="s">
        <v>185</v>
      </c>
      <c r="J153" s="16" t="s">
        <v>155</v>
      </c>
      <c r="K153" s="16" t="s">
        <v>162</v>
      </c>
      <c r="L153" s="170" t="s">
        <v>172</v>
      </c>
      <c r="M153" s="318">
        <v>46192</v>
      </c>
      <c r="N153" s="287" t="s">
        <v>317</v>
      </c>
      <c r="O153" s="291">
        <v>10</v>
      </c>
      <c r="P153" s="291">
        <v>0</v>
      </c>
      <c r="Q153" s="292"/>
      <c r="R153" s="16" t="s">
        <v>14</v>
      </c>
      <c r="S153" s="104">
        <v>3</v>
      </c>
    </row>
    <row r="154" spans="1:19" hidden="1">
      <c r="A154" s="288" t="str">
        <f t="shared" si="3"/>
        <v>MTC-MT-20260137</v>
      </c>
      <c r="B154" s="162" t="s">
        <v>409</v>
      </c>
      <c r="C154" s="15" t="s">
        <v>216</v>
      </c>
      <c r="D154" s="16"/>
      <c r="E154" s="162" t="s">
        <v>66</v>
      </c>
      <c r="F154" s="162" t="s">
        <v>408</v>
      </c>
      <c r="G154" s="316" t="s">
        <v>152</v>
      </c>
      <c r="H154" s="162"/>
      <c r="I154" s="316" t="s">
        <v>185</v>
      </c>
      <c r="J154" s="16" t="s">
        <v>155</v>
      </c>
      <c r="K154" s="16" t="s">
        <v>162</v>
      </c>
      <c r="L154" s="170" t="s">
        <v>172</v>
      </c>
      <c r="M154" s="318">
        <v>46198</v>
      </c>
      <c r="N154" s="287" t="s">
        <v>191</v>
      </c>
      <c r="O154" s="291">
        <v>20</v>
      </c>
      <c r="P154" s="291">
        <v>0</v>
      </c>
      <c r="Q154" s="292"/>
      <c r="R154" s="16" t="s">
        <v>14</v>
      </c>
      <c r="S154" s="104">
        <v>4</v>
      </c>
    </row>
    <row r="155" spans="1:19" hidden="1">
      <c r="A155" s="288" t="str">
        <f t="shared" si="3"/>
        <v>MTC-MT-20260138</v>
      </c>
      <c r="B155" s="162" t="s">
        <v>410</v>
      </c>
      <c r="C155" s="15" t="s">
        <v>216</v>
      </c>
      <c r="D155" s="16"/>
      <c r="E155" s="162" t="s">
        <v>66</v>
      </c>
      <c r="F155" s="162" t="s">
        <v>408</v>
      </c>
      <c r="G155" s="316" t="s">
        <v>152</v>
      </c>
      <c r="H155" s="162"/>
      <c r="I155" s="316" t="s">
        <v>185</v>
      </c>
      <c r="J155" s="16" t="s">
        <v>155</v>
      </c>
      <c r="K155" s="16" t="s">
        <v>162</v>
      </c>
      <c r="L155" s="170" t="s">
        <v>172</v>
      </c>
      <c r="M155" s="318">
        <v>46198</v>
      </c>
      <c r="N155" s="287" t="s">
        <v>191</v>
      </c>
      <c r="O155" s="291">
        <v>10</v>
      </c>
      <c r="P155" s="291"/>
      <c r="Q155" s="292"/>
      <c r="R155" s="16" t="s">
        <v>14</v>
      </c>
      <c r="S155" s="104">
        <v>4</v>
      </c>
    </row>
    <row r="156" spans="1:19" s="270" customFormat="1" ht="15" hidden="1" customHeight="1">
      <c r="A156" s="288" t="str">
        <f t="shared" si="3"/>
        <v>MTC-MT-20260139</v>
      </c>
      <c r="B156" s="170" t="s">
        <v>411</v>
      </c>
      <c r="C156" s="15" t="s">
        <v>216</v>
      </c>
      <c r="D156" s="15"/>
      <c r="E156" s="170" t="s">
        <v>66</v>
      </c>
      <c r="F156" s="170" t="s">
        <v>408</v>
      </c>
      <c r="G156" s="325" t="s">
        <v>152</v>
      </c>
      <c r="H156" s="170"/>
      <c r="I156" s="325" t="s">
        <v>185</v>
      </c>
      <c r="J156" s="15" t="s">
        <v>155</v>
      </c>
      <c r="K156" s="15" t="s">
        <v>162</v>
      </c>
      <c r="L156" s="170" t="s">
        <v>172</v>
      </c>
      <c r="M156" s="336">
        <v>46193</v>
      </c>
      <c r="N156" s="298" t="s">
        <v>177</v>
      </c>
      <c r="O156" s="299">
        <v>60</v>
      </c>
      <c r="P156" s="299">
        <v>0</v>
      </c>
      <c r="Q156" s="413" t="s">
        <v>412</v>
      </c>
      <c r="R156" s="15" t="s">
        <v>14</v>
      </c>
      <c r="S156" s="107">
        <v>3</v>
      </c>
    </row>
    <row r="157" spans="1:19" hidden="1">
      <c r="A157" s="288" t="str">
        <f t="shared" si="3"/>
        <v>MTC-MT-20260140</v>
      </c>
      <c r="B157" s="162" t="s">
        <v>413</v>
      </c>
      <c r="C157" s="15" t="s">
        <v>216</v>
      </c>
      <c r="D157" s="16"/>
      <c r="E157" s="162" t="s">
        <v>66</v>
      </c>
      <c r="F157" s="162" t="s">
        <v>408</v>
      </c>
      <c r="G157" s="316" t="s">
        <v>152</v>
      </c>
      <c r="H157" s="162"/>
      <c r="I157" s="316" t="s">
        <v>185</v>
      </c>
      <c r="J157" s="16" t="s">
        <v>155</v>
      </c>
      <c r="K157" s="16" t="s">
        <v>162</v>
      </c>
      <c r="L157" s="170" t="s">
        <v>172</v>
      </c>
      <c r="M157" s="336">
        <v>46170</v>
      </c>
      <c r="N157" s="287" t="s">
        <v>191</v>
      </c>
      <c r="O157" s="291">
        <v>5</v>
      </c>
      <c r="P157" s="291">
        <v>0</v>
      </c>
      <c r="Q157" s="292"/>
      <c r="R157" s="16" t="s">
        <v>13</v>
      </c>
      <c r="S157" s="104">
        <v>4</v>
      </c>
    </row>
    <row r="158" spans="1:19" ht="13.2" hidden="1" customHeight="1">
      <c r="A158" s="288" t="str">
        <f t="shared" si="3"/>
        <v>MTC-MT-20260141</v>
      </c>
      <c r="B158" s="162" t="s">
        <v>414</v>
      </c>
      <c r="C158" s="15" t="s">
        <v>165</v>
      </c>
      <c r="D158" s="16"/>
      <c r="E158" s="162" t="s">
        <v>66</v>
      </c>
      <c r="F158" s="162" t="s">
        <v>415</v>
      </c>
      <c r="G158" s="316" t="s">
        <v>152</v>
      </c>
      <c r="H158" s="162"/>
      <c r="I158" s="316" t="s">
        <v>185</v>
      </c>
      <c r="J158" s="16" t="s">
        <v>155</v>
      </c>
      <c r="K158" s="16" t="s">
        <v>162</v>
      </c>
      <c r="L158" s="170" t="s">
        <v>172</v>
      </c>
      <c r="M158" s="318">
        <v>244525</v>
      </c>
      <c r="N158" s="287" t="s">
        <v>191</v>
      </c>
      <c r="O158" s="291">
        <v>10</v>
      </c>
      <c r="P158" s="291"/>
      <c r="Q158" s="292"/>
      <c r="R158" s="16" t="s">
        <v>14</v>
      </c>
      <c r="S158" s="104">
        <v>4</v>
      </c>
    </row>
    <row r="159" spans="1:19" hidden="1">
      <c r="A159" s="288" t="str">
        <f t="shared" si="3"/>
        <v>MTC-MT-20260142</v>
      </c>
      <c r="B159" s="162" t="s">
        <v>416</v>
      </c>
      <c r="C159" s="15" t="s">
        <v>165</v>
      </c>
      <c r="D159" s="16"/>
      <c r="E159" s="162" t="s">
        <v>66</v>
      </c>
      <c r="F159" s="162" t="s">
        <v>415</v>
      </c>
      <c r="G159" s="316" t="s">
        <v>152</v>
      </c>
      <c r="H159" s="162"/>
      <c r="I159" s="316" t="s">
        <v>185</v>
      </c>
      <c r="J159" s="16" t="s">
        <v>155</v>
      </c>
      <c r="K159" s="16" t="s">
        <v>162</v>
      </c>
      <c r="L159" s="170" t="s">
        <v>172</v>
      </c>
      <c r="M159" s="318">
        <v>46198</v>
      </c>
      <c r="N159" s="287" t="s">
        <v>191</v>
      </c>
      <c r="O159" s="291">
        <v>10</v>
      </c>
      <c r="P159" s="291"/>
      <c r="Q159" s="292"/>
      <c r="R159" s="16" t="s">
        <v>14</v>
      </c>
      <c r="S159" s="104">
        <v>4</v>
      </c>
    </row>
    <row r="160" spans="1:19" s="270" customFormat="1" ht="22.2" hidden="1" customHeight="1">
      <c r="A160" s="288" t="str">
        <f t="shared" si="3"/>
        <v>MTC-MT-20260143</v>
      </c>
      <c r="B160" s="170" t="s">
        <v>417</v>
      </c>
      <c r="C160" s="15" t="s">
        <v>165</v>
      </c>
      <c r="D160" s="15"/>
      <c r="E160" s="170" t="s">
        <v>66</v>
      </c>
      <c r="F160" s="170" t="s">
        <v>415</v>
      </c>
      <c r="G160" s="325" t="s">
        <v>152</v>
      </c>
      <c r="H160" s="170"/>
      <c r="I160" s="325" t="s">
        <v>185</v>
      </c>
      <c r="J160" s="15" t="s">
        <v>155</v>
      </c>
      <c r="K160" s="15" t="s">
        <v>162</v>
      </c>
      <c r="L160" s="170" t="s">
        <v>172</v>
      </c>
      <c r="M160" s="336">
        <v>46169</v>
      </c>
      <c r="N160" s="298" t="s">
        <v>317</v>
      </c>
      <c r="O160" s="299">
        <v>5</v>
      </c>
      <c r="P160" s="299">
        <v>0</v>
      </c>
      <c r="Q160" s="413" t="s">
        <v>403</v>
      </c>
      <c r="R160" s="15" t="s">
        <v>13</v>
      </c>
      <c r="S160" s="107">
        <v>4</v>
      </c>
    </row>
    <row r="161" spans="1:19" s="270" customFormat="1" ht="22.2" hidden="1" customHeight="1">
      <c r="A161" s="288" t="str">
        <f t="shared" si="3"/>
        <v>MTC-MT-20260144</v>
      </c>
      <c r="B161" s="170" t="s">
        <v>418</v>
      </c>
      <c r="C161" s="15" t="s">
        <v>165</v>
      </c>
      <c r="D161" s="15"/>
      <c r="E161" s="170" t="s">
        <v>66</v>
      </c>
      <c r="F161" s="170" t="s">
        <v>415</v>
      </c>
      <c r="G161" s="325" t="s">
        <v>152</v>
      </c>
      <c r="H161" s="170"/>
      <c r="I161" s="325" t="s">
        <v>185</v>
      </c>
      <c r="J161" s="15" t="s">
        <v>155</v>
      </c>
      <c r="K161" s="15" t="s">
        <v>162</v>
      </c>
      <c r="L161" s="170" t="s">
        <v>172</v>
      </c>
      <c r="M161" s="336">
        <v>46169</v>
      </c>
      <c r="N161" s="298" t="s">
        <v>317</v>
      </c>
      <c r="O161" s="299">
        <v>8</v>
      </c>
      <c r="P161" s="299">
        <v>0</v>
      </c>
      <c r="Q161" s="413" t="s">
        <v>403</v>
      </c>
      <c r="R161" s="15" t="s">
        <v>13</v>
      </c>
      <c r="S161" s="107">
        <v>4</v>
      </c>
    </row>
    <row r="162" spans="1:19" hidden="1">
      <c r="A162" s="288" t="str">
        <f t="shared" si="3"/>
        <v>MTC-MT-20260145</v>
      </c>
      <c r="B162" s="162" t="s">
        <v>419</v>
      </c>
      <c r="C162" s="15" t="s">
        <v>187</v>
      </c>
      <c r="D162" s="16"/>
      <c r="E162" s="162" t="s">
        <v>66</v>
      </c>
      <c r="F162" s="162" t="s">
        <v>420</v>
      </c>
      <c r="G162" s="316" t="s">
        <v>152</v>
      </c>
      <c r="H162" s="162"/>
      <c r="I162" s="316" t="s">
        <v>185</v>
      </c>
      <c r="J162" s="16" t="s">
        <v>155</v>
      </c>
      <c r="K162" s="16" t="s">
        <v>162</v>
      </c>
      <c r="L162" s="170" t="s">
        <v>172</v>
      </c>
      <c r="M162" s="318">
        <v>46197</v>
      </c>
      <c r="N162" s="287" t="s">
        <v>191</v>
      </c>
      <c r="O162" s="291"/>
      <c r="P162" s="291"/>
      <c r="Q162" s="292"/>
      <c r="R162" s="16" t="s">
        <v>14</v>
      </c>
      <c r="S162" s="104">
        <v>4</v>
      </c>
    </row>
    <row r="163" spans="1:19" hidden="1">
      <c r="A163" s="288" t="str">
        <f t="shared" si="3"/>
        <v>MTC-MT-20260146</v>
      </c>
      <c r="B163" s="162" t="s">
        <v>421</v>
      </c>
      <c r="C163" s="15" t="s">
        <v>187</v>
      </c>
      <c r="D163" s="16"/>
      <c r="E163" s="162" t="s">
        <v>66</v>
      </c>
      <c r="F163" s="162" t="s">
        <v>420</v>
      </c>
      <c r="G163" s="316" t="s">
        <v>152</v>
      </c>
      <c r="H163" s="162"/>
      <c r="I163" s="316" t="s">
        <v>185</v>
      </c>
      <c r="J163" s="16" t="s">
        <v>155</v>
      </c>
      <c r="K163" s="16" t="s">
        <v>162</v>
      </c>
      <c r="L163" s="170" t="s">
        <v>172</v>
      </c>
      <c r="M163" s="318"/>
      <c r="N163" s="287" t="s">
        <v>191</v>
      </c>
      <c r="O163" s="291"/>
      <c r="P163" s="291"/>
      <c r="Q163" s="292"/>
      <c r="R163" s="16" t="s">
        <v>14</v>
      </c>
    </row>
    <row r="164" spans="1:19">
      <c r="A164" s="288" t="str">
        <f t="shared" si="3"/>
        <v>MTC-MT-20260147</v>
      </c>
      <c r="B164" s="162" t="s">
        <v>422</v>
      </c>
      <c r="C164" s="15" t="s">
        <v>187</v>
      </c>
      <c r="D164" s="16"/>
      <c r="E164" s="162" t="s">
        <v>66</v>
      </c>
      <c r="F164" s="162" t="s">
        <v>420</v>
      </c>
      <c r="G164" s="316" t="s">
        <v>152</v>
      </c>
      <c r="H164" s="162" t="s">
        <v>423</v>
      </c>
      <c r="I164" s="316" t="s">
        <v>185</v>
      </c>
      <c r="J164" s="16" t="s">
        <v>155</v>
      </c>
      <c r="K164" s="16" t="s">
        <v>162</v>
      </c>
      <c r="L164" s="15" t="s">
        <v>85</v>
      </c>
      <c r="M164" s="318"/>
      <c r="N164" s="287" t="s">
        <v>191</v>
      </c>
      <c r="O164" s="291"/>
      <c r="P164" s="291"/>
      <c r="Q164" s="292"/>
      <c r="R164" s="16" t="s">
        <v>14</v>
      </c>
    </row>
    <row r="165" spans="1:19">
      <c r="A165" s="288" t="str">
        <f t="shared" si="3"/>
        <v>MTC-MT-20260148</v>
      </c>
      <c r="B165" s="162" t="s">
        <v>424</v>
      </c>
      <c r="C165" s="15" t="s">
        <v>187</v>
      </c>
      <c r="D165" s="16"/>
      <c r="E165" s="162" t="s">
        <v>66</v>
      </c>
      <c r="F165" s="162" t="s">
        <v>420</v>
      </c>
      <c r="G165" s="316" t="s">
        <v>152</v>
      </c>
      <c r="H165" s="162" t="s">
        <v>425</v>
      </c>
      <c r="I165" s="316" t="s">
        <v>185</v>
      </c>
      <c r="J165" s="16" t="s">
        <v>155</v>
      </c>
      <c r="K165" s="16" t="s">
        <v>162</v>
      </c>
      <c r="L165" s="15" t="s">
        <v>85</v>
      </c>
      <c r="M165" s="318"/>
      <c r="N165" s="287" t="s">
        <v>191</v>
      </c>
      <c r="O165" s="291"/>
      <c r="P165" s="291"/>
      <c r="Q165" s="292"/>
      <c r="R165" s="16" t="s">
        <v>14</v>
      </c>
    </row>
    <row r="166" spans="1:19">
      <c r="A166" s="288" t="str">
        <f t="shared" si="3"/>
        <v>MTC-MT-20260149</v>
      </c>
      <c r="B166" s="162" t="s">
        <v>426</v>
      </c>
      <c r="C166" s="15" t="s">
        <v>427</v>
      </c>
      <c r="D166" s="16"/>
      <c r="E166" s="162" t="s">
        <v>66</v>
      </c>
      <c r="F166" s="162" t="s">
        <v>428</v>
      </c>
      <c r="G166" s="316" t="s">
        <v>152</v>
      </c>
      <c r="H166" s="162" t="s">
        <v>425</v>
      </c>
      <c r="I166" s="316" t="s">
        <v>185</v>
      </c>
      <c r="J166" s="16" t="s">
        <v>155</v>
      </c>
      <c r="K166" s="16" t="s">
        <v>162</v>
      </c>
      <c r="L166" s="15" t="s">
        <v>85</v>
      </c>
      <c r="M166" s="318"/>
      <c r="N166" s="287" t="s">
        <v>191</v>
      </c>
      <c r="O166" s="291"/>
      <c r="P166" s="291"/>
      <c r="Q166" s="292"/>
      <c r="R166" s="16" t="s">
        <v>14</v>
      </c>
    </row>
    <row r="167" spans="1:19" s="270" customFormat="1" ht="13.8" hidden="1" customHeight="1">
      <c r="A167" s="288" t="str">
        <f t="shared" si="3"/>
        <v>MTC-MT-20260150</v>
      </c>
      <c r="B167" s="170" t="s">
        <v>429</v>
      </c>
      <c r="C167" s="15" t="s">
        <v>427</v>
      </c>
      <c r="D167" s="15"/>
      <c r="E167" s="170" t="s">
        <v>66</v>
      </c>
      <c r="F167" s="170" t="s">
        <v>428</v>
      </c>
      <c r="G167" s="325" t="s">
        <v>152</v>
      </c>
      <c r="H167" s="170"/>
      <c r="I167" s="325" t="s">
        <v>185</v>
      </c>
      <c r="J167" s="15" t="s">
        <v>155</v>
      </c>
      <c r="K167" s="15" t="s">
        <v>162</v>
      </c>
      <c r="L167" s="170" t="s">
        <v>172</v>
      </c>
      <c r="M167" s="336">
        <v>46193</v>
      </c>
      <c r="N167" s="298" t="s">
        <v>191</v>
      </c>
      <c r="O167" s="299">
        <v>5</v>
      </c>
      <c r="P167" s="299">
        <v>0</v>
      </c>
      <c r="Q167" s="413" t="s">
        <v>430</v>
      </c>
      <c r="R167" s="15" t="s">
        <v>14</v>
      </c>
      <c r="S167" s="107">
        <v>3</v>
      </c>
    </row>
    <row r="168" spans="1:19" ht="14.4" hidden="1" customHeight="1">
      <c r="A168" s="288" t="str">
        <f t="shared" si="3"/>
        <v>MTC-MT-20260151</v>
      </c>
      <c r="B168" s="162" t="s">
        <v>431</v>
      </c>
      <c r="C168" s="15" t="s">
        <v>182</v>
      </c>
      <c r="D168" s="16"/>
      <c r="E168" s="162" t="s">
        <v>66</v>
      </c>
      <c r="F168" s="162" t="s">
        <v>432</v>
      </c>
      <c r="G168" s="316" t="s">
        <v>152</v>
      </c>
      <c r="H168" s="162"/>
      <c r="I168" s="316" t="s">
        <v>185</v>
      </c>
      <c r="J168" s="16" t="s">
        <v>155</v>
      </c>
      <c r="K168" s="16" t="s">
        <v>162</v>
      </c>
      <c r="L168" s="170" t="s">
        <v>172</v>
      </c>
      <c r="M168" s="336">
        <v>46193</v>
      </c>
      <c r="N168" s="287" t="s">
        <v>191</v>
      </c>
      <c r="O168" s="291">
        <v>2</v>
      </c>
      <c r="P168" s="291">
        <v>0</v>
      </c>
      <c r="Q168" s="413" t="s">
        <v>430</v>
      </c>
      <c r="R168" s="16" t="s">
        <v>14</v>
      </c>
      <c r="S168" s="104">
        <v>3</v>
      </c>
    </row>
    <row r="169" spans="1:19" ht="14.4" hidden="1" customHeight="1">
      <c r="A169" s="288" t="str">
        <f t="shared" si="3"/>
        <v>MTC-MT-20260152</v>
      </c>
      <c r="B169" s="162" t="s">
        <v>433</v>
      </c>
      <c r="C169" s="15" t="s">
        <v>182</v>
      </c>
      <c r="D169" s="16"/>
      <c r="E169" s="162" t="s">
        <v>66</v>
      </c>
      <c r="F169" s="162" t="s">
        <v>432</v>
      </c>
      <c r="G169" s="316" t="s">
        <v>152</v>
      </c>
      <c r="H169" s="162"/>
      <c r="I169" s="316" t="s">
        <v>185</v>
      </c>
      <c r="J169" s="16" t="s">
        <v>155</v>
      </c>
      <c r="K169" s="16" t="s">
        <v>162</v>
      </c>
      <c r="L169" s="170" t="s">
        <v>172</v>
      </c>
      <c r="M169" s="336">
        <v>46193</v>
      </c>
      <c r="N169" s="287" t="s">
        <v>191</v>
      </c>
      <c r="O169" s="291">
        <v>15</v>
      </c>
      <c r="P169" s="291">
        <v>0</v>
      </c>
      <c r="Q169" s="413" t="s">
        <v>430</v>
      </c>
      <c r="R169" s="16" t="s">
        <v>14</v>
      </c>
      <c r="S169" s="104">
        <v>3</v>
      </c>
    </row>
    <row r="170" spans="1:19">
      <c r="A170" s="288" t="str">
        <f t="shared" si="3"/>
        <v>MTC-MT-20260153</v>
      </c>
      <c r="B170" s="315" t="s">
        <v>434</v>
      </c>
      <c r="C170" s="325" t="s">
        <v>150</v>
      </c>
      <c r="D170" s="316"/>
      <c r="E170" s="315" t="s">
        <v>66</v>
      </c>
      <c r="F170" s="315" t="s">
        <v>435</v>
      </c>
      <c r="G170" s="316" t="s">
        <v>152</v>
      </c>
      <c r="H170" s="162" t="s">
        <v>423</v>
      </c>
      <c r="I170" s="316" t="s">
        <v>185</v>
      </c>
      <c r="J170" s="16" t="s">
        <v>155</v>
      </c>
      <c r="K170" s="16" t="s">
        <v>162</v>
      </c>
      <c r="L170" s="15" t="s">
        <v>85</v>
      </c>
      <c r="M170" s="318"/>
      <c r="N170" s="287" t="s">
        <v>191</v>
      </c>
      <c r="O170" s="291"/>
      <c r="P170" s="291"/>
      <c r="Q170" s="292"/>
      <c r="R170" s="16" t="s">
        <v>14</v>
      </c>
    </row>
    <row r="171" spans="1:19" ht="20.399999999999999" hidden="1" customHeight="1">
      <c r="A171" s="288" t="str">
        <f t="shared" si="3"/>
        <v>MTC-MT-20260154</v>
      </c>
      <c r="B171" s="170" t="s">
        <v>436</v>
      </c>
      <c r="C171" s="15">
        <v>7</v>
      </c>
      <c r="D171" s="170"/>
      <c r="E171" s="170" t="s">
        <v>61</v>
      </c>
      <c r="F171" s="170" t="s">
        <v>408</v>
      </c>
      <c r="G171" s="15" t="s">
        <v>152</v>
      </c>
      <c r="H171" s="270"/>
      <c r="I171" s="15" t="s">
        <v>185</v>
      </c>
      <c r="J171" s="15" t="s">
        <v>155</v>
      </c>
      <c r="K171" s="15" t="s">
        <v>156</v>
      </c>
      <c r="L171" s="170" t="s">
        <v>172</v>
      </c>
      <c r="M171" s="322">
        <v>46155</v>
      </c>
      <c r="N171" s="298" t="s">
        <v>314</v>
      </c>
      <c r="O171" s="299"/>
      <c r="P171" s="299">
        <v>0</v>
      </c>
      <c r="Q171" s="333" t="s">
        <v>437</v>
      </c>
      <c r="R171" s="15" t="s">
        <v>13</v>
      </c>
      <c r="S171" s="107">
        <v>2</v>
      </c>
    </row>
    <row r="172" spans="1:19" ht="16.8" hidden="1" customHeight="1">
      <c r="A172" s="288" t="str">
        <f t="shared" si="3"/>
        <v>MTC-MT-20260155</v>
      </c>
      <c r="B172" s="315" t="s">
        <v>438</v>
      </c>
      <c r="C172" s="325" t="s">
        <v>439</v>
      </c>
      <c r="D172" s="316"/>
      <c r="E172" s="315" t="s">
        <v>252</v>
      </c>
      <c r="F172" s="315" t="s">
        <v>440</v>
      </c>
      <c r="G172" s="316" t="s">
        <v>152</v>
      </c>
      <c r="H172" s="315"/>
      <c r="I172" s="16" t="s">
        <v>185</v>
      </c>
      <c r="J172" s="16" t="s">
        <v>155</v>
      </c>
      <c r="K172" s="16" t="s">
        <v>156</v>
      </c>
      <c r="L172" s="170" t="s">
        <v>172</v>
      </c>
      <c r="M172" s="326">
        <v>244504</v>
      </c>
      <c r="N172" s="327" t="s">
        <v>317</v>
      </c>
      <c r="O172" s="319" t="s">
        <v>439</v>
      </c>
      <c r="P172" s="319" t="s">
        <v>439</v>
      </c>
      <c r="Q172" s="337"/>
      <c r="R172" s="16" t="s">
        <v>14</v>
      </c>
      <c r="S172" s="104">
        <v>1</v>
      </c>
    </row>
    <row r="173" spans="1:19" s="270" customFormat="1" ht="18" hidden="1" customHeight="1">
      <c r="A173" s="288" t="str">
        <f t="shared" si="3"/>
        <v>MTC-MT-20260156</v>
      </c>
      <c r="B173" s="170" t="s">
        <v>441</v>
      </c>
      <c r="C173" s="15" t="s">
        <v>388</v>
      </c>
      <c r="D173" s="15"/>
      <c r="E173" s="170" t="s">
        <v>64</v>
      </c>
      <c r="F173" s="170" t="s">
        <v>442</v>
      </c>
      <c r="G173" s="15" t="s">
        <v>152</v>
      </c>
      <c r="H173" s="170"/>
      <c r="I173" s="15" t="s">
        <v>185</v>
      </c>
      <c r="J173" s="15" t="s">
        <v>155</v>
      </c>
      <c r="K173" s="15" t="s">
        <v>162</v>
      </c>
      <c r="L173" s="170" t="s">
        <v>172</v>
      </c>
      <c r="M173" s="322">
        <v>46158</v>
      </c>
      <c r="N173" s="298" t="s">
        <v>191</v>
      </c>
      <c r="O173" s="299">
        <v>15</v>
      </c>
      <c r="P173" s="299">
        <v>0</v>
      </c>
      <c r="Q173" s="333" t="s">
        <v>443</v>
      </c>
      <c r="R173" s="15" t="s">
        <v>13</v>
      </c>
      <c r="S173" s="107">
        <v>3</v>
      </c>
    </row>
    <row r="174" spans="1:19" s="270" customFormat="1" ht="24.6" hidden="1" customHeight="1">
      <c r="A174" s="288" t="str">
        <f t="shared" si="3"/>
        <v>MTC-MT-20260157</v>
      </c>
      <c r="B174" s="170" t="s">
        <v>444</v>
      </c>
      <c r="C174" s="15" t="s">
        <v>382</v>
      </c>
      <c r="D174" s="15"/>
      <c r="E174" s="170" t="s">
        <v>64</v>
      </c>
      <c r="F174" s="170" t="s">
        <v>445</v>
      </c>
      <c r="G174" s="15" t="s">
        <v>152</v>
      </c>
      <c r="H174" s="170"/>
      <c r="I174" s="15" t="s">
        <v>185</v>
      </c>
      <c r="J174" s="15" t="s">
        <v>155</v>
      </c>
      <c r="K174" s="15" t="s">
        <v>156</v>
      </c>
      <c r="L174" s="170" t="s">
        <v>172</v>
      </c>
      <c r="M174" s="322">
        <v>46158</v>
      </c>
      <c r="N174" s="298" t="s">
        <v>191</v>
      </c>
      <c r="O174" s="299">
        <v>20</v>
      </c>
      <c r="P174" s="299">
        <v>0</v>
      </c>
      <c r="Q174" s="333" t="s">
        <v>443</v>
      </c>
      <c r="R174" s="15" t="s">
        <v>13</v>
      </c>
      <c r="S174" s="107">
        <v>3</v>
      </c>
    </row>
    <row r="175" spans="1:19" s="270" customFormat="1" ht="21" hidden="1" customHeight="1">
      <c r="A175" s="288" t="str">
        <f t="shared" si="3"/>
        <v>MTC-MT-20260158</v>
      </c>
      <c r="B175" s="170" t="s">
        <v>446</v>
      </c>
      <c r="C175" s="15" t="s">
        <v>435</v>
      </c>
      <c r="D175" s="15"/>
      <c r="E175" s="170" t="s">
        <v>66</v>
      </c>
      <c r="F175" s="170" t="s">
        <v>447</v>
      </c>
      <c r="G175" s="15" t="s">
        <v>152</v>
      </c>
      <c r="H175" s="170"/>
      <c r="I175" s="15" t="s">
        <v>185</v>
      </c>
      <c r="J175" s="15" t="s">
        <v>155</v>
      </c>
      <c r="K175" s="15" t="s">
        <v>156</v>
      </c>
      <c r="L175" s="170" t="s">
        <v>172</v>
      </c>
      <c r="M175" s="322">
        <v>46159</v>
      </c>
      <c r="N175" s="298" t="s">
        <v>317</v>
      </c>
      <c r="O175" s="299">
        <v>60</v>
      </c>
      <c r="P175" s="299">
        <v>0</v>
      </c>
      <c r="Q175" s="413" t="s">
        <v>448</v>
      </c>
      <c r="R175" s="15" t="s">
        <v>13</v>
      </c>
      <c r="S175" s="107">
        <v>3</v>
      </c>
    </row>
    <row r="176" spans="1:19" hidden="1">
      <c r="A176" s="288" t="str">
        <f t="shared" ref="A176:A178" si="4">"MTC-MT-2026"&amp;TEXT(ROW(A158),"0000")</f>
        <v>MTC-MT-20260158</v>
      </c>
      <c r="B176" s="162" t="s">
        <v>449</v>
      </c>
      <c r="C176" s="15" t="s">
        <v>150</v>
      </c>
      <c r="D176" s="16"/>
      <c r="E176" s="162" t="s">
        <v>66</v>
      </c>
      <c r="F176" s="162"/>
      <c r="G176" s="16"/>
      <c r="H176" s="162"/>
      <c r="I176" s="15" t="s">
        <v>185</v>
      </c>
      <c r="J176" s="16" t="s">
        <v>155</v>
      </c>
      <c r="K176" s="16" t="s">
        <v>156</v>
      </c>
      <c r="L176" s="16" t="s">
        <v>172</v>
      </c>
      <c r="M176" s="290"/>
      <c r="N176" s="287"/>
      <c r="O176" s="291"/>
      <c r="P176" s="291"/>
      <c r="Q176" s="292"/>
      <c r="R176" s="16"/>
    </row>
    <row r="177" spans="1:21" hidden="1">
      <c r="A177" s="288" t="str">
        <f t="shared" si="4"/>
        <v>MTC-MT-20260159</v>
      </c>
      <c r="B177" s="162" t="s">
        <v>450</v>
      </c>
      <c r="C177" s="15" t="s">
        <v>150</v>
      </c>
      <c r="D177" s="16"/>
      <c r="E177" s="162" t="s">
        <v>66</v>
      </c>
      <c r="F177" s="162"/>
      <c r="G177" s="16"/>
      <c r="H177" s="162"/>
      <c r="I177" s="15" t="s">
        <v>185</v>
      </c>
      <c r="J177" s="16" t="s">
        <v>155</v>
      </c>
      <c r="K177" s="16" t="s">
        <v>156</v>
      </c>
      <c r="L177" s="16" t="s">
        <v>172</v>
      </c>
      <c r="M177" s="290"/>
      <c r="N177" s="287"/>
      <c r="O177" s="291"/>
      <c r="P177" s="291"/>
      <c r="Q177" s="292"/>
      <c r="R177" s="16"/>
    </row>
    <row r="178" spans="1:21" hidden="1">
      <c r="A178" s="288" t="str">
        <f t="shared" si="4"/>
        <v>MTC-MT-20260160</v>
      </c>
      <c r="B178" s="162" t="s">
        <v>451</v>
      </c>
      <c r="C178" s="15" t="s">
        <v>150</v>
      </c>
      <c r="D178" s="16"/>
      <c r="E178" s="162" t="s">
        <v>66</v>
      </c>
      <c r="F178" s="162"/>
      <c r="G178" s="16"/>
      <c r="H178" s="162"/>
      <c r="I178" s="15" t="s">
        <v>185</v>
      </c>
      <c r="J178" s="16" t="s">
        <v>155</v>
      </c>
      <c r="K178" s="16" t="s">
        <v>156</v>
      </c>
      <c r="L178" s="16" t="s">
        <v>172</v>
      </c>
      <c r="M178" s="290"/>
      <c r="N178" s="287"/>
      <c r="O178" s="291"/>
      <c r="P178" s="291"/>
      <c r="Q178" s="292"/>
      <c r="R178" s="16"/>
    </row>
    <row r="179" spans="1:21" s="271" customFormat="1">
      <c r="A179" s="338"/>
      <c r="B179" s="339"/>
      <c r="C179" s="340"/>
      <c r="D179" s="341"/>
      <c r="E179" s="339"/>
      <c r="F179" s="339"/>
      <c r="G179" s="341"/>
      <c r="H179" s="339"/>
      <c r="I179" s="341"/>
      <c r="J179" s="341"/>
      <c r="K179" s="341"/>
      <c r="L179" s="341"/>
      <c r="M179" s="342"/>
      <c r="N179" s="343"/>
      <c r="O179" s="344"/>
      <c r="P179" s="344"/>
      <c r="Q179" s="345"/>
      <c r="R179" s="341"/>
      <c r="S179" s="346"/>
    </row>
    <row r="180" spans="1:21">
      <c r="A180" s="347"/>
      <c r="B180" s="348" t="s">
        <v>103</v>
      </c>
      <c r="C180" s="349">
        <v>9</v>
      </c>
      <c r="D180" s="16"/>
      <c r="E180" s="234" t="s">
        <v>63</v>
      </c>
      <c r="F180" s="162" t="s">
        <v>452</v>
      </c>
      <c r="G180" s="16" t="s">
        <v>171</v>
      </c>
      <c r="H180" s="162"/>
      <c r="I180" s="16" t="s">
        <v>154</v>
      </c>
      <c r="J180" s="16" t="s">
        <v>155</v>
      </c>
      <c r="K180" s="16" t="s">
        <v>156</v>
      </c>
      <c r="L180" s="16" t="s">
        <v>85</v>
      </c>
      <c r="M180" s="290"/>
      <c r="N180" s="16"/>
      <c r="O180" s="319"/>
      <c r="P180" s="319"/>
      <c r="Q180" s="337"/>
      <c r="R180" s="16"/>
      <c r="S180" s="16"/>
    </row>
    <row r="181" spans="1:21">
      <c r="A181" s="347"/>
      <c r="B181" s="162" t="s">
        <v>105</v>
      </c>
      <c r="C181" s="349">
        <v>6</v>
      </c>
      <c r="D181" s="16"/>
      <c r="E181" s="234" t="s">
        <v>62</v>
      </c>
      <c r="F181" s="162" t="s">
        <v>453</v>
      </c>
      <c r="G181" s="16" t="s">
        <v>152</v>
      </c>
      <c r="H181" s="162"/>
      <c r="I181" s="16" t="s">
        <v>161</v>
      </c>
      <c r="J181" s="16" t="s">
        <v>155</v>
      </c>
      <c r="K181" s="16" t="s">
        <v>162</v>
      </c>
      <c r="L181" s="16" t="s">
        <v>85</v>
      </c>
      <c r="M181" s="290"/>
      <c r="N181" s="16"/>
      <c r="O181" s="319"/>
      <c r="P181" s="319"/>
      <c r="Q181" s="337"/>
      <c r="R181" s="16"/>
      <c r="S181" s="16"/>
    </row>
    <row r="182" spans="1:21">
      <c r="A182" s="347"/>
      <c r="B182" s="162" t="s">
        <v>114</v>
      </c>
      <c r="C182" s="349" t="s">
        <v>113</v>
      </c>
      <c r="D182" s="16"/>
      <c r="E182" s="234" t="s">
        <v>67</v>
      </c>
      <c r="F182" s="162" t="s">
        <v>454</v>
      </c>
      <c r="G182" s="16" t="s">
        <v>152</v>
      </c>
      <c r="H182" s="162"/>
      <c r="I182" s="16"/>
      <c r="J182" s="16"/>
      <c r="K182" s="16"/>
      <c r="L182" s="16" t="s">
        <v>85</v>
      </c>
      <c r="M182" s="290"/>
      <c r="N182" s="16"/>
      <c r="O182" s="319"/>
      <c r="P182" s="319"/>
      <c r="Q182" s="337"/>
      <c r="R182" s="16"/>
      <c r="S182" s="16"/>
    </row>
    <row r="183" spans="1:21">
      <c r="A183" s="347"/>
      <c r="B183" s="162"/>
      <c r="C183" s="15"/>
      <c r="D183" s="16"/>
      <c r="E183" s="162"/>
      <c r="F183" s="162"/>
      <c r="G183" s="16"/>
      <c r="H183" s="162"/>
      <c r="I183" s="16"/>
      <c r="J183" s="16"/>
      <c r="K183" s="16"/>
      <c r="L183" s="16"/>
      <c r="M183" s="290"/>
      <c r="N183" s="16"/>
      <c r="O183" s="319"/>
      <c r="P183" s="319"/>
      <c r="Q183" s="337"/>
      <c r="R183" s="16"/>
      <c r="S183" s="16"/>
    </row>
    <row r="184" spans="1:21">
      <c r="A184" s="347"/>
      <c r="B184" s="162"/>
      <c r="C184" s="15"/>
      <c r="D184" s="16"/>
      <c r="E184" s="162"/>
      <c r="F184" s="162"/>
      <c r="G184" s="16"/>
      <c r="H184" s="162"/>
      <c r="I184" s="16"/>
      <c r="J184" s="16"/>
      <c r="K184" s="16"/>
      <c r="L184" s="16"/>
      <c r="M184" s="290"/>
      <c r="N184" s="16"/>
      <c r="O184" s="319"/>
      <c r="P184" s="319"/>
      <c r="Q184" s="337"/>
      <c r="R184" s="16"/>
      <c r="S184" s="16"/>
    </row>
    <row r="185" spans="1:21">
      <c r="A185" s="347"/>
      <c r="B185" s="162"/>
      <c r="C185" s="15"/>
      <c r="D185" s="16"/>
      <c r="E185" s="162"/>
      <c r="F185" s="162"/>
      <c r="G185" s="16"/>
      <c r="H185" s="162"/>
      <c r="I185" s="16"/>
      <c r="J185" s="16"/>
      <c r="K185" s="16"/>
      <c r="L185" s="16"/>
      <c r="M185" s="290"/>
      <c r="N185" s="16"/>
      <c r="O185" s="319"/>
      <c r="P185" s="319"/>
      <c r="Q185" s="337"/>
      <c r="R185" s="16"/>
      <c r="S185" s="16"/>
    </row>
    <row r="186" spans="1:21" s="270" customFormat="1" ht="19.2" customHeight="1">
      <c r="A186" s="347"/>
      <c r="B186" s="170"/>
      <c r="C186" s="15"/>
      <c r="D186" s="170"/>
      <c r="E186" s="170"/>
      <c r="F186" s="170"/>
      <c r="G186" s="15"/>
      <c r="H186" s="170"/>
      <c r="I186" s="16"/>
      <c r="J186" s="15"/>
      <c r="K186" s="15"/>
      <c r="L186" s="15"/>
      <c r="M186" s="350"/>
      <c r="N186" s="15"/>
      <c r="O186" s="351"/>
      <c r="P186" s="351"/>
      <c r="Q186" s="352"/>
      <c r="R186" s="15"/>
      <c r="S186" s="15"/>
    </row>
    <row r="187" spans="1:21">
      <c r="A187" s="347"/>
      <c r="B187" s="162"/>
      <c r="C187" s="15"/>
      <c r="D187" s="16"/>
      <c r="E187" s="162"/>
      <c r="F187" s="162"/>
      <c r="G187" s="16"/>
      <c r="H187" s="162"/>
      <c r="I187" s="16"/>
      <c r="J187" s="16"/>
      <c r="K187" s="16"/>
      <c r="L187" s="15"/>
      <c r="M187" s="294"/>
      <c r="N187" s="16"/>
      <c r="O187" s="319"/>
      <c r="P187" s="319"/>
      <c r="Q187" s="337"/>
      <c r="R187" s="16"/>
      <c r="S187" s="16"/>
    </row>
    <row r="188" spans="1:21">
      <c r="A188" s="347"/>
      <c r="B188" s="162"/>
      <c r="C188" s="15"/>
      <c r="D188" s="16"/>
      <c r="E188" s="162"/>
      <c r="F188" s="162"/>
      <c r="G188" s="16"/>
      <c r="H188" s="162"/>
      <c r="I188" s="16"/>
      <c r="J188" s="16"/>
      <c r="K188" s="16"/>
      <c r="L188" s="16"/>
      <c r="M188" s="290"/>
      <c r="N188" s="16"/>
      <c r="O188" s="319"/>
      <c r="P188" s="337"/>
      <c r="Q188" s="337"/>
      <c r="R188" s="16"/>
      <c r="S188" s="16"/>
    </row>
    <row r="189" spans="1:21">
      <c r="A189" s="347"/>
      <c r="B189" s="162"/>
      <c r="C189" s="15"/>
      <c r="D189" s="16"/>
      <c r="E189" s="162"/>
      <c r="F189" s="162"/>
      <c r="G189" s="16"/>
      <c r="H189" s="162"/>
      <c r="I189" s="16"/>
      <c r="J189" s="16"/>
      <c r="K189" s="16"/>
      <c r="L189" s="16"/>
      <c r="M189" s="290"/>
      <c r="N189" s="16"/>
      <c r="O189" s="319"/>
      <c r="P189" s="337"/>
      <c r="Q189" s="337"/>
      <c r="R189" s="16"/>
      <c r="S189" s="16"/>
    </row>
    <row r="190" spans="1:21">
      <c r="A190" s="347"/>
      <c r="B190" s="162"/>
      <c r="C190" s="15"/>
      <c r="D190" s="16"/>
      <c r="E190" s="162"/>
      <c r="F190" s="162"/>
      <c r="G190" s="16"/>
      <c r="H190" s="162"/>
      <c r="I190" s="16"/>
      <c r="J190" s="16"/>
      <c r="K190" s="16"/>
      <c r="L190" s="16"/>
      <c r="M190" s="290"/>
      <c r="N190" s="16"/>
      <c r="O190" s="319"/>
      <c r="P190" s="337"/>
      <c r="Q190" s="337"/>
      <c r="R190" s="16"/>
      <c r="S190" s="16"/>
    </row>
    <row r="191" spans="1:21" s="271" customFormat="1">
      <c r="A191" s="104"/>
      <c r="B191" s="105"/>
      <c r="C191" s="104"/>
      <c r="D191" s="105"/>
      <c r="E191" s="105"/>
      <c r="F191" s="105"/>
      <c r="G191" s="104"/>
      <c r="H191" s="105"/>
      <c r="I191" s="104"/>
      <c r="J191" s="104"/>
      <c r="K191" s="104"/>
      <c r="L191" s="107"/>
      <c r="M191" s="353"/>
      <c r="N191" s="104"/>
      <c r="O191" s="104"/>
      <c r="P191" s="104"/>
      <c r="Q191" s="105"/>
      <c r="R191" s="104"/>
      <c r="S191" s="104"/>
      <c r="T191" s="105"/>
      <c r="U191" s="105"/>
    </row>
    <row r="192" spans="1:21">
      <c r="I192" s="105"/>
      <c r="M192" s="354"/>
    </row>
    <row r="193" spans="13:13">
      <c r="M193" s="354"/>
    </row>
    <row r="194" spans="13:13">
      <c r="M194" s="354"/>
    </row>
    <row r="195" spans="13:13">
      <c r="M195" s="354"/>
    </row>
    <row r="196" spans="13:13">
      <c r="M196" s="354"/>
    </row>
    <row r="197" spans="13:13">
      <c r="M197" s="354"/>
    </row>
    <row r="198" spans="13:13">
      <c r="M198" s="354"/>
    </row>
    <row r="199" spans="13:13">
      <c r="M199" s="354"/>
    </row>
    <row r="200" spans="13:13">
      <c r="M200" s="354"/>
    </row>
    <row r="201" spans="13:13">
      <c r="M201" s="354"/>
    </row>
    <row r="202" spans="13:13">
      <c r="M202" s="354"/>
    </row>
    <row r="203" spans="13:13">
      <c r="M203" s="354"/>
    </row>
    <row r="204" spans="13:13">
      <c r="M204" s="354"/>
    </row>
    <row r="205" spans="13:13">
      <c r="M205" s="354"/>
    </row>
    <row r="206" spans="13:13">
      <c r="M206" s="354"/>
    </row>
    <row r="207" spans="13:13">
      <c r="M207" s="354"/>
    </row>
    <row r="208" spans="13:13">
      <c r="M208" s="354"/>
    </row>
    <row r="209" spans="13:13">
      <c r="M209" s="354"/>
    </row>
    <row r="210" spans="13:13">
      <c r="M210" s="354"/>
    </row>
    <row r="211" spans="13:13">
      <c r="M211" s="354"/>
    </row>
    <row r="212" spans="13:13">
      <c r="M212" s="354"/>
    </row>
    <row r="213" spans="13:13">
      <c r="M213" s="354"/>
    </row>
    <row r="214" spans="13:13">
      <c r="M214" s="354"/>
    </row>
    <row r="215" spans="13:13">
      <c r="M215" s="354"/>
    </row>
    <row r="216" spans="13:13">
      <c r="M216" s="354"/>
    </row>
    <row r="217" spans="13:13">
      <c r="M217" s="354"/>
    </row>
    <row r="218" spans="13:13">
      <c r="M218" s="354"/>
    </row>
    <row r="219" spans="13:13">
      <c r="M219" s="354"/>
    </row>
    <row r="220" spans="13:13">
      <c r="M220" s="354"/>
    </row>
    <row r="221" spans="13:13">
      <c r="M221" s="354"/>
    </row>
    <row r="222" spans="13:13">
      <c r="M222" s="354"/>
    </row>
    <row r="223" spans="13:13">
      <c r="M223" s="354"/>
    </row>
    <row r="224" spans="13:13">
      <c r="M224" s="354"/>
    </row>
    <row r="225" spans="13:13">
      <c r="M225" s="354"/>
    </row>
    <row r="226" spans="13:13">
      <c r="M226" s="354"/>
    </row>
    <row r="227" spans="13:13">
      <c r="M227" s="354"/>
    </row>
    <row r="228" spans="13:13">
      <c r="M228" s="354"/>
    </row>
    <row r="229" spans="13:13">
      <c r="M229" s="354"/>
    </row>
    <row r="230" spans="13:13">
      <c r="M230" s="354"/>
    </row>
    <row r="231" spans="13:13">
      <c r="M231" s="354"/>
    </row>
    <row r="232" spans="13:13">
      <c r="M232" s="354"/>
    </row>
    <row r="233" spans="13:13">
      <c r="M233" s="354"/>
    </row>
    <row r="234" spans="13:13">
      <c r="M234" s="354"/>
    </row>
    <row r="235" spans="13:13">
      <c r="M235" s="354"/>
    </row>
    <row r="236" spans="13:13">
      <c r="M236" s="354"/>
    </row>
    <row r="237" spans="13:13">
      <c r="M237" s="354"/>
    </row>
    <row r="238" spans="13:13">
      <c r="M238" s="354"/>
    </row>
    <row r="239" spans="13:13">
      <c r="M239" s="354"/>
    </row>
    <row r="240" spans="13:13">
      <c r="M240" s="354"/>
    </row>
    <row r="241" spans="13:13">
      <c r="M241" s="354"/>
    </row>
    <row r="242" spans="13:13">
      <c r="M242" s="354"/>
    </row>
    <row r="243" spans="13:13">
      <c r="M243" s="354"/>
    </row>
    <row r="244" spans="13:13">
      <c r="M244" s="354"/>
    </row>
    <row r="245" spans="13:13">
      <c r="M245" s="354"/>
    </row>
    <row r="246" spans="13:13">
      <c r="M246" s="354"/>
    </row>
    <row r="247" spans="13:13">
      <c r="M247" s="354"/>
    </row>
    <row r="248" spans="13:13">
      <c r="M248" s="354"/>
    </row>
    <row r="249" spans="13:13">
      <c r="M249" s="354"/>
    </row>
    <row r="250" spans="13:13">
      <c r="M250" s="354"/>
    </row>
    <row r="251" spans="13:13">
      <c r="M251" s="354"/>
    </row>
  </sheetData>
  <mergeCells count="5">
    <mergeCell ref="A8:K8"/>
    <mergeCell ref="A9:B9"/>
    <mergeCell ref="F9:G9"/>
    <mergeCell ref="A13:R13"/>
    <mergeCell ref="K2:N4"/>
  </mergeCells>
  <conditionalFormatting sqref="I14:I191">
    <cfRule type="containsText" dxfId="32" priority="11" operator="containsText" text="ง่าย">
      <formula>NOT(ISERROR(SEARCH("ง่าย",I14)))</formula>
    </cfRule>
  </conditionalFormatting>
  <conditionalFormatting sqref="I15:I191">
    <cfRule type="containsText" dxfId="31" priority="9" operator="containsText" text="ยาก">
      <formula>NOT(ISERROR(SEARCH("ยาก",I15)))</formula>
    </cfRule>
    <cfRule type="containsText" dxfId="30" priority="10" operator="containsText" text="กลาง">
      <formula>NOT(ISERROR(SEARCH("กลาง",I15)))</formula>
    </cfRule>
  </conditionalFormatting>
  <conditionalFormatting sqref="J15:J191">
    <cfRule type="containsText" dxfId="29" priority="3" operator="containsText" text="ไม่สำคัญ">
      <formula>NOT(ISERROR(SEARCH("ไม่สำคัญ",J15)))</formula>
    </cfRule>
    <cfRule type="containsText" dxfId="28" priority="4" operator="containsText" text="สำคัญ">
      <formula>NOT(ISERROR(SEARCH("สำคัญ",J15)))</formula>
    </cfRule>
  </conditionalFormatting>
  <conditionalFormatting sqref="K15:K191">
    <cfRule type="containsText" dxfId="27" priority="5" operator="containsText" text="ไม่ด่วน">
      <formula>NOT(ISERROR(SEARCH("ไม่ด่วน",K15)))</formula>
    </cfRule>
    <cfRule type="containsText" dxfId="26" priority="6" operator="containsText" text="ด่วน">
      <formula>NOT(ISERROR(SEARCH("ด่วน",K15)))</formula>
    </cfRule>
  </conditionalFormatting>
  <conditionalFormatting sqref="L15:L191">
    <cfRule type="containsText" dxfId="25" priority="2" operator="containsText" text="กำลังดำเนินการ">
      <formula>NOT(ISERROR(SEARCH("กำลังดำเนินการ",L15)))</formula>
    </cfRule>
    <cfRule type="containsText" dxfId="24" priority="7" operator="containsText" text="รอดำเนินการ">
      <formula>NOT(ISERROR(SEARCH("รอดำเนินการ",L15)))</formula>
    </cfRule>
    <cfRule type="containsText" dxfId="23" priority="8" operator="containsText" text="เสร็จสิ้น">
      <formula>NOT(ISERROR(SEARCH("เสร็จสิ้น",L15)))</formula>
    </cfRule>
  </conditionalFormatting>
  <conditionalFormatting sqref="L15:L190">
    <cfRule type="containsText" dxfId="22" priority="1" operator="containsText" text="โอนย้าย">
      <formula>NOT(ISERROR(SEARCH("โอนย้าย",L15)))</formula>
    </cfRule>
  </conditionalFormatting>
  <dataValidations count="8">
    <dataValidation type="list" allowBlank="1" showInputMessage="1" showErrorMessage="1" sqref="C180:C182" xr:uid="{00000000-0002-0000-0400-000000000000}">
      <formula1>"G,2,3,4,5,6,7,8,9,10,11,12,14,15,Roof,หลังบริษัท"</formula1>
    </dataValidation>
    <dataValidation type="list" allowBlank="1" showInputMessage="1" showErrorMessage="1" sqref="E180:E182" xr:uid="{00000000-0002-0000-0400-000001000000}">
      <formula1>"ไฟฟ้า,ประปา,ประตู,สุขภัณฑ์,ขอบคิ้ว,เก้าอี้,ม่าน,ระบบแอร์,อุปกรณ์, งานPM, งานอีเว้น, งานเบ็ดเตล็ด"</formula1>
    </dataValidation>
    <dataValidation type="list" allowBlank="1" showInputMessage="1" showErrorMessage="1" sqref="I15:I29 I31:I191" xr:uid="{00000000-0002-0000-0400-000002000000}">
      <formula1>"ง่าย, กลาง, ยาก"</formula1>
    </dataValidation>
    <dataValidation type="list" allowBlank="1" showInputMessage="1" showErrorMessage="1" sqref="J15:J191" xr:uid="{00000000-0002-0000-0400-000003000000}">
      <formula1>"สำคัญ, ไม่สำคัญ"</formula1>
    </dataValidation>
    <dataValidation type="list" allowBlank="1" showInputMessage="1" showErrorMessage="1" sqref="K15:K191" xr:uid="{00000000-0002-0000-0400-000004000000}">
      <formula1>"ด่วน, ไม่ด่วน"</formula1>
    </dataValidation>
    <dataValidation type="list" allowBlank="1" showInputMessage="1" showErrorMessage="1" sqref="L191" xr:uid="{00000000-0002-0000-0400-000005000000}">
      <formula1>"เสร็จสิ้น, กำลังดำเนินการ, รอดำเนินการ"</formula1>
    </dataValidation>
    <dataValidation type="list" allowBlank="1" showInputMessage="1" showErrorMessage="1" sqref="R15:R190" xr:uid="{00000000-0002-0000-0400-000006000000}">
      <formula1>"มกราคม, กุมภาพันธ์, มีนาคม, เมษายน, พฤษภาคม, มิถุนายน, กรกฎาคม, สิงหาคม, กันยายน, ตุลาคม, พฤศจิกายน, ธันวาคม"</formula1>
    </dataValidation>
    <dataValidation type="list" allowBlank="1" showInputMessage="1" showErrorMessage="1" sqref="L15:L190" xr:uid="{8159A2BB-AB9F-442A-A930-2E4FE65807E7}">
      <formula1>"เสร็จสิ้น, กำลังดำเนินการ, รอดำเนินการ, โอนย้าย"</formula1>
    </dataValidation>
  </dataValidations>
  <pageMargins left="0.7" right="0.7" top="0.75" bottom="0.75" header="0.3" footer="0.3"/>
  <pageSetup paperSize="9" scale="22" orientation="portrait" r:id="rId1"/>
  <rowBreaks count="1" manualBreakCount="1">
    <brk id="191" max="20" man="1"/>
  </row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O88"/>
  <sheetViews>
    <sheetView topLeftCell="A61" zoomScale="85" zoomScaleNormal="85" workbookViewId="0">
      <selection activeCell="G35" sqref="F35:G37"/>
    </sheetView>
  </sheetViews>
  <sheetFormatPr defaultColWidth="9" defaultRowHeight="14.4"/>
  <cols>
    <col min="1" max="1" width="14.5546875" bestFit="1" customWidth="1"/>
    <col min="2" max="2" width="15.109375" customWidth="1"/>
    <col min="3" max="3" width="8.88671875" customWidth="1"/>
  </cols>
  <sheetData>
    <row r="1" spans="1:15" ht="30" customHeight="1">
      <c r="A1" s="528" t="s">
        <v>655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</row>
    <row r="2" spans="1:15" ht="18">
      <c r="A2" s="522" t="s">
        <v>656</v>
      </c>
      <c r="B2" s="522" t="s">
        <v>57</v>
      </c>
      <c r="C2" s="524" t="s">
        <v>58</v>
      </c>
      <c r="D2" s="526" t="s">
        <v>59</v>
      </c>
      <c r="E2" s="527"/>
      <c r="F2" s="527"/>
      <c r="G2" s="527"/>
      <c r="H2" s="527"/>
      <c r="I2" s="527"/>
      <c r="J2" s="527"/>
      <c r="K2" s="527"/>
      <c r="L2" s="527"/>
      <c r="M2" s="527"/>
      <c r="N2" s="527"/>
      <c r="O2" s="527"/>
    </row>
    <row r="3" spans="1:15" ht="15" thickBot="1">
      <c r="A3" s="523"/>
      <c r="B3" s="523"/>
      <c r="C3" s="525"/>
      <c r="D3" s="172" t="s">
        <v>60</v>
      </c>
      <c r="E3" s="172" t="s">
        <v>61</v>
      </c>
      <c r="F3" s="173" t="s">
        <v>62</v>
      </c>
      <c r="G3" s="173" t="s">
        <v>63</v>
      </c>
      <c r="H3" s="173" t="s">
        <v>64</v>
      </c>
      <c r="I3" s="173" t="s">
        <v>65</v>
      </c>
      <c r="J3" s="173" t="s">
        <v>66</v>
      </c>
      <c r="K3" s="173" t="s">
        <v>67</v>
      </c>
      <c r="L3" s="174" t="s">
        <v>68</v>
      </c>
      <c r="M3" s="175" t="s">
        <v>87</v>
      </c>
      <c r="N3" s="175" t="s">
        <v>166</v>
      </c>
      <c r="O3" s="415" t="s">
        <v>780</v>
      </c>
    </row>
    <row r="4" spans="1:15" ht="15" thickBot="1">
      <c r="A4" s="176" t="s">
        <v>69</v>
      </c>
      <c r="B4" s="177">
        <f>COUNTIFS(Table16[ฝ่าย],A26,Table16[สัปดาห์แจ้งซ่อม],1)</f>
        <v>22</v>
      </c>
      <c r="C4" s="178">
        <f>B4/B18</f>
        <v>0.88</v>
      </c>
      <c r="D4" s="416">
        <f>IF(COUNTIFS(Table16[ประเภท],D3,Table16[ฝ่าย],A4,Table16[สัปดาห์แจ้งซ่อม],"1")=0,"-",COUNTIFS(Table16[ประเภท],D3,Table16[ฝ่าย],A4,Table16[สัปดาห์แจ้งซ่อม],"1"))</f>
        <v>4</v>
      </c>
      <c r="E4" s="416">
        <f>IF(COUNTIFS(Table16[ประเภท],E3,Table16[ฝ่าย],A4,Table16[สัปดาห์แจ้งซ่อม],"1")=0,"-",COUNTIFS(Table16[ประเภท],E3,Table16[ฝ่าย],A4,Table16[สัปดาห์แจ้งซ่อม],"1"))</f>
        <v>5</v>
      </c>
      <c r="F4" s="416">
        <f>IF(COUNTIFS(Table16[ประเภท],F3,Table16[ฝ่าย],A4,Table16[สัปดาห์แจ้งซ่อม],"1")=0,"-",COUNTIFS(Table16[ประเภท],F3,Table16[ฝ่าย],A4,Table16[สัปดาห์แจ้งซ่อม],"1"))</f>
        <v>1</v>
      </c>
      <c r="G4" s="416" t="str">
        <f>IF(COUNTIFS(Table16[ประเภท],G3,Table16[ฝ่าย],A4,Table16[สัปดาห์แจ้งซ่อม],"1")=0,"-",COUNTIFS(Table16[ประเภท],G3,Table16[ฝ่าย],A4,Table16[สัปดาห์แจ้งซ่อม],"1"))</f>
        <v>-</v>
      </c>
      <c r="H4" s="416" t="str">
        <f>IF(COUNTIFS(Table16[ประเภท],H3,Table16[ฝ่าย],A4,Table16[สัปดาห์แจ้งซ่อม],"1")=0,"-",COUNTIFS(Table16[ประเภท],H3,Table16[ฝ่าย],A4,Table16[สัปดาห์แจ้งซ่อม],"1"))</f>
        <v>-</v>
      </c>
      <c r="I4" s="416" t="str">
        <f>IF(COUNTIFS(Table16[ประเภท],I3,Table16[ฝ่าย],A4,Table16[สัปดาห์แจ้งซ่อม],"1")=0,"-",COUNTIFS(Table16[ประเภท],I3,Table16[ฝ่าย],A4,Table16[สัปดาห์แจ้งซ่อม],"1"))</f>
        <v>-</v>
      </c>
      <c r="J4" s="416">
        <f>IF(COUNTIFS(Table16[ประเภท],J3,Table16[ฝ่าย],A4,Table16[สัปดาห์แจ้งซ่อม],"1")=0,"-",COUNTIFS(Table16[ประเภท],J3,Table16[ฝ่าย],A4,Table16[สัปดาห์แจ้งซ่อม],"1"))</f>
        <v>2</v>
      </c>
      <c r="K4" s="416">
        <f>IF(COUNTIFS(Table16[ประเภท],K3,Table16[ฝ่าย],A4,Table16[สัปดาห์แจ้งซ่อม],"1")=0,"-",COUNTIFS(Table16[ประเภท],K3,Table16[ฝ่าย],A4,Table16[สัปดาห์แจ้งซ่อม],"1"))</f>
        <v>4</v>
      </c>
      <c r="L4" s="416">
        <f>IF(COUNTIFS(Table16[ประเภท],L3,Table16[ฝ่าย],A4,Table16[สัปดาห์แจ้งซ่อม],"1")=0,"-",COUNTIFS(Table16[ประเภท],L3,Table16[ฝ่าย],A4,Table16[สัปดาห์แจ้งซ่อม],"1"))</f>
        <v>1</v>
      </c>
      <c r="M4" s="416">
        <f>IF(COUNTIFS(Table16[ประเภท],M3,Table16[ฝ่าย],A4,Table16[สัปดาห์แจ้งซ่อม],"1")=0,"-",COUNTIFS(Table16[ประเภท],M3,Table16[ฝ่าย],A4,Table16[สัปดาห์แจ้งซ่อม],"1"))</f>
        <v>2</v>
      </c>
      <c r="N4" s="416">
        <f>IF(COUNTIFS(Table16[ประเภท],N3,Table16[ฝ่าย],A4,Table16[สัปดาห์แจ้งซ่อม],"1")=0,"-",COUNTIFS(Table16[ประเภท],N3,Table16[ฝ่าย],A4,Table16[สัปดาห์แจ้งซ่อม],"1"))</f>
        <v>1</v>
      </c>
      <c r="O4" s="416">
        <f>IF(COUNTIFS(Table16[ประเภท],O3,Table16[ฝ่าย],A4,Table16[สัปดาห์แจ้งซ่อม],"1")=0,"-",COUNTIFS(Table16[ประเภท],O3,Table16[ฝ่าย],A4,Table16[สัปดาห์แจ้งซ่อม],"1"))</f>
        <v>2</v>
      </c>
    </row>
    <row r="5" spans="1:15" ht="15" thickBot="1">
      <c r="A5" s="176" t="s">
        <v>70</v>
      </c>
      <c r="B5" s="177">
        <f>COUNTIFS(Table16[ฝ่าย],A27,Table16[สัปดาห์แจ้งซ่อม],1)</f>
        <v>0</v>
      </c>
      <c r="C5" s="178">
        <f>B5/B18</f>
        <v>0</v>
      </c>
      <c r="D5" s="416" t="str">
        <f>IF(COUNTIFS(Table16[ประเภท],D3,Table16[ฝ่าย],A5,Table16[สัปดาห์แจ้งซ่อม],"1")=0,"-",COUNTIFS(Table16[ประเภท],D3,Table16[ฝ่าย],A5,Table16[สัปดาห์แจ้งซ่อม],"1"))</f>
        <v>-</v>
      </c>
      <c r="E5" s="416" t="str">
        <f>IF(COUNTIFS(Table16[ประเภท],E3,Table16[ฝ่าย],A5,Table16[สัปดาห์แจ้งซ่อม],"1")=0,"-",COUNTIFS(Table16[ประเภท],E3,Table16[ฝ่าย],A5,Table16[สัปดาห์แจ้งซ่อม],"1"))</f>
        <v>-</v>
      </c>
      <c r="F5" s="416" t="str">
        <f>IF(COUNTIFS(Table16[ประเภท],F3,Table16[ฝ่าย],A5,Table16[สัปดาห์แจ้งซ่อม],"1")=0,"-",COUNTIFS(Table16[ประเภท],F3,Table16[ฝ่าย],A5,Table16[สัปดาห์แจ้งซ่อม],"1"))</f>
        <v>-</v>
      </c>
      <c r="G5" s="416" t="str">
        <f>IF(COUNTIFS(Table16[ประเภท],G3,Table16[ฝ่าย],A5,Table16[สัปดาห์แจ้งซ่อม],"1")=0,"-",COUNTIFS(Table16[ประเภท],G3,Table16[ฝ่าย],A5,Table16[สัปดาห์แจ้งซ่อม],"1"))</f>
        <v>-</v>
      </c>
      <c r="H5" s="416" t="str">
        <f>IF(COUNTIFS(Table16[ประเภท],H3,Table16[ฝ่าย],A5,Table16[สัปดาห์แจ้งซ่อม],"1")=0,"-",COUNTIFS(Table16[ประเภท],H3,Table16[ฝ่าย],A5,Table16[สัปดาห์แจ้งซ่อม],"1"))</f>
        <v>-</v>
      </c>
      <c r="I5" s="416" t="str">
        <f>IF(COUNTIFS(Table16[ประเภท],I3,Table16[ฝ่าย],A5,Table16[สัปดาห์แจ้งซ่อม],"1")=0,"-",COUNTIFS(Table16[ประเภท],I3,Table16[ฝ่าย],A5,Table16[สัปดาห์แจ้งซ่อม],"1"))</f>
        <v>-</v>
      </c>
      <c r="J5" s="416" t="str">
        <f>IF(COUNTIFS(Table16[ประเภท],J3,Table16[ฝ่าย],A5,Table16[สัปดาห์แจ้งซ่อม],"1")=0,"-",COUNTIFS(Table16[ประเภท],J3,Table16[ฝ่าย],A5,Table16[สัปดาห์แจ้งซ่อม],"1"))</f>
        <v>-</v>
      </c>
      <c r="K5" s="416" t="str">
        <f>IF(COUNTIFS(Table16[ประเภท],K3,Table16[ฝ่าย],A5,Table16[สัปดาห์แจ้งซ่อม],"1")=0,"-",COUNTIFS(Table16[ประเภท],K3,Table16[ฝ่าย],A5,Table16[สัปดาห์แจ้งซ่อม],"1"))</f>
        <v>-</v>
      </c>
      <c r="L5" s="416" t="str">
        <f>IF(COUNTIFS(Table16[ประเภท],L3,Table16[ฝ่าย],A5,Table16[สัปดาห์แจ้งซ่อม],"1")=0,"-",COUNTIFS(Table16[ประเภท],L3,Table16[ฝ่าย],A5,Table16[สัปดาห์แจ้งซ่อม],"1"))</f>
        <v>-</v>
      </c>
      <c r="M5" s="416" t="str">
        <f>IF(COUNTIFS(Table16[ประเภท],M3,Table16[ฝ่าย],A5,Table16[สัปดาห์แจ้งซ่อม],"1")=0,"-",COUNTIFS(Table16[ประเภท],M3,Table16[ฝ่าย],A5,Table16[สัปดาห์แจ้งซ่อม],"1"))</f>
        <v>-</v>
      </c>
      <c r="N5" s="416" t="str">
        <f>IF(COUNTIFS(Table16[ประเภท],N3,Table16[ฝ่าย],A5,Table16[สัปดาห์แจ้งซ่อม],"1")=0,"-",COUNTIFS(Table16[ประเภท],N3,Table16[ฝ่าย],A5,Table16[สัปดาห์แจ้งซ่อม],"1"))</f>
        <v>-</v>
      </c>
      <c r="O5" s="416"/>
    </row>
    <row r="6" spans="1:15" ht="15" thickBot="1">
      <c r="A6" s="176" t="s">
        <v>71</v>
      </c>
      <c r="B6" s="177">
        <f>COUNTIFS(Table16[ฝ่าย],A28,Table16[สัปดาห์แจ้งซ่อม],1)</f>
        <v>2</v>
      </c>
      <c r="C6" s="178">
        <f>B6/B18</f>
        <v>0.08</v>
      </c>
      <c r="D6" s="416" t="str">
        <f>IF(COUNTIFS(Table16[ประเภท],D3,Table16[ฝ่าย],A6,Table16[สัปดาห์แจ้งซ่อม],"1")=0,"-",COUNTIFS(Table16[ประเภท],D3,Table16[ฝ่าย],A6,Table16[สัปดาห์แจ้งซ่อม],"1"))</f>
        <v>-</v>
      </c>
      <c r="E6" s="416">
        <f>IF(COUNTIFS(Table16[ประเภท],E3,Table16[ฝ่าย],A6,Table16[สัปดาห์แจ้งซ่อม],"1")=0,"-",COUNTIFS(Table16[ประเภท],E3,Table16[ฝ่าย],A6,Table16[สัปดาห์แจ้งซ่อม],"1"))</f>
        <v>1</v>
      </c>
      <c r="F6" s="416" t="str">
        <f>IF(COUNTIFS(Table16[ประเภท],F3,Table16[ฝ่าย],A6,Table16[สัปดาห์แจ้งซ่อม],"1")=0,"-",COUNTIFS(Table16[ประเภท],F3,Table16[ฝ่าย],A6,Table16[สัปดาห์แจ้งซ่อม],"1"))</f>
        <v>-</v>
      </c>
      <c r="G6" s="416" t="str">
        <f>IF(COUNTIFS(Table16[ประเภท],G3,Table16[ฝ่าย],A6,Table16[สัปดาห์แจ้งซ่อม],"1")=0,"-",COUNTIFS(Table16[ประเภท],G3,Table16[ฝ่าย],A6,Table16[สัปดาห์แจ้งซ่อม],"1"))</f>
        <v>-</v>
      </c>
      <c r="H6" s="416" t="str">
        <f>IF(COUNTIFS(Table16[ประเภท],H3,Table16[ฝ่าย],A6,Table16[สัปดาห์แจ้งซ่อม],"1")=0,"-",COUNTIFS(Table16[ประเภท],H3,Table16[ฝ่าย],A6,Table16[สัปดาห์แจ้งซ่อม],"1"))</f>
        <v>-</v>
      </c>
      <c r="I6" s="416" t="str">
        <f>IF(COUNTIFS(Table16[ประเภท],I3,Table16[ฝ่าย],A6,Table16[สัปดาห์แจ้งซ่อม],"1")=0,"-",COUNTIFS(Table16[ประเภท],I3,Table16[ฝ่าย],A6,Table16[สัปดาห์แจ้งซ่อม],"1"))</f>
        <v>-</v>
      </c>
      <c r="J6" s="416" t="str">
        <f>IF(COUNTIFS(Table16[ประเภท],J3,Table16[ฝ่าย],A6,Table16[สัปดาห์แจ้งซ่อม],"1")=0,"-",COUNTIFS(Table16[ประเภท],J3,Table16[ฝ่าย],A6,Table16[สัปดาห์แจ้งซ่อม],"1"))</f>
        <v>-</v>
      </c>
      <c r="K6" s="416" t="str">
        <f>IF(COUNTIFS(Table16[ประเภท],K3,Table16[ฝ่าย],A6,Table16[สัปดาห์แจ้งซ่อม],"1")=0,"-",COUNTIFS(Table16[ประเภท],K3,Table16[ฝ่าย],A6,Table16[สัปดาห์แจ้งซ่อม],"1"))</f>
        <v>-</v>
      </c>
      <c r="L6" s="416">
        <f>IF(COUNTIFS(Table16[ประเภท],L3,Table16[ฝ่าย],A6,Table16[สัปดาห์แจ้งซ่อม],"1")=0,"-",COUNTIFS(Table16[ประเภท],L3,Table16[ฝ่าย],A6,Table16[สัปดาห์แจ้งซ่อม],"1"))</f>
        <v>1</v>
      </c>
      <c r="M6" s="416" t="str">
        <f>IF(COUNTIFS(Table16[ประเภท],M3,Table16[ฝ่าย],A6,Table16[สัปดาห์แจ้งซ่อม],"1")=0,"-",COUNTIFS(Table16[ประเภท],M3,Table16[ฝ่าย],A6,Table16[สัปดาห์แจ้งซ่อม],"1"))</f>
        <v>-</v>
      </c>
      <c r="N6" s="416" t="str">
        <f>IF(COUNTIFS(Table16[ประเภท],N3,Table16[ฝ่าย],A6,Table16[สัปดาห์แจ้งซ่อม],"1")=0,"-",COUNTIFS(Table16[ประเภท],N3,Table16[ฝ่าย],A6,Table16[สัปดาห์แจ้งซ่อม],"1"))</f>
        <v>-</v>
      </c>
      <c r="O6" s="416"/>
    </row>
    <row r="7" spans="1:15" ht="15" thickBot="1">
      <c r="A7" s="176" t="s">
        <v>72</v>
      </c>
      <c r="B7" s="177">
        <f>COUNTIFS(Table16[ฝ่าย],A29,Table16[สัปดาห์แจ้งซ่อม],1)</f>
        <v>0</v>
      </c>
      <c r="C7" s="178">
        <f>B7/B18</f>
        <v>0</v>
      </c>
      <c r="D7" s="416" t="str">
        <f>IF(COUNTIFS(Table16[ประเภท],D3,Table16[ฝ่าย],A7,Table16[สัปดาห์แจ้งซ่อม],"1")=0,"-",COUNTIFS(Table16[ประเภท],D3,Table16[ฝ่าย],A7,Table16[สัปดาห์แจ้งซ่อม],"1"))</f>
        <v>-</v>
      </c>
      <c r="E7" s="416" t="str">
        <f>IF(COUNTIFS(Table16[ประเภท],E3,Table16[ฝ่าย],A7,Table16[สัปดาห์แจ้งซ่อม],"1")=0,"-",COUNTIFS(Table16[ประเภท],E3,Table16[ฝ่าย],A7,Table16[สัปดาห์แจ้งซ่อม],"1"))</f>
        <v>-</v>
      </c>
      <c r="F7" s="416" t="str">
        <f>IF(COUNTIFS(Table16[ประเภท],F3,Table16[ฝ่าย],A7,Table16[สัปดาห์แจ้งซ่อม],"1")=0,"-",COUNTIFS(Table16[ประเภท],F3,Table16[ฝ่าย],A7,Table16[สัปดาห์แจ้งซ่อม],"1"))</f>
        <v>-</v>
      </c>
      <c r="G7" s="416" t="str">
        <f>IF(COUNTIFS(Table16[ประเภท],G3,Table16[ฝ่าย],A7,Table16[สัปดาห์แจ้งซ่อม],"1")=0,"-",COUNTIFS(Table16[ประเภท],G3,Table16[ฝ่าย],A7,Table16[สัปดาห์แจ้งซ่อม],"1"))</f>
        <v>-</v>
      </c>
      <c r="H7" s="416" t="str">
        <f>IF(COUNTIFS(Table16[ประเภท],H3,Table16[ฝ่าย],A7,Table16[สัปดาห์แจ้งซ่อม],"1")=0,"-",COUNTIFS(Table16[ประเภท],H3,Table16[ฝ่าย],A7,Table16[สัปดาห์แจ้งซ่อม],"1"))</f>
        <v>-</v>
      </c>
      <c r="I7" s="416" t="str">
        <f>IF(COUNTIFS(Table16[ประเภท],I3,Table16[ฝ่าย],A7,Table16[สัปดาห์แจ้งซ่อม],"1")=0,"-",COUNTIFS(Table16[ประเภท],I3,Table16[ฝ่าย],A7,Table16[สัปดาห์แจ้งซ่อม],"1"))</f>
        <v>-</v>
      </c>
      <c r="J7" s="416" t="str">
        <f>IF(COUNTIFS(Table16[ประเภท],J3,Table16[ฝ่าย],A7,Table16[สัปดาห์แจ้งซ่อม],"1")=0,"-",COUNTIFS(Table16[ประเภท],J3,Table16[ฝ่าย],A7,Table16[สัปดาห์แจ้งซ่อม],"1"))</f>
        <v>-</v>
      </c>
      <c r="K7" s="416" t="str">
        <f>IF(COUNTIFS(Table16[ประเภท],K3,Table16[ฝ่าย],A7,Table16[สัปดาห์แจ้งซ่อม],"1")=0,"-",COUNTIFS(Table16[ประเภท],K3,Table16[ฝ่าย],A7,Table16[สัปดาห์แจ้งซ่อม],"1"))</f>
        <v>-</v>
      </c>
      <c r="L7" s="416" t="str">
        <f>IF(COUNTIFS(Table16[ประเภท],L3,Table16[ฝ่าย],A7,Table16[สัปดาห์แจ้งซ่อม],"1")=0,"-",COUNTIFS(Table16[ประเภท],L3,Table16[ฝ่าย],A7,Table16[สัปดาห์แจ้งซ่อม],"1"))</f>
        <v>-</v>
      </c>
      <c r="M7" s="416" t="str">
        <f>IF(COUNTIFS(Table16[ประเภท],M3,Table16[ฝ่าย],A7,Table16[สัปดาห์แจ้งซ่อม],"1")=0,"-",COUNTIFS(Table16[ประเภท],M3,Table16[ฝ่าย],A7,Table16[สัปดาห์แจ้งซ่อม],"1"))</f>
        <v>-</v>
      </c>
      <c r="N7" s="416" t="str">
        <f>IF(COUNTIFS(Table16[ประเภท],N3,Table16[ฝ่าย],A7,Table16[สัปดาห์แจ้งซ่อม],"1")=0,"-",COUNTIFS(Table16[ประเภท],N3,Table16[ฝ่าย],A7,Table16[สัปดาห์แจ้งซ่อม],"1"))</f>
        <v>-</v>
      </c>
      <c r="O7" s="416"/>
    </row>
    <row r="8" spans="1:15" ht="15" thickBot="1">
      <c r="A8" s="176" t="s">
        <v>73</v>
      </c>
      <c r="B8" s="177">
        <f>COUNTIFS(Table16[ฝ่าย],A30,Table16[สัปดาห์แจ้งซ่อม],1)</f>
        <v>0</v>
      </c>
      <c r="C8" s="178">
        <f>B8/B18</f>
        <v>0</v>
      </c>
      <c r="D8" s="416" t="str">
        <f>IF(COUNTIFS(Table16[ประเภท],D3,Table16[ฝ่าย],A8,Table16[สัปดาห์แจ้งซ่อม],"1")=0,"-",COUNTIFS(Table16[ประเภท],D3,Table16[ฝ่าย],A8,Table16[สัปดาห์แจ้งซ่อม],"1"))</f>
        <v>-</v>
      </c>
      <c r="E8" s="416" t="str">
        <f>IF(COUNTIFS(Table16[ประเภท],E3,Table16[ฝ่าย],A8,Table16[สัปดาห์แจ้งซ่อม],"1")=0,"-",COUNTIFS(Table16[ประเภท],E3,Table16[ฝ่าย],A8,Table16[สัปดาห์แจ้งซ่อม],"1"))</f>
        <v>-</v>
      </c>
      <c r="F8" s="416" t="str">
        <f>IF(COUNTIFS(Table16[ประเภท],F3,Table16[ฝ่าย],A8,Table16[สัปดาห์แจ้งซ่อม],"1")=0,"-",COUNTIFS(Table16[ประเภท],F3,Table16[ฝ่าย],A8,Table16[สัปดาห์แจ้งซ่อม],"1"))</f>
        <v>-</v>
      </c>
      <c r="G8" s="416" t="str">
        <f>IF(COUNTIFS(Table16[ประเภท],G3,Table16[ฝ่าย],A8,Table16[สัปดาห์แจ้งซ่อม],"1")=0,"-",COUNTIFS(Table16[ประเภท],G3,Table16[ฝ่าย],A8,Table16[สัปดาห์แจ้งซ่อม],"1"))</f>
        <v>-</v>
      </c>
      <c r="H8" s="416" t="str">
        <f>IF(COUNTIFS(Table16[ประเภท],H3,Table16[ฝ่าย],A8,Table16[สัปดาห์แจ้งซ่อม],"1")=0,"-",COUNTIFS(Table16[ประเภท],H3,Table16[ฝ่าย],A8,Table16[สัปดาห์แจ้งซ่อม],"1"))</f>
        <v>-</v>
      </c>
      <c r="I8" s="416" t="str">
        <f>IF(COUNTIFS(Table16[ประเภท],I3,Table16[ฝ่าย],A8,Table16[สัปดาห์แจ้งซ่อม],"1")=0,"-",COUNTIFS(Table16[ประเภท],I3,Table16[ฝ่าย],A8,Table16[สัปดาห์แจ้งซ่อม],"1"))</f>
        <v>-</v>
      </c>
      <c r="J8" s="416" t="str">
        <f>IF(COUNTIFS(Table16[ประเภท],J3,Table16[ฝ่าย],A8,Table16[สัปดาห์แจ้งซ่อม],"1")=0,"-",COUNTIFS(Table16[ประเภท],J3,Table16[ฝ่าย],A8,Table16[สัปดาห์แจ้งซ่อม],"1"))</f>
        <v>-</v>
      </c>
      <c r="K8" s="416" t="str">
        <f>IF(COUNTIFS(Table16[ประเภท],K3,Table16[ฝ่าย],A8,Table16[สัปดาห์แจ้งซ่อม],"1")=0,"-",COUNTIFS(Table16[ประเภท],K3,Table16[ฝ่าย],A8,Table16[สัปดาห์แจ้งซ่อม],"1"))</f>
        <v>-</v>
      </c>
      <c r="L8" s="416" t="str">
        <f>IF(COUNTIFS(Table16[ประเภท],L3,Table16[ฝ่าย],A8,Table16[สัปดาห์แจ้งซ่อม],"1")=0,"-",COUNTIFS(Table16[ประเภท],L3,Table16[ฝ่าย],A8,Table16[สัปดาห์แจ้งซ่อม],"1"))</f>
        <v>-</v>
      </c>
      <c r="M8" s="416" t="str">
        <f>IF(COUNTIFS(Table16[ประเภท],M3,Table16[ฝ่าย],A8,Table16[สัปดาห์แจ้งซ่อม],"1")=0,"-",COUNTIFS(Table16[ประเภท],M3,Table16[ฝ่าย],A8,Table16[สัปดาห์แจ้งซ่อม],"1"))</f>
        <v>-</v>
      </c>
      <c r="N8" s="416" t="str">
        <f>IF(COUNTIFS(Table16[ประเภท],N3,Table16[ฝ่าย],A8,Table16[สัปดาห์แจ้งซ่อม],"1")=0,"-",COUNTIFS(Table16[ประเภท],N3,Table16[ฝ่าย],A8,Table16[สัปดาห์แจ้งซ่อม],"1"))</f>
        <v>-</v>
      </c>
      <c r="O8" s="416"/>
    </row>
    <row r="9" spans="1:15" ht="15" thickBot="1">
      <c r="A9" s="176" t="s">
        <v>74</v>
      </c>
      <c r="B9" s="177">
        <f>COUNTIFS(Table16[ฝ่าย],A31,Table16[สัปดาห์แจ้งซ่อม],1)</f>
        <v>0</v>
      </c>
      <c r="C9" s="178">
        <f>B9/B18</f>
        <v>0</v>
      </c>
      <c r="D9" s="416" t="str">
        <f>IF(COUNTIFS(Table16[ประเภท],D3,Table16[ฝ่าย],A9,Table16[สัปดาห์แจ้งซ่อม],"1")=0,"-",COUNTIFS(Table16[ประเภท],D3,Table16[ฝ่าย],A9,Table16[สัปดาห์แจ้งซ่อม],"1"))</f>
        <v>-</v>
      </c>
      <c r="E9" s="416" t="str">
        <f>IF(COUNTIFS(Table16[ประเภท],E3,Table16[ฝ่าย],A9,Table16[สัปดาห์แจ้งซ่อม],"1")=0,"-",COUNTIFS(Table16[ประเภท],E3,Table16[ฝ่าย],A9,Table16[สัปดาห์แจ้งซ่อม],"1"))</f>
        <v>-</v>
      </c>
      <c r="F9" s="416" t="str">
        <f>IF(COUNTIFS(Table16[ประเภท],F3,Table16[ฝ่าย],A9,Table16[สัปดาห์แจ้งซ่อม],"1")=0,"-",COUNTIFS(Table16[ประเภท],F3,Table16[ฝ่าย],A9,Table16[สัปดาห์แจ้งซ่อม],"1"))</f>
        <v>-</v>
      </c>
      <c r="G9" s="416" t="str">
        <f>IF(COUNTIFS(Table16[ประเภท],G3,Table16[ฝ่าย],A9,Table16[สัปดาห์แจ้งซ่อม],"1")=0,"-",COUNTIFS(Table16[ประเภท],G3,Table16[ฝ่าย],A9,Table16[สัปดาห์แจ้งซ่อม],"1"))</f>
        <v>-</v>
      </c>
      <c r="H9" s="416" t="str">
        <f>IF(COUNTIFS(Table16[ประเภท],H3,Table16[ฝ่าย],A9,Table16[สัปดาห์แจ้งซ่อม],"1")=0,"-",COUNTIFS(Table16[ประเภท],H3,Table16[ฝ่าย],A9,Table16[สัปดาห์แจ้งซ่อม],"1"))</f>
        <v>-</v>
      </c>
      <c r="I9" s="416" t="str">
        <f>IF(COUNTIFS(Table16[ประเภท],I3,Table16[ฝ่าย],A9,Table16[สัปดาห์แจ้งซ่อม],"1")=0,"-",COUNTIFS(Table16[ประเภท],I3,Table16[ฝ่าย],A9,Table16[สัปดาห์แจ้งซ่อม],"1"))</f>
        <v>-</v>
      </c>
      <c r="J9" s="416" t="str">
        <f>IF(COUNTIFS(Table16[ประเภท],J3,Table16[ฝ่าย],A9,Table16[สัปดาห์แจ้งซ่อม],"1")=0,"-",COUNTIFS(Table16[ประเภท],J3,Table16[ฝ่าย],A9,Table16[สัปดาห์แจ้งซ่อม],"1"))</f>
        <v>-</v>
      </c>
      <c r="K9" s="416" t="str">
        <f>IF(COUNTIFS(Table16[ประเภท],K3,Table16[ฝ่าย],A9,Table16[สัปดาห์แจ้งซ่อม],"1")=0,"-",COUNTIFS(Table16[ประเภท],K3,Table16[ฝ่าย],A9,Table16[สัปดาห์แจ้งซ่อม],"1"))</f>
        <v>-</v>
      </c>
      <c r="L9" s="416" t="str">
        <f>IF(COUNTIFS(Table16[ประเภท],L3,Table16[ฝ่าย],A9,Table16[สัปดาห์แจ้งซ่อม],"1")=0,"-",COUNTIFS(Table16[ประเภท],L3,Table16[ฝ่าย],A9,Table16[สัปดาห์แจ้งซ่อม],"1"))</f>
        <v>-</v>
      </c>
      <c r="M9" s="416" t="str">
        <f>IF(COUNTIFS(Table16[ประเภท],M3,Table16[ฝ่าย],A9,Table16[สัปดาห์แจ้งซ่อม],"1")=0,"-",COUNTIFS(Table16[ประเภท],M3,Table16[ฝ่าย],A9,Table16[สัปดาห์แจ้งซ่อม],"1"))</f>
        <v>-</v>
      </c>
      <c r="N9" s="416" t="str">
        <f>IF(COUNTIFS(Table16[ประเภท],N3,Table16[ฝ่าย],A9,Table16[สัปดาห์แจ้งซ่อม],"1")=0,"-",COUNTIFS(Table16[ประเภท],N3,Table16[ฝ่าย],A9,Table16[สัปดาห์แจ้งซ่อม],"1"))</f>
        <v>-</v>
      </c>
      <c r="O9" s="416"/>
    </row>
    <row r="10" spans="1:15" ht="15" thickBot="1">
      <c r="A10" s="176" t="s">
        <v>75</v>
      </c>
      <c r="B10" s="177">
        <f>COUNTIFS(Table16[ฝ่าย],A32,Table16[สัปดาห์แจ้งซ่อม],1)</f>
        <v>0</v>
      </c>
      <c r="C10" s="178">
        <f>B10/B18</f>
        <v>0</v>
      </c>
      <c r="D10" s="416" t="str">
        <f>IF(COUNTIFS(Table16[ประเภท],D3,Table16[ฝ่าย],A10,Table16[สัปดาห์แจ้งซ่อม],"1")=0,"-",COUNTIFS(Table16[ประเภท],D3,Table16[ฝ่าย],A10,Table16[สัปดาห์แจ้งซ่อม],"1"))</f>
        <v>-</v>
      </c>
      <c r="E10" s="416" t="str">
        <f>IF(COUNTIFS(Table16[ประเภท],E3,Table16[ฝ่าย],A10,Table16[สัปดาห์แจ้งซ่อม],"1")=0,"-",COUNTIFS(Table16[ประเภท],E3,Table16[ฝ่าย],A10,Table16[สัปดาห์แจ้งซ่อม],"1"))</f>
        <v>-</v>
      </c>
      <c r="F10" s="416" t="str">
        <f>IF(COUNTIFS(Table16[ประเภท],F3,Table16[ฝ่าย],A10,Table16[สัปดาห์แจ้งซ่อม],"1")=0,"-",COUNTIFS(Table16[ประเภท],F3,Table16[ฝ่าย],A10,Table16[สัปดาห์แจ้งซ่อม],"1"))</f>
        <v>-</v>
      </c>
      <c r="G10" s="416" t="str">
        <f>IF(COUNTIFS(Table16[ประเภท],G3,Table16[ฝ่าย],A10,Table16[สัปดาห์แจ้งซ่อม],"1")=0,"-",COUNTIFS(Table16[ประเภท],G3,Table16[ฝ่าย],A10,Table16[สัปดาห์แจ้งซ่อม],"1"))</f>
        <v>-</v>
      </c>
      <c r="H10" s="416" t="str">
        <f>IF(COUNTIFS(Table16[ประเภท],H3,Table16[ฝ่าย],A10,Table16[สัปดาห์แจ้งซ่อม],"1")=0,"-",COUNTIFS(Table16[ประเภท],H3,Table16[ฝ่าย],A10,Table16[สัปดาห์แจ้งซ่อม],"1"))</f>
        <v>-</v>
      </c>
      <c r="I10" s="416" t="str">
        <f>IF(COUNTIFS(Table16[ประเภท],I3,Table16[ฝ่าย],A10,Table16[สัปดาห์แจ้งซ่อม],"1")=0,"-",COUNTIFS(Table16[ประเภท],I3,Table16[ฝ่าย],A10,Table16[สัปดาห์แจ้งซ่อม],"1"))</f>
        <v>-</v>
      </c>
      <c r="J10" s="416" t="str">
        <f>IF(COUNTIFS(Table16[ประเภท],J3,Table16[ฝ่าย],A10,Table16[สัปดาห์แจ้งซ่อม],"1")=0,"-",COUNTIFS(Table16[ประเภท],J3,Table16[ฝ่าย],A10,Table16[สัปดาห์แจ้งซ่อม],"1"))</f>
        <v>-</v>
      </c>
      <c r="K10" s="416" t="str">
        <f>IF(COUNTIFS(Table16[ประเภท],K3,Table16[ฝ่าย],A10,Table16[สัปดาห์แจ้งซ่อม],"1")=0,"-",COUNTIFS(Table16[ประเภท],K3,Table16[ฝ่าย],A10,Table16[สัปดาห์แจ้งซ่อม],"1"))</f>
        <v>-</v>
      </c>
      <c r="L10" s="416" t="str">
        <f>IF(COUNTIFS(Table16[ประเภท],L3,Table16[ฝ่าย],A10,Table16[สัปดาห์แจ้งซ่อม],"1")=0,"-",COUNTIFS(Table16[ประเภท],L3,Table16[ฝ่าย],A10,Table16[สัปดาห์แจ้งซ่อม],"1"))</f>
        <v>-</v>
      </c>
      <c r="M10" s="416" t="str">
        <f>IF(COUNTIFS(Table16[ประเภท],M3,Table16[ฝ่าย],A10,Table16[สัปดาห์แจ้งซ่อม],"1")=0,"-",COUNTIFS(Table16[ประเภท],M3,Table16[ฝ่าย],A10,Table16[สัปดาห์แจ้งซ่อม],"1"))</f>
        <v>-</v>
      </c>
      <c r="N10" s="416" t="str">
        <f>IF(COUNTIFS(Table16[ประเภท],N3,Table16[ฝ่าย],A10,Table16[สัปดาห์แจ้งซ่อม],"1")=0,"-",COUNTIFS(Table16[ประเภท],N3,Table16[ฝ่าย],A10,Table16[สัปดาห์แจ้งซ่อม],"1"))</f>
        <v>-</v>
      </c>
      <c r="O10" s="416"/>
    </row>
    <row r="11" spans="1:15" ht="15" thickBot="1">
      <c r="A11" s="176" t="s">
        <v>76</v>
      </c>
      <c r="B11" s="177">
        <f>COUNTIFS(Table16[ฝ่าย],A33,Table16[สัปดาห์แจ้งซ่อม],1)</f>
        <v>1</v>
      </c>
      <c r="C11" s="178">
        <f>B11/B18</f>
        <v>0.04</v>
      </c>
      <c r="D11" s="416" t="str">
        <f>IF(COUNTIFS(Table16[ประเภท],D3,Table16[ฝ่าย],A11,Table16[สัปดาห์แจ้งซ่อม],"1")=0,"-",COUNTIFS(Table16[ประเภท],D3,Table16[ฝ่าย],A11,Table16[สัปดาห์แจ้งซ่อม],"1"))</f>
        <v>-</v>
      </c>
      <c r="E11" s="416" t="str">
        <f>IF(COUNTIFS(Table16[ประเภท],E3,Table16[ฝ่าย],A11,Table16[สัปดาห์แจ้งซ่อม],"1")=0,"-",COUNTIFS(Table16[ประเภท],E3,Table16[ฝ่าย],A11,Table16[สัปดาห์แจ้งซ่อม],"1"))</f>
        <v>-</v>
      </c>
      <c r="F11" s="416" t="str">
        <f>IF(COUNTIFS(Table16[ประเภท],F3,Table16[ฝ่าย],A11,Table16[สัปดาห์แจ้งซ่อม],"1")=0,"-",COUNTIFS(Table16[ประเภท],F3,Table16[ฝ่าย],A11,Table16[สัปดาห์แจ้งซ่อม],"1"))</f>
        <v>-</v>
      </c>
      <c r="G11" s="416" t="str">
        <f>IF(COUNTIFS(Table16[ประเภท],G3,Table16[ฝ่าย],A11,Table16[สัปดาห์แจ้งซ่อม],"1")=0,"-",COUNTIFS(Table16[ประเภท],G3,Table16[ฝ่าย],A11,Table16[สัปดาห์แจ้งซ่อม],"1"))</f>
        <v>-</v>
      </c>
      <c r="H11" s="416" t="str">
        <f>IF(COUNTIFS(Table16[ประเภท],H3,Table16[ฝ่าย],A11,Table16[สัปดาห์แจ้งซ่อม],"1")=0,"-",COUNTIFS(Table16[ประเภท],H3,Table16[ฝ่าย],A11,Table16[สัปดาห์แจ้งซ่อม],"1"))</f>
        <v>-</v>
      </c>
      <c r="I11" s="416" t="str">
        <f>IF(COUNTIFS(Table16[ประเภท],I3,Table16[ฝ่าย],A11,Table16[สัปดาห์แจ้งซ่อม],"1")=0,"-",COUNTIFS(Table16[ประเภท],I3,Table16[ฝ่าย],A11,Table16[สัปดาห์แจ้งซ่อม],"1"))</f>
        <v>-</v>
      </c>
      <c r="J11" s="416">
        <f>IF(COUNTIFS(Table16[ประเภท],J3,Table16[ฝ่าย],A11,Table16[สัปดาห์แจ้งซ่อม],"1")=0,"-",COUNTIFS(Table16[ประเภท],J3,Table16[ฝ่าย],A11,Table16[สัปดาห์แจ้งซ่อม],"1"))</f>
        <v>1</v>
      </c>
      <c r="K11" s="416" t="str">
        <f>IF(COUNTIFS(Table16[ประเภท],K3,Table16[ฝ่าย],A11,Table16[สัปดาห์แจ้งซ่อม],"1")=0,"-",COUNTIFS(Table16[ประเภท],K3,Table16[ฝ่าย],A11,Table16[สัปดาห์แจ้งซ่อม],"1"))</f>
        <v>-</v>
      </c>
      <c r="L11" s="416" t="str">
        <f>IF(COUNTIFS(Table16[ประเภท],L3,Table16[ฝ่าย],A11,Table16[สัปดาห์แจ้งซ่อม],"1")=0,"-",COUNTIFS(Table16[ประเภท],L3,Table16[ฝ่าย],A11,Table16[สัปดาห์แจ้งซ่อม],"1"))</f>
        <v>-</v>
      </c>
      <c r="M11" s="416" t="str">
        <f>IF(COUNTIFS(Table16[ประเภท],M3,Table16[ฝ่าย],A11,Table16[สัปดาห์แจ้งซ่อม],"1")=0,"-",COUNTIFS(Table16[ประเภท],M3,Table16[ฝ่าย],A11,Table16[สัปดาห์แจ้งซ่อม],"1"))</f>
        <v>-</v>
      </c>
      <c r="N11" s="416" t="str">
        <f>IF(COUNTIFS(Table16[ประเภท],N3,Table16[ฝ่าย],A11,Table16[สัปดาห์แจ้งซ่อม],"1")=0,"-",COUNTIFS(Table16[ประเภท],N3,Table16[ฝ่าย],A11,Table16[สัปดาห์แจ้งซ่อม],"1"))</f>
        <v>-</v>
      </c>
      <c r="O11" s="416"/>
    </row>
    <row r="12" spans="1:15" ht="15" thickBot="1">
      <c r="A12" s="176" t="s">
        <v>77</v>
      </c>
      <c r="B12" s="177">
        <f>COUNTIFS(Table16[ฝ่าย],A34,Table16[สัปดาห์แจ้งซ่อม],1)</f>
        <v>0</v>
      </c>
      <c r="C12" s="178">
        <f>B12/B18</f>
        <v>0</v>
      </c>
      <c r="D12" s="416" t="str">
        <f>IF(COUNTIFS(Table16[ประเภท],D3,Table16[ฝ่าย],A12,Table16[สัปดาห์แจ้งซ่อม],"1")=0,"-",COUNTIFS(Table16[ประเภท],D3,Table16[ฝ่าย],A12,Table16[สัปดาห์แจ้งซ่อม],"1"))</f>
        <v>-</v>
      </c>
      <c r="E12" s="416" t="str">
        <f>IF(COUNTIFS(Table16[ประเภท],E3,Table16[ฝ่าย],A12,Table16[สัปดาห์แจ้งซ่อม],"1")=0,"-",COUNTIFS(Table16[ประเภท],E3,Table16[ฝ่าย],A12,Table16[สัปดาห์แจ้งซ่อม],"1"))</f>
        <v>-</v>
      </c>
      <c r="F12" s="416" t="str">
        <f>IF(COUNTIFS(Table16[ประเภท],F3,Table16[ฝ่าย],A12,Table16[สัปดาห์แจ้งซ่อม],"1")=0,"-",COUNTIFS(Table16[ประเภท],F3,Table16[ฝ่าย],A12,Table16[สัปดาห์แจ้งซ่อม],"1"))</f>
        <v>-</v>
      </c>
      <c r="G12" s="416" t="str">
        <f>IF(COUNTIFS(Table16[ประเภท],G3,Table16[ฝ่าย],A12,Table16[สัปดาห์แจ้งซ่อม],"1")=0,"-",COUNTIFS(Table16[ประเภท],G3,Table16[ฝ่าย],A12,Table16[สัปดาห์แจ้งซ่อม],"1"))</f>
        <v>-</v>
      </c>
      <c r="H12" s="416" t="str">
        <f>IF(COUNTIFS(Table16[ประเภท],H3,Table16[ฝ่าย],A12,Table16[สัปดาห์แจ้งซ่อม],"1")=0,"-",COUNTIFS(Table16[ประเภท],H3,Table16[ฝ่าย],A12,Table16[สัปดาห์แจ้งซ่อม],"1"))</f>
        <v>-</v>
      </c>
      <c r="I12" s="416" t="str">
        <f>IF(COUNTIFS(Table16[ประเภท],I3,Table16[ฝ่าย],A12,Table16[สัปดาห์แจ้งซ่อม],"1")=0,"-",COUNTIFS(Table16[ประเภท],I3,Table16[ฝ่าย],A12,Table16[สัปดาห์แจ้งซ่อม],"1"))</f>
        <v>-</v>
      </c>
      <c r="J12" s="416" t="str">
        <f>IF(COUNTIFS(Table16[ประเภท],J3,Table16[ฝ่าย],A12,Table16[สัปดาห์แจ้งซ่อม],"1")=0,"-",COUNTIFS(Table16[ประเภท],J3,Table16[ฝ่าย],A12,Table16[สัปดาห์แจ้งซ่อม],"1"))</f>
        <v>-</v>
      </c>
      <c r="K12" s="416" t="str">
        <f>IF(COUNTIFS(Table16[ประเภท],K3,Table16[ฝ่าย],A12,Table16[สัปดาห์แจ้งซ่อม],"1")=0,"-",COUNTIFS(Table16[ประเภท],K3,Table16[ฝ่าย],A12,Table16[สัปดาห์แจ้งซ่อม],"1"))</f>
        <v>-</v>
      </c>
      <c r="L12" s="416" t="str">
        <f>IF(COUNTIFS(Table16[ประเภท],L3,Table16[ฝ่าย],A12,Table16[สัปดาห์แจ้งซ่อม],"1")=0,"-",COUNTIFS(Table16[ประเภท],L3,Table16[ฝ่าย],A12,Table16[สัปดาห์แจ้งซ่อม],"1"))</f>
        <v>-</v>
      </c>
      <c r="M12" s="416" t="str">
        <f>IF(COUNTIFS(Table16[ประเภท],M3,Table16[ฝ่าย],A12,Table16[สัปดาห์แจ้งซ่อม],"1")=0,"-",COUNTIFS(Table16[ประเภท],M3,Table16[ฝ่าย],A12,Table16[สัปดาห์แจ้งซ่อม],"1"))</f>
        <v>-</v>
      </c>
      <c r="N12" s="416" t="str">
        <f>IF(COUNTIFS(Table16[ประเภท],N3,Table16[ฝ่าย],A12,Table16[สัปดาห์แจ้งซ่อม],"1")=0,"-",COUNTIFS(Table16[ประเภท],N3,Table16[ฝ่าย],A12,Table16[สัปดาห์แจ้งซ่อม],"1"))</f>
        <v>-</v>
      </c>
      <c r="O12" s="416"/>
    </row>
    <row r="13" spans="1:15" ht="15" thickBot="1">
      <c r="A13" s="176" t="s">
        <v>78</v>
      </c>
      <c r="B13" s="177">
        <f>COUNTIFS(Table16[ฝ่าย],A35,Table16[สัปดาห์แจ้งซ่อม],1)</f>
        <v>0</v>
      </c>
      <c r="C13" s="179">
        <f>B13/B18</f>
        <v>0</v>
      </c>
      <c r="D13" s="416" t="str">
        <f>IF(COUNTIFS(Table16[ประเภท],D3,Table16[ฝ่าย],A13,Table16[สัปดาห์แจ้งซ่อม],"1")=0,"-",COUNTIFS(Table16[ประเภท],D3,Table16[ฝ่าย],A13,Table16[สัปดาห์แจ้งซ่อม],"1"))</f>
        <v>-</v>
      </c>
      <c r="E13" s="416" t="str">
        <f>IF(COUNTIFS(Table16[ประเภท],E3,Table16[ฝ่าย],A13,Table16[สัปดาห์แจ้งซ่อม],"1")=0,"-",COUNTIFS(Table16[ประเภท],E3,Table16[ฝ่าย],A13,Table16[สัปดาห์แจ้งซ่อม],"1"))</f>
        <v>-</v>
      </c>
      <c r="F13" s="416" t="str">
        <f>IF(COUNTIFS(Table16[ประเภท],F3,Table16[ฝ่าย],A13,Table16[สัปดาห์แจ้งซ่อม],"1")=0,"-",COUNTIFS(Table16[ประเภท],F3,Table16[ฝ่าย],A13,Table16[สัปดาห์แจ้งซ่อม],"1"))</f>
        <v>-</v>
      </c>
      <c r="G13" s="416" t="str">
        <f>IF(COUNTIFS(Table16[ประเภท],G3,Table16[ฝ่าย],A13,Table16[สัปดาห์แจ้งซ่อม],"1")=0,"-",COUNTIFS(Table16[ประเภท],G3,Table16[ฝ่าย],A13,Table16[สัปดาห์แจ้งซ่อม],"1"))</f>
        <v>-</v>
      </c>
      <c r="H13" s="416" t="str">
        <f>IF(COUNTIFS(Table16[ประเภท],H3,Table16[ฝ่าย],A13,Table16[สัปดาห์แจ้งซ่อม],"1")=0,"-",COUNTIFS(Table16[ประเภท],H3,Table16[ฝ่าย],A13,Table16[สัปดาห์แจ้งซ่อม],"1"))</f>
        <v>-</v>
      </c>
      <c r="I13" s="416" t="str">
        <f>IF(COUNTIFS(Table16[ประเภท],I3,Table16[ฝ่าย],A13,Table16[สัปดาห์แจ้งซ่อม],"1")=0,"-",COUNTIFS(Table16[ประเภท],I3,Table16[ฝ่าย],A13,Table16[สัปดาห์แจ้งซ่อม],"1"))</f>
        <v>-</v>
      </c>
      <c r="J13" s="416" t="str">
        <f>IF(COUNTIFS(Table16[ประเภท],J3,Table16[ฝ่าย],A13,Table16[สัปดาห์แจ้งซ่อม],"1")=0,"-",COUNTIFS(Table16[ประเภท],J3,Table16[ฝ่าย],A13,Table16[สัปดาห์แจ้งซ่อม],"1"))</f>
        <v>-</v>
      </c>
      <c r="K13" s="416" t="str">
        <f>IF(COUNTIFS(Table16[ประเภท],K3,Table16[ฝ่าย],A13,Table16[สัปดาห์แจ้งซ่อม],"1")=0,"-",COUNTIFS(Table16[ประเภท],K3,Table16[ฝ่าย],A13,Table16[สัปดาห์แจ้งซ่อม],"1"))</f>
        <v>-</v>
      </c>
      <c r="L13" s="416" t="str">
        <f>IF(COUNTIFS(Table16[ประเภท],L3,Table16[ฝ่าย],A13,Table16[สัปดาห์แจ้งซ่อม],"1")=0,"-",COUNTIFS(Table16[ประเภท],L3,Table16[ฝ่าย],A13,Table16[สัปดาห์แจ้งซ่อม],"1"))</f>
        <v>-</v>
      </c>
      <c r="M13" s="416" t="str">
        <f>IF(COUNTIFS(Table16[ประเภท],M3,Table16[ฝ่าย],A13,Table16[สัปดาห์แจ้งซ่อม],"1")=0,"-",COUNTIFS(Table16[ประเภท],M3,Table16[ฝ่าย],A13,Table16[สัปดาห์แจ้งซ่อม],"1"))</f>
        <v>-</v>
      </c>
      <c r="N13" s="416" t="str">
        <f>IF(COUNTIFS(Table16[ประเภท],N3,Table16[ฝ่าย],A13,Table16[สัปดาห์แจ้งซ่อม],"1")=0,"-",COUNTIFS(Table16[ประเภท],N3,Table16[ฝ่าย],A13,Table16[สัปดาห์แจ้งซ่อม],"1"))</f>
        <v>-</v>
      </c>
      <c r="O13" s="416"/>
    </row>
    <row r="14" spans="1:15" ht="15" thickBot="1">
      <c r="A14" s="176" t="s">
        <v>79</v>
      </c>
      <c r="B14" s="177">
        <f>COUNTIFS(Table16[ฝ่าย],A36,Table16[สัปดาห์แจ้งซ่อม],1)</f>
        <v>0</v>
      </c>
      <c r="C14" s="179">
        <f>B14/B18</f>
        <v>0</v>
      </c>
      <c r="D14" s="416" t="str">
        <f>IF(COUNTIFS(Table16[ประเภท],D3,Table16[ฝ่าย],A14,Table16[สัปดาห์แจ้งซ่อม],"1")=0,"-",COUNTIFS(Table16[ประเภท],D3,Table16[ฝ่าย],A14,Table16[สัปดาห์แจ้งซ่อม],"1"))</f>
        <v>-</v>
      </c>
      <c r="E14" s="416" t="str">
        <f>IF(COUNTIFS(Table16[ประเภท],E3,Table16[ฝ่าย],A14,Table16[สัปดาห์แจ้งซ่อม],"1")=0,"-",COUNTIFS(Table16[ประเภท],E3,Table16[ฝ่าย],A14,Table16[สัปดาห์แจ้งซ่อม],"1"))</f>
        <v>-</v>
      </c>
      <c r="F14" s="416" t="str">
        <f>IF(COUNTIFS(Table16[ประเภท],F3,Table16[ฝ่าย],A14,Table16[สัปดาห์แจ้งซ่อม],"1")=0,"-",COUNTIFS(Table16[ประเภท],F3,Table16[ฝ่าย],A14,Table16[สัปดาห์แจ้งซ่อม],"1"))</f>
        <v>-</v>
      </c>
      <c r="G14" s="416" t="str">
        <f>IF(COUNTIFS(Table16[ประเภท],G3,Table16[ฝ่าย],A14,Table16[สัปดาห์แจ้งซ่อม],"1")=0,"-",COUNTIFS(Table16[ประเภท],G3,Table16[ฝ่าย],A14,Table16[สัปดาห์แจ้งซ่อม],"1"))</f>
        <v>-</v>
      </c>
      <c r="H14" s="416" t="str">
        <f>IF(COUNTIFS(Table16[ประเภท],H3,Table16[ฝ่าย],A14,Table16[สัปดาห์แจ้งซ่อม],"1")=0,"-",COUNTIFS(Table16[ประเภท],H3,Table16[ฝ่าย],A14,Table16[สัปดาห์แจ้งซ่อม],"1"))</f>
        <v>-</v>
      </c>
      <c r="I14" s="416" t="str">
        <f>IF(COUNTIFS(Table16[ประเภท],I3,Table16[ฝ่าย],A14,Table16[สัปดาห์แจ้งซ่อม],"1")=0,"-",COUNTIFS(Table16[ประเภท],I3,Table16[ฝ่าย],A14,Table16[สัปดาห์แจ้งซ่อม],"1"))</f>
        <v>-</v>
      </c>
      <c r="J14" s="416" t="str">
        <f>IF(COUNTIFS(Table16[ประเภท],J3,Table16[ฝ่าย],A14,Table16[สัปดาห์แจ้งซ่อม],"1")=0,"-",COUNTIFS(Table16[ประเภท],J3,Table16[ฝ่าย],A14,Table16[สัปดาห์แจ้งซ่อม],"1"))</f>
        <v>-</v>
      </c>
      <c r="K14" s="416" t="str">
        <f>IF(COUNTIFS(Table16[ประเภท],K3,Table16[ฝ่าย],A14,Table16[สัปดาห์แจ้งซ่อม],"1")=0,"-",COUNTIFS(Table16[ประเภท],K3,Table16[ฝ่าย],A14,Table16[สัปดาห์แจ้งซ่อม],"1"))</f>
        <v>-</v>
      </c>
      <c r="L14" s="416" t="str">
        <f>IF(COUNTIFS(Table16[ประเภท],L3,Table16[ฝ่าย],A14,Table16[สัปดาห์แจ้งซ่อม],"1")=0,"-",COUNTIFS(Table16[ประเภท],L3,Table16[ฝ่าย],A14,Table16[สัปดาห์แจ้งซ่อม],"1"))</f>
        <v>-</v>
      </c>
      <c r="M14" s="416" t="str">
        <f>IF(COUNTIFS(Table16[ประเภท],M3,Table16[ฝ่าย],A14,Table16[สัปดาห์แจ้งซ่อม],"1")=0,"-",COUNTIFS(Table16[ประเภท],M3,Table16[ฝ่าย],A14,Table16[สัปดาห์แจ้งซ่อม],"1"))</f>
        <v>-</v>
      </c>
      <c r="N14" s="416" t="str">
        <f>IF(COUNTIFS(Table16[ประเภท],N3,Table16[ฝ่าย],A14,Table16[สัปดาห์แจ้งซ่อม],"1")=0,"-",COUNTIFS(Table16[ประเภท],N3,Table16[ฝ่าย],A14,Table16[สัปดาห์แจ้งซ่อม],"1"))</f>
        <v>-</v>
      </c>
      <c r="O14" s="416"/>
    </row>
    <row r="15" spans="1:15" ht="15" thickBot="1">
      <c r="A15" s="176" t="s">
        <v>80</v>
      </c>
      <c r="B15" s="177">
        <f>COUNTIFS(Table16[ฝ่าย],A37,Table16[สัปดาห์แจ้งซ่อม],1)</f>
        <v>0</v>
      </c>
      <c r="C15" s="179">
        <f>B15/B18</f>
        <v>0</v>
      </c>
      <c r="D15" s="416" t="str">
        <f>IF(COUNTIFS(Table16[ประเภท],D3,Table16[ฝ่าย],A15,Table16[สัปดาห์แจ้งซ่อม],"1")=0,"-",COUNTIFS(Table16[ประเภท],D3,Table16[ฝ่าย],A15,Table16[สัปดาห์แจ้งซ่อม],"1"))</f>
        <v>-</v>
      </c>
      <c r="E15" s="416" t="str">
        <f>IF(COUNTIFS(Table16[ประเภท],E3,Table16[ฝ่าย],A15,Table16[สัปดาห์แจ้งซ่อม],"1")=0,"-",COUNTIFS(Table16[ประเภท],E3,Table16[ฝ่าย],A15,Table16[สัปดาห์แจ้งซ่อม],"1"))</f>
        <v>-</v>
      </c>
      <c r="F15" s="416" t="str">
        <f>IF(COUNTIFS(Table16[ประเภท],F3,Table16[ฝ่าย],A15,Table16[สัปดาห์แจ้งซ่อม],"1")=0,"-",COUNTIFS(Table16[ประเภท],F3,Table16[ฝ่าย],A15,Table16[สัปดาห์แจ้งซ่อม],"1"))</f>
        <v>-</v>
      </c>
      <c r="G15" s="416" t="str">
        <f>IF(COUNTIFS(Table16[ประเภท],G3,Table16[ฝ่าย],A15,Table16[สัปดาห์แจ้งซ่อม],"1")=0,"-",COUNTIFS(Table16[ประเภท],G3,Table16[ฝ่าย],A15,Table16[สัปดาห์แจ้งซ่อม],"1"))</f>
        <v>-</v>
      </c>
      <c r="H15" s="416" t="str">
        <f>IF(COUNTIFS(Table16[ประเภท],H3,Table16[ฝ่าย],A15,Table16[สัปดาห์แจ้งซ่อม],"1")=0,"-",COUNTIFS(Table16[ประเภท],H3,Table16[ฝ่าย],A15,Table16[สัปดาห์แจ้งซ่อม],"1"))</f>
        <v>-</v>
      </c>
      <c r="I15" s="416" t="str">
        <f>IF(COUNTIFS(Table16[ประเภท],I3,Table16[ฝ่าย],A15,Table16[สัปดาห์แจ้งซ่อม],"1")=0,"-",COUNTIFS(Table16[ประเภท],I3,Table16[ฝ่าย],A15,Table16[สัปดาห์แจ้งซ่อม],"1"))</f>
        <v>-</v>
      </c>
      <c r="J15" s="416" t="str">
        <f>IF(COUNTIFS(Table16[ประเภท],J3,Table16[ฝ่าย],A15,Table16[สัปดาห์แจ้งซ่อม],"1")=0,"-",COUNTIFS(Table16[ประเภท],J3,Table16[ฝ่าย],A15,Table16[สัปดาห์แจ้งซ่อม],"1"))</f>
        <v>-</v>
      </c>
      <c r="K15" s="416" t="str">
        <f>IF(COUNTIFS(Table16[ประเภท],K3,Table16[ฝ่าย],A15,Table16[สัปดาห์แจ้งซ่อม],"1")=0,"-",COUNTIFS(Table16[ประเภท],K3,Table16[ฝ่าย],A15,Table16[สัปดาห์แจ้งซ่อม],"1"))</f>
        <v>-</v>
      </c>
      <c r="L15" s="416" t="str">
        <f>IF(COUNTIFS(Table16[ประเภท],L3,Table16[ฝ่าย],A15,Table16[สัปดาห์แจ้งซ่อม],"1")=0,"-",COUNTIFS(Table16[ประเภท],L3,Table16[ฝ่าย],A15,Table16[สัปดาห์แจ้งซ่อม],"1"))</f>
        <v>-</v>
      </c>
      <c r="M15" s="416" t="str">
        <f>IF(COUNTIFS(Table16[ประเภท],M3,Table16[ฝ่าย],A15,Table16[สัปดาห์แจ้งซ่อม],"1")=0,"-",COUNTIFS(Table16[ประเภท],M3,Table16[ฝ่าย],A15,Table16[สัปดาห์แจ้งซ่อม],"1"))</f>
        <v>-</v>
      </c>
      <c r="N15" s="416" t="str">
        <f>IF(COUNTIFS(Table16[ประเภท],N3,Table16[ฝ่าย],A15,Table16[สัปดาห์แจ้งซ่อม],"1")=0,"-",COUNTIFS(Table16[ประเภท],N3,Table16[ฝ่าย],A15,Table16[สัปดาห์แจ้งซ่อม],"1"))</f>
        <v>-</v>
      </c>
      <c r="O15" s="416"/>
    </row>
    <row r="16" spans="1:15" ht="15" thickBot="1">
      <c r="A16" s="176" t="s">
        <v>81</v>
      </c>
      <c r="B16" s="177">
        <f>COUNTIFS(Table16[ฝ่าย],A38,Table16[สัปดาห์แจ้งซ่อม],1)</f>
        <v>0</v>
      </c>
      <c r="C16" s="179">
        <f>B16/B18</f>
        <v>0</v>
      </c>
      <c r="D16" s="416" t="str">
        <f>IF(COUNTIFS(Table16[ประเภท],D3,Table16[ฝ่าย],A16,Table16[สัปดาห์แจ้งซ่อม],"1")=0,"-",COUNTIFS(Table16[ประเภท],D3,Table16[ฝ่าย],A13,Table16[สัปดาห์แจ้งซ่อม],"1"))</f>
        <v>-</v>
      </c>
      <c r="E16" s="416" t="str">
        <f>IF(COUNTIFS(Table16[ประเภท],E3,Table16[ฝ่าย],A16,Table16[สัปดาห์แจ้งซ่อม],"1")=0,"-",COUNTIFS(Table16[ประเภท],E3,Table16[ฝ่าย],A13,Table16[สัปดาห์แจ้งซ่อม],"1"))</f>
        <v>-</v>
      </c>
      <c r="F16" s="416" t="str">
        <f>IF(COUNTIFS(Table16[ประเภท],F3,Table16[ฝ่าย],A16,Table16[สัปดาห์แจ้งซ่อม],"1")=0,"-",COUNTIFS(Table16[ประเภท],F3,Table16[ฝ่าย],A16,Table16[สัปดาห์แจ้งซ่อม],"1"))</f>
        <v>-</v>
      </c>
      <c r="G16" s="416" t="str">
        <f>IF(COUNTIFS(Table16[ประเภท],G3,Table16[ฝ่าย],A16,Table16[สัปดาห์แจ้งซ่อม],"1")=0,"-",COUNTIFS(Table16[ประเภท],G3,Table16[ฝ่าย],A16,Table16[สัปดาห์แจ้งซ่อม],"1"))</f>
        <v>-</v>
      </c>
      <c r="H16" s="416" t="str">
        <f>IF(COUNTIFS(Table16[ประเภท],H3,Table16[ฝ่าย],A16,Table16[สัปดาห์แจ้งซ่อม],"1")=0,"-",COUNTIFS(Table16[ประเภท],H3,Table16[ฝ่าย],A16,Table16[สัปดาห์แจ้งซ่อม],"1"))</f>
        <v>-</v>
      </c>
      <c r="I16" s="416" t="str">
        <f>IF(COUNTIFS(Table16[ประเภท],I3,Table16[ฝ่าย],A16,Table16[สัปดาห์แจ้งซ่อม],"1")=0,"-",COUNTIFS(Table16[ประเภท],I3,Table16[ฝ่าย],A16,Table16[สัปดาห์แจ้งซ่อม],"1"))</f>
        <v>-</v>
      </c>
      <c r="J16" s="416" t="str">
        <f>IF(COUNTIFS(Table16[ประเภท],J3,Table16[ฝ่าย],A16,Table16[สัปดาห์แจ้งซ่อม],"1")=0,"-",COUNTIFS(Table16[ประเภท],J3,Table16[ฝ่าย],A16,Table16[สัปดาห์แจ้งซ่อม],"1"))</f>
        <v>-</v>
      </c>
      <c r="K16" s="416" t="str">
        <f>IF(COUNTIFS(Table16[ประเภท],K3,Table16[ฝ่าย],A16,Table16[สัปดาห์แจ้งซ่อม],"1")=0,"-",COUNTIFS(Table16[ประเภท],K3,Table16[ฝ่าย],A16,Table16[สัปดาห์แจ้งซ่อม],"1"))</f>
        <v>-</v>
      </c>
      <c r="L16" s="416" t="str">
        <f>IF(COUNTIFS(Table16[ประเภท],L3,Table16[ฝ่าย],A16,Table16[สัปดาห์แจ้งซ่อม],"1")=0,"-",COUNTIFS(Table16[ประเภท],L3,Table16[ฝ่าย],A16,Table16[สัปดาห์แจ้งซ่อม],"1"))</f>
        <v>-</v>
      </c>
      <c r="M16" s="416" t="str">
        <f>IF(COUNTIFS(Table16[ประเภท],M3,Table16[ฝ่าย],A16,Table16[สัปดาห์แจ้งซ่อม],"1")=0,"-",COUNTIFS(Table16[ประเภท],M3,Table16[ฝ่าย],A16,Table16[สัปดาห์แจ้งซ่อม],"1"))</f>
        <v>-</v>
      </c>
      <c r="N16" s="416" t="str">
        <f>IF(COUNTIFS(Table16[ประเภท],N3,Table16[ฝ่าย],A16,Table16[สัปดาห์แจ้งซ่อม],"1")=0,"-",COUNTIFS(Table16[ประเภท],N3,Table16[ฝ่าย],A16,Table16[สัปดาห์แจ้งซ่อม],"1"))</f>
        <v>-</v>
      </c>
      <c r="O16" s="416"/>
    </row>
    <row r="17" spans="1:15" ht="15" thickBot="1">
      <c r="A17" s="176" t="s">
        <v>171</v>
      </c>
      <c r="B17" s="177">
        <f>COUNTIFS(Table16[ฝ่าย],A39,Table16[สัปดาห์แจ้งซ่อม],1)</f>
        <v>0</v>
      </c>
      <c r="C17" s="179">
        <f>B17/B19</f>
        <v>0</v>
      </c>
      <c r="D17" s="416" t="str">
        <f>IF(COUNTIFS(Table16[ประเภท],D3,Table16[ฝ่าย],A17,Table16[สัปดาห์แจ้งซ่อม],"1")=0,"-",COUNTIFS(Table16[ประเภท],D3,Table16[ฝ่าย],A17,Table16[สัปดาห์แจ้งซ่อม],"1"))</f>
        <v>-</v>
      </c>
      <c r="E17" s="416" t="str">
        <f>IF(COUNTIFS(Table16[ประเภท],E3,Table16[ฝ่าย],A17,Table16[สัปดาห์แจ้งซ่อม],"1")=0,"-",COUNTIFS(Table16[ประเภท],E3,Table16[ฝ่าย],A17,Table16[สัปดาห์แจ้งซ่อม],"1"))</f>
        <v>-</v>
      </c>
      <c r="F17" s="416" t="str">
        <f>IF(COUNTIFS(Table16[ประเภท],F3,Table16[ฝ่าย],A17,Table16[สัปดาห์แจ้งซ่อม],"1")=0,"-",COUNTIFS(Table16[ประเภท],F3,Table16[ฝ่าย],A17,Table16[สัปดาห์แจ้งซ่อม],"1"))</f>
        <v>-</v>
      </c>
      <c r="G17" s="416" t="str">
        <f>IF(COUNTIFS(Table16[ประเภท],G3,Table16[ฝ่าย],A17,Table16[สัปดาห์แจ้งซ่อม],"1")=0,"-",COUNTIFS(Table16[ประเภท],G3,Table16[ฝ่าย],A17,Table16[สัปดาห์แจ้งซ่อม],"1"))</f>
        <v>-</v>
      </c>
      <c r="H17" s="416" t="str">
        <f>IF(COUNTIFS(Table16[ประเภท],H3,Table16[ฝ่าย],A17,Table16[สัปดาห์แจ้งซ่อม],"1")=0,"-",COUNTIFS(Table16[ประเภท],H3,Table16[ฝ่าย],A17,Table16[สัปดาห์แจ้งซ่อม],"1"))</f>
        <v>-</v>
      </c>
      <c r="I17" s="416" t="str">
        <f>IF(COUNTIFS(Table16[ประเภท],I3,Table16[ฝ่าย],A17,Table16[สัปดาห์แจ้งซ่อม],"1")=0,"-",COUNTIFS(Table16[ประเภท],I3,Table16[ฝ่าย],A17,Table16[สัปดาห์แจ้งซ่อม],"1"))</f>
        <v>-</v>
      </c>
      <c r="J17" s="416" t="str">
        <f>IF(COUNTIFS(Table16[ประเภท],J3,Table16[ฝ่าย],A17,Table16[สัปดาห์แจ้งซ่อม],"1")=0,"-",COUNTIFS(Table16[ประเภท],J3,Table16[ฝ่าย],A17,Table16[สัปดาห์แจ้งซ่อม],"1"))</f>
        <v>-</v>
      </c>
      <c r="K17" s="416" t="str">
        <f>IF(COUNTIFS(Table16[ประเภท],K3,Table16[ฝ่าย],A17,Table16[สัปดาห์แจ้งซ่อม],"1")=0,"-",COUNTIFS(Table16[ประเภท],K3,Table16[ฝ่าย],A17,Table16[สัปดาห์แจ้งซ่อม],"1"))</f>
        <v>-</v>
      </c>
      <c r="L17" s="416" t="str">
        <f>IF(COUNTIFS(Table16[ประเภท],L3,Table16[ฝ่าย],A17,Table16[สัปดาห์แจ้งซ่อม],"1")=0,"-",COUNTIFS(Table16[ประเภท],L3,Table16[ฝ่าย],A17,Table16[สัปดาห์แจ้งซ่อม],"1"))</f>
        <v>-</v>
      </c>
      <c r="M17" s="416" t="str">
        <f>IF(COUNTIFS(Table16[ประเภท],M3,Table16[ฝ่าย],A17,Table16[สัปดาห์แจ้งซ่อม],"1")=0,"-",COUNTIFS(Table16[ประเภท],M3,Table16[ฝ่าย],A17,Table16[สัปดาห์แจ้งซ่อม],"1"))</f>
        <v>-</v>
      </c>
      <c r="N17" s="416" t="str">
        <f>IF(COUNTIFS(Table16[ประเภท],N3,Table16[ฝ่าย],A17,Table16[สัปดาห์แจ้งซ่อม],"1")=0,"-",COUNTIFS(Table16[ประเภท],N3,Table16[ฝ่าย],A17,Table16[สัปดาห์แจ้งซ่อม],"1"))</f>
        <v>-</v>
      </c>
      <c r="O17" s="416"/>
    </row>
    <row r="18" spans="1:15" ht="15" thickBot="1">
      <c r="A18" s="180" t="s">
        <v>82</v>
      </c>
      <c r="B18" s="181">
        <f>SUM(B4:B17)</f>
        <v>25</v>
      </c>
      <c r="C18" s="182">
        <f t="shared" ref="C18" si="0">SUM(C4:C16)</f>
        <v>1</v>
      </c>
      <c r="D18" s="417">
        <f>SUM(D4:D17)</f>
        <v>4</v>
      </c>
      <c r="E18" s="417">
        <f t="shared" ref="E18:O18" si="1">SUM(E4:E17)</f>
        <v>6</v>
      </c>
      <c r="F18" s="417">
        <f t="shared" si="1"/>
        <v>1</v>
      </c>
      <c r="G18" s="417">
        <f t="shared" si="1"/>
        <v>0</v>
      </c>
      <c r="H18" s="417">
        <f t="shared" si="1"/>
        <v>0</v>
      </c>
      <c r="I18" s="417">
        <f t="shared" si="1"/>
        <v>0</v>
      </c>
      <c r="J18" s="417">
        <f t="shared" si="1"/>
        <v>3</v>
      </c>
      <c r="K18" s="417">
        <f t="shared" si="1"/>
        <v>4</v>
      </c>
      <c r="L18" s="417">
        <f t="shared" si="1"/>
        <v>2</v>
      </c>
      <c r="M18" s="417">
        <f t="shared" si="1"/>
        <v>2</v>
      </c>
      <c r="N18" s="417">
        <f t="shared" si="1"/>
        <v>1</v>
      </c>
      <c r="O18" s="417">
        <f t="shared" si="1"/>
        <v>2</v>
      </c>
    </row>
    <row r="19" spans="1:15" ht="15" thickBot="1">
      <c r="A19" s="183" t="s">
        <v>83</v>
      </c>
      <c r="B19" s="184">
        <f>COUNTIFS(Table16[สถานะ],"เรียบร้อย",Table16[สัปดาห์แจ้งซ่อม],1)</f>
        <v>11</v>
      </c>
      <c r="C19" s="185"/>
      <c r="D19" s="76"/>
      <c r="E19" s="76"/>
      <c r="F19" s="76"/>
      <c r="G19" s="76"/>
      <c r="H19" s="76"/>
      <c r="I19" s="76"/>
      <c r="J19" s="76"/>
      <c r="K19" s="76"/>
      <c r="L19" s="76"/>
    </row>
    <row r="20" spans="1:15">
      <c r="A20" s="186" t="s">
        <v>84</v>
      </c>
      <c r="B20" s="187">
        <f>COUNTIFS(Table16[สถานะ],"กำลังดำเนินการ",Table16[สัปดาห์แจ้งซ่อม],1)</f>
        <v>2</v>
      </c>
      <c r="C20" s="185"/>
      <c r="D20" s="76"/>
      <c r="E20" s="76"/>
      <c r="F20" s="76"/>
      <c r="G20" s="76"/>
      <c r="H20" s="76"/>
      <c r="I20" s="76"/>
      <c r="J20" s="76"/>
      <c r="K20" s="76"/>
      <c r="L20" s="76"/>
    </row>
    <row r="21" spans="1:15">
      <c r="A21" s="188" t="s">
        <v>3</v>
      </c>
      <c r="B21" s="189">
        <f>COUNTIFS(Table16[สถานะ],"รอดำเนินการ",Table16[สัปดาห์แจ้งซ่อม],1)</f>
        <v>12</v>
      </c>
      <c r="C21" s="185"/>
      <c r="D21" s="76"/>
      <c r="E21" s="76"/>
      <c r="F21" s="76"/>
      <c r="G21" s="76"/>
      <c r="H21" s="76"/>
      <c r="I21" s="76"/>
      <c r="J21" s="76"/>
      <c r="K21" s="76"/>
      <c r="L21" s="76"/>
    </row>
    <row r="22" spans="1:15" ht="15.6">
      <c r="A22" s="190" t="s">
        <v>85</v>
      </c>
      <c r="B22" s="191">
        <f>COUNTIFS(Table16[สถานะ],"โอนย้าย",Table16[สัปดาห์แจ้งซ่อม],1)</f>
        <v>0</v>
      </c>
      <c r="C22" s="192"/>
    </row>
    <row r="23" spans="1:15" ht="30" customHeight="1">
      <c r="A23" s="528" t="s">
        <v>657</v>
      </c>
      <c r="B23" s="529"/>
      <c r="C23" s="529"/>
      <c r="D23" s="529"/>
      <c r="E23" s="529"/>
      <c r="F23" s="529"/>
      <c r="G23" s="529"/>
      <c r="H23" s="529"/>
      <c r="I23" s="529"/>
      <c r="J23" s="529"/>
      <c r="K23" s="529"/>
      <c r="L23" s="529"/>
      <c r="M23" s="529"/>
      <c r="N23" s="529"/>
    </row>
    <row r="24" spans="1:15" ht="18">
      <c r="A24" s="522" t="s">
        <v>656</v>
      </c>
      <c r="B24" s="522" t="s">
        <v>57</v>
      </c>
      <c r="C24" s="524" t="s">
        <v>58</v>
      </c>
      <c r="D24" s="526" t="s">
        <v>59</v>
      </c>
      <c r="E24" s="527"/>
      <c r="F24" s="527"/>
      <c r="G24" s="527"/>
      <c r="H24" s="527"/>
      <c r="I24" s="527"/>
      <c r="J24" s="527"/>
      <c r="K24" s="527"/>
      <c r="L24" s="527"/>
      <c r="M24" s="527"/>
      <c r="N24" s="527"/>
    </row>
    <row r="25" spans="1:15">
      <c r="A25" s="523"/>
      <c r="B25" s="523"/>
      <c r="C25" s="525"/>
      <c r="D25" s="172" t="s">
        <v>60</v>
      </c>
      <c r="E25" s="172" t="s">
        <v>61</v>
      </c>
      <c r="F25" s="173" t="s">
        <v>62</v>
      </c>
      <c r="G25" s="173" t="s">
        <v>63</v>
      </c>
      <c r="H25" s="173" t="s">
        <v>64</v>
      </c>
      <c r="I25" s="173" t="s">
        <v>65</v>
      </c>
      <c r="J25" s="173" t="s">
        <v>66</v>
      </c>
      <c r="K25" s="173" t="s">
        <v>67</v>
      </c>
      <c r="L25" s="174" t="s">
        <v>68</v>
      </c>
      <c r="M25" s="175" t="s">
        <v>87</v>
      </c>
      <c r="N25" s="175" t="s">
        <v>166</v>
      </c>
    </row>
    <row r="26" spans="1:15">
      <c r="A26" s="176" t="s">
        <v>69</v>
      </c>
      <c r="B26" s="177">
        <f>COUNTIFS(Table16[ฝ่าย],A26,Table16[สัปดาห์แจ้งซ่อม],2)</f>
        <v>9</v>
      </c>
      <c r="C26" s="178">
        <f>B26/B40</f>
        <v>0.75</v>
      </c>
      <c r="D26" s="173" t="str">
        <f>IF(COUNTIFS(Table16[ประเภท],D25,Table16[ฝ่าย],A26,Table16[สัปดาห์แจ้งซ่อม],"2")=0,"-",COUNTIFS(Table16[ประเภท],D25,Table16[ฝ่าย],A26,Table16[สัปดาห์แจ้งซ่อม],"2"))</f>
        <v>-</v>
      </c>
      <c r="E26" s="173">
        <f>IF(COUNTIFS(Table16[ประเภท],E25,Table16[ฝ่าย],A26,Table16[สัปดาห์แจ้งซ่อม],"2")=0,"-",COUNTIFS(Table16[ประเภท],E25,Table16[ฝ่าย],A26,Table16[สัปดาห์แจ้งซ่อม],"2"))</f>
        <v>1</v>
      </c>
      <c r="F26" s="173">
        <f>IF(COUNTIFS(Table16[ประเภท],F25,Table16[ฝ่าย],A26,Table16[สัปดาห์แจ้งซ่อม],"2")=0,"-",COUNTIFS(Table16[ประเภท],F25,Table16[ฝ่าย],A26,Table16[สัปดาห์แจ้งซ่อม],"2"))</f>
        <v>3</v>
      </c>
      <c r="G26" s="173">
        <f>IF(COUNTIFS(Table16[ประเภท],G25,Table16[ฝ่าย],A26,Table16[สัปดาห์แจ้งซ่อม],"2")=0,"-",COUNTIFS(Table16[ประเภท],G25,Table16[ฝ่าย],A26,Table16[สัปดาห์แจ้งซ่อม],"2"))</f>
        <v>1</v>
      </c>
      <c r="H26" s="173" t="str">
        <f>IF(COUNTIFS(Table16[ประเภท],H25,Table16[ฝ่าย],A26,Table16[สัปดาห์แจ้งซ่อม],"2")=0,"-",COUNTIFS(Table16[ประเภท],H25,Table16[ฝ่าย],A26,Table16[สัปดาห์แจ้งซ่อม],"2"))</f>
        <v>-</v>
      </c>
      <c r="I26" s="173" t="str">
        <f>IF(COUNTIFS(Table16[ประเภท],I25,Table16[ฝ่าย],A26,Table16[สัปดาห์แจ้งซ่อม],"2")=0,"-",COUNTIFS(Table16[ประเภท],I25,Table16[ฝ่าย],A26,Table16[สัปดาห์แจ้งซ่อม],"2"))</f>
        <v>-</v>
      </c>
      <c r="J26" s="173">
        <f>IF(COUNTIFS(Table16[ประเภท],J25,Table16[ฝ่าย],A26,Table16[สัปดาห์แจ้งซ่อม],"2")=0,"-",COUNTIFS(Table16[ประเภท],J25,Table16[ฝ่าย],A26,Table16[สัปดาห์แจ้งซ่อม],"2"))</f>
        <v>2</v>
      </c>
      <c r="K26" s="173">
        <f>IF(COUNTIFS(Table16[ประเภท],K25,Table16[ฝ่าย],A26,Table16[สัปดาห์แจ้งซ่อม],"2")=0,"-",COUNTIFS(Table16[ประเภท],K25,Table16[ฝ่าย],A26,Table16[สัปดาห์แจ้งซ่อม],"2"))</f>
        <v>2</v>
      </c>
      <c r="L26" s="173" t="str">
        <f>IF(COUNTIFS(Table16[ประเภท],L25,Table16[ฝ่าย],A26,Table16[สัปดาห์แจ้งซ่อม],"2")=0,"-",COUNTIFS(Table16[ประเภท],L25,Table16[ฝ่าย],A26,Table16[สัปดาห์แจ้งซ่อม],"2"))</f>
        <v>-</v>
      </c>
      <c r="M26" s="173" t="str">
        <f>IF(COUNTIFS(Table16[ประเภท],M25,Table16[ฝ่าย],A26,Table16[สัปดาห์แจ้งซ่อม],"2")=0,"-",COUNTIFS(Table16[ประเภท],M25,Table16[ฝ่าย],A26,Table16[สัปดาห์แจ้งซ่อม],"2"))</f>
        <v>-</v>
      </c>
      <c r="N26" s="173" t="str">
        <f>IF(COUNTIFS(Table16[ประเภท],N25,Table16[ฝ่าย],A26,Table16[สัปดาห์แจ้งซ่อม],"2")=0,"-",COUNTIFS(Table16[ประเภท],N25,Table16[ฝ่าย],A26,Table16[สัปดาห์แจ้งซ่อม],"2"))</f>
        <v>-</v>
      </c>
    </row>
    <row r="27" spans="1:15">
      <c r="A27" s="176" t="s">
        <v>70</v>
      </c>
      <c r="B27" s="177">
        <f>COUNTIFS(Table16[ฝ่าย],A27,Table16[สัปดาห์แจ้งซ่อม],2)</f>
        <v>1</v>
      </c>
      <c r="C27" s="178">
        <f>B27/B40</f>
        <v>8.3333333333333329E-2</v>
      </c>
      <c r="D27" s="173" t="str">
        <f>IF(COUNTIFS(Table16[ประเภท],D25,Table16[ฝ่าย],A27,Table16[สัปดาห์แจ้งซ่อม],"2")=0,"-",COUNTIFS(Table16[ประเภท],D25,Table16[ฝ่าย],A27,Table16[สัปดาห์แจ้งซ่อม],"2"))</f>
        <v>-</v>
      </c>
      <c r="E27" s="173">
        <f>IF(COUNTIFS(Table16[ประเภท],E25,Table16[ฝ่าย],A27,Table16[สัปดาห์แจ้งซ่อม],"2")=0,"-",COUNTIFS(Table16[ประเภท],E25,Table16[ฝ่าย],A27,Table16[สัปดาห์แจ้งซ่อม],"2"))</f>
        <v>1</v>
      </c>
      <c r="F27" s="173" t="str">
        <f>IF(COUNTIFS(Table16[ประเภท],F25,Table16[ฝ่าย],A27,Table16[สัปดาห์แจ้งซ่อม],"2")=0,"-",COUNTIFS(Table16[ประเภท],F25,Table16[ฝ่าย],A27,Table16[สัปดาห์แจ้งซ่อม],"2"))</f>
        <v>-</v>
      </c>
      <c r="G27" s="173" t="str">
        <f>IF(COUNTIFS(Table16[ประเภท],G25,Table16[ฝ่าย],A27,Table16[สัปดาห์แจ้งซ่อม],"2")=0,"-",COUNTIFS(Table16[ประเภท],G25,Table16[ฝ่าย],A27,Table16[สัปดาห์แจ้งซ่อม],"2"))</f>
        <v>-</v>
      </c>
      <c r="H27" s="173" t="str">
        <f>IF(COUNTIFS(Table16[ประเภท],H25,Table16[ฝ่าย],A27,Table16[สัปดาห์แจ้งซ่อม],"2")=0,"-",COUNTIFS(Table16[ประเภท],H25,Table16[ฝ่าย],A27,Table16[สัปดาห์แจ้งซ่อม],"2"))</f>
        <v>-</v>
      </c>
      <c r="I27" s="173" t="str">
        <f>IF(COUNTIFS(Table16[ประเภท],I25,Table16[ฝ่าย],A27,Table16[สัปดาห์แจ้งซ่อม],"2")=0,"-",COUNTIFS(Table16[ประเภท],I25,Table16[ฝ่าย],A27,Table16[สัปดาห์แจ้งซ่อม],"2"))</f>
        <v>-</v>
      </c>
      <c r="J27" s="173" t="str">
        <f>IF(COUNTIFS(Table16[ประเภท],J25,Table16[ฝ่าย],A27,Table16[สัปดาห์แจ้งซ่อม],"2")=0,"-",COUNTIFS(Table16[ประเภท],J25,Table16[ฝ่าย],A27,Table16[สัปดาห์แจ้งซ่อม],"2"))</f>
        <v>-</v>
      </c>
      <c r="K27" s="173" t="str">
        <f>IF(COUNTIFS(Table16[ประเภท],K25,Table16[ฝ่าย],A27,Table16[สัปดาห์แจ้งซ่อม],"2")=0,"-",COUNTIFS(Table16[ประเภท],K25,Table16[ฝ่าย],A27,Table16[สัปดาห์แจ้งซ่อม],"2"))</f>
        <v>-</v>
      </c>
      <c r="L27" s="173" t="str">
        <f>IF(COUNTIFS(Table16[ประเภท],L25,Table16[ฝ่าย],A27,Table16[สัปดาห์แจ้งซ่อม],"2")=0,"-",COUNTIFS(Table16[ประเภท],L25,Table16[ฝ่าย],A27,Table16[สัปดาห์แจ้งซ่อม],"2"))</f>
        <v>-</v>
      </c>
      <c r="M27" s="173" t="str">
        <f>IF(COUNTIFS(Table16[ประเภท],M25,Table16[ฝ่าย],A27,Table16[สัปดาห์แจ้งซ่อม],"2")=0,"-",COUNTIFS(Table16[ประเภท],M25,Table16[ฝ่าย],A27,Table16[สัปดาห์แจ้งซ่อม],"2"))</f>
        <v>-</v>
      </c>
      <c r="N27" s="173" t="str">
        <f>IF(COUNTIFS(Table16[ประเภท],N25,Table16[ฝ่าย],A27,Table16[สัปดาห์แจ้งซ่อม],"2")=0,"-",COUNTIFS(Table16[ประเภท],N25,Table16[ฝ่าย],A27,Table16[สัปดาห์แจ้งซ่อม],"2"))</f>
        <v>-</v>
      </c>
    </row>
    <row r="28" spans="1:15">
      <c r="A28" s="176" t="s">
        <v>71</v>
      </c>
      <c r="B28" s="177">
        <f>COUNTIFS(Table16[ฝ่าย],A28,Table16[สัปดาห์แจ้งซ่อม],2)</f>
        <v>0</v>
      </c>
      <c r="C28" s="178">
        <f>B28/B40</f>
        <v>0</v>
      </c>
      <c r="D28" s="173" t="str">
        <f>IF(COUNTIFS(Table16[ประเภท],D25,Table16[ฝ่าย],A28,Table16[สัปดาห์แจ้งซ่อม],"2")=0,"-",COUNTIFS(Table16[ประเภท],D25,Table16[ฝ่าย],A28,Table16[สัปดาห์แจ้งซ่อม],"2"))</f>
        <v>-</v>
      </c>
      <c r="E28" s="173" t="str">
        <f>IF(COUNTIFS(Table16[ประเภท],E25,Table16[ฝ่าย],A28,Table16[สัปดาห์แจ้งซ่อม],"2")=0,"-",COUNTIFS(Table16[ประเภท],E25,Table16[ฝ่าย],A28,Table16[สัปดาห์แจ้งซ่อม],"2"))</f>
        <v>-</v>
      </c>
      <c r="F28" s="173" t="str">
        <f>IF(COUNTIFS(Table16[ประเภท],F25,Table16[ฝ่าย],A28,Table16[สัปดาห์แจ้งซ่อม],"2")=0,"-",COUNTIFS(Table16[ประเภท],F25,Table16[ฝ่าย],A28,Table16[สัปดาห์แจ้งซ่อม],"2"))</f>
        <v>-</v>
      </c>
      <c r="G28" s="173" t="str">
        <f>IF(COUNTIFS(Table16[ประเภท],G25,Table16[ฝ่าย],A28,Table16[สัปดาห์แจ้งซ่อม],"2")=0,"-",COUNTIFS(Table16[ประเภท],G25,Table16[ฝ่าย],A28,Table16[สัปดาห์แจ้งซ่อม],"2"))</f>
        <v>-</v>
      </c>
      <c r="H28" s="173" t="str">
        <f>IF(COUNTIFS(Table16[ประเภท],H25,Table16[ฝ่าย],A28,Table16[สัปดาห์แจ้งซ่อม],"2")=0,"-",COUNTIFS(Table16[ประเภท],H25,Table16[ฝ่าย],A28,Table16[สัปดาห์แจ้งซ่อม],"2"))</f>
        <v>-</v>
      </c>
      <c r="I28" s="173" t="str">
        <f>IF(COUNTIFS(Table16[ประเภท],I25,Table16[ฝ่าย],A28,Table16[สัปดาห์แจ้งซ่อม],"2")=0,"-",COUNTIFS(Table16[ประเภท],I25,Table16[ฝ่าย],A28,Table16[สัปดาห์แจ้งซ่อม],"2"))</f>
        <v>-</v>
      </c>
      <c r="J28" s="173" t="str">
        <f>IF(COUNTIFS(Table16[ประเภท],J25,Table16[ฝ่าย],A28,Table16[สัปดาห์แจ้งซ่อม],"2")=0,"-",COUNTIFS(Table16[ประเภท],J25,Table16[ฝ่าย],A28,Table16[สัปดาห์แจ้งซ่อม],"2"))</f>
        <v>-</v>
      </c>
      <c r="K28" s="173" t="str">
        <f>IF(COUNTIFS(Table16[ประเภท],K25,Table16[ฝ่าย],A28,Table16[สัปดาห์แจ้งซ่อม],"2")=0,"-",COUNTIFS(Table16[ประเภท],K25,Table16[ฝ่าย],A28,Table16[สัปดาห์แจ้งซ่อม],"2"))</f>
        <v>-</v>
      </c>
      <c r="L28" s="173" t="str">
        <f>IF(COUNTIFS(Table16[ประเภท],L25,Table16[ฝ่าย],A28,Table16[สัปดาห์แจ้งซ่อม],"2")=0,"-",COUNTIFS(Table16[ประเภท],L25,Table16[ฝ่าย],A28,Table16[สัปดาห์แจ้งซ่อม],"2"))</f>
        <v>-</v>
      </c>
      <c r="M28" s="173" t="str">
        <f>IF(COUNTIFS(Table16[ประเภท],M25,Table16[ฝ่าย],A28,Table16[สัปดาห์แจ้งซ่อม],"2")=0,"-",COUNTIFS(Table16[ประเภท],M25,Table16[ฝ่าย],A28,Table16[สัปดาห์แจ้งซ่อม],"2"))</f>
        <v>-</v>
      </c>
      <c r="N28" s="173" t="str">
        <f>IF(COUNTIFS(Table16[ประเภท],N25,Table16[ฝ่าย],A28,Table16[สัปดาห์แจ้งซ่อม],"2")=0,"-",COUNTIFS(Table16[ประเภท],N25,Table16[ฝ่าย],A28,Table16[สัปดาห์แจ้งซ่อม],"2"))</f>
        <v>-</v>
      </c>
    </row>
    <row r="29" spans="1:15">
      <c r="A29" s="176" t="s">
        <v>72</v>
      </c>
      <c r="B29" s="177">
        <f>COUNTIFS(Table16[ฝ่าย],A29,Table16[สัปดาห์แจ้งซ่อม],2)</f>
        <v>0</v>
      </c>
      <c r="C29" s="193">
        <f>B29/B40</f>
        <v>0</v>
      </c>
      <c r="D29" s="173" t="str">
        <f>IF(COUNTIFS(Table16[ประเภท],D25,Table16[ฝ่าย],A29,Table16[สัปดาห์แจ้งซ่อม],"2")=0,"-",COUNTIFS(Table16[ประเภท],D25,Table16[ฝ่าย],A29,Table16[สัปดาห์แจ้งซ่อม],"2"))</f>
        <v>-</v>
      </c>
      <c r="E29" s="173" t="str">
        <f>IF(COUNTIFS(Table16[ประเภท],E25,Table16[ฝ่าย],A29,Table16[สัปดาห์แจ้งซ่อม],"2")=0,"-",COUNTIFS(Table16[ประเภท],E25,Table16[ฝ่าย],A29,Table16[สัปดาห์แจ้งซ่อม],"2"))</f>
        <v>-</v>
      </c>
      <c r="F29" s="173" t="str">
        <f>IF(COUNTIFS(Table16[ประเภท],F25,Table16[ฝ่าย],A29,Table16[สัปดาห์แจ้งซ่อม],"2")=0,"-",COUNTIFS(Table16[ประเภท],F25,Table16[ฝ่าย],A29,Table16[สัปดาห์แจ้งซ่อม],"2"))</f>
        <v>-</v>
      </c>
      <c r="G29" s="173" t="str">
        <f>IF(COUNTIFS(Table16[ประเภท],G25,Table16[ฝ่าย],A29,Table16[สัปดาห์แจ้งซ่อม],"2")=0,"-",COUNTIFS(Table16[ประเภท],G25,Table16[ฝ่าย],A29,Table16[สัปดาห์แจ้งซ่อม],"2"))</f>
        <v>-</v>
      </c>
      <c r="H29" s="173" t="str">
        <f>IF(COUNTIFS(Table16[ประเภท],H25,Table16[ฝ่าย],A29,Table16[สัปดาห์แจ้งซ่อม],"2")=0,"-",COUNTIFS(Table16[ประเภท],H25,Table16[ฝ่าย],A29,Table16[สัปดาห์แจ้งซ่อม],"2"))</f>
        <v>-</v>
      </c>
      <c r="I29" s="173" t="str">
        <f>IF(COUNTIFS(Table16[ประเภท],I25,Table16[ฝ่าย],A29,Table16[สัปดาห์แจ้งซ่อม],"2")=0,"-",COUNTIFS(Table16[ประเภท],I25,Table16[ฝ่าย],A29,Table16[สัปดาห์แจ้งซ่อม],"2"))</f>
        <v>-</v>
      </c>
      <c r="J29" s="173" t="str">
        <f>IF(COUNTIFS(Table16[ประเภท],J25,Table16[ฝ่าย],A29,Table16[สัปดาห์แจ้งซ่อม],"2")=0,"-",COUNTIFS(Table16[ประเภท],J25,Table16[ฝ่าย],A29,Table16[สัปดาห์แจ้งซ่อม],"2"))</f>
        <v>-</v>
      </c>
      <c r="K29" s="173" t="str">
        <f>IF(COUNTIFS(Table16[ประเภท],K25,Table16[ฝ่าย],A29,Table16[สัปดาห์แจ้งซ่อม],"2")=0,"-",COUNTIFS(Table16[ประเภท],K25,Table16[ฝ่าย],A29,Table16[สัปดาห์แจ้งซ่อม],"2"))</f>
        <v>-</v>
      </c>
      <c r="L29" s="173" t="str">
        <f>IF(COUNTIFS(Table16[ประเภท],L25,Table16[ฝ่าย],A29,Table16[สัปดาห์แจ้งซ่อม],"2")=0,"-",COUNTIFS(Table16[ประเภท],L25,Table16[ฝ่าย],A29,Table16[สัปดาห์แจ้งซ่อม],"2"))</f>
        <v>-</v>
      </c>
      <c r="M29" s="173" t="str">
        <f>IF(COUNTIFS(Table16[ประเภท],M25,Table16[ฝ่าย],A29,Table16[สัปดาห์แจ้งซ่อม],"2")=0,"-",COUNTIFS(Table16[ประเภท],M25,Table16[ฝ่าย],A29,Table16[สัปดาห์แจ้งซ่อม],"2"))</f>
        <v>-</v>
      </c>
      <c r="N29" s="173" t="str">
        <f>IF(COUNTIFS(Table16[ประเภท],N25,Table16[ฝ่าย],A29,Table16[สัปดาห์แจ้งซ่อม],"2")=0,"-",COUNTIFS(Table16[ประเภท],N25,Table16[ฝ่าย],A29,Table16[สัปดาห์แจ้งซ่อม],"2"))</f>
        <v>-</v>
      </c>
    </row>
    <row r="30" spans="1:15">
      <c r="A30" s="176" t="s">
        <v>73</v>
      </c>
      <c r="B30" s="177">
        <f>COUNTIFS(Table16[ฝ่าย],A30,Table16[สัปดาห์แจ้งซ่อม],2)</f>
        <v>0</v>
      </c>
      <c r="C30" s="178">
        <f>B30/B40</f>
        <v>0</v>
      </c>
      <c r="D30" s="173" t="str">
        <f>IF(COUNTIFS(Table16[ประเภท],D25,Table16[ฝ่าย],A30,Table16[สัปดาห์แจ้งซ่อม],"2")=0,"-",COUNTIFS(Table16[ประเภท],D25,Table16[ฝ่าย],A30,Table16[สัปดาห์แจ้งซ่อม],"2"))</f>
        <v>-</v>
      </c>
      <c r="E30" s="173" t="str">
        <f>IF(COUNTIFS(Table16[ประเภท],E25,Table16[ฝ่าย],A30,Table16[สัปดาห์แจ้งซ่อม],"2")=0,"-",COUNTIFS(Table16[ประเภท],E25,Table16[ฝ่าย],A30,Table16[สัปดาห์แจ้งซ่อม],"2"))</f>
        <v>-</v>
      </c>
      <c r="F30" s="173" t="str">
        <f>IF(COUNTIFS(Table16[ประเภท],F25,Table16[ฝ่าย],A30,Table16[สัปดาห์แจ้งซ่อม],"2")=0,"-",COUNTIFS(Table16[ประเภท],F25,Table16[ฝ่าย],A30,Table16[สัปดาห์แจ้งซ่อม],"2"))</f>
        <v>-</v>
      </c>
      <c r="G30" s="173" t="str">
        <f>IF(COUNTIFS(Table16[ประเภท],G25,Table16[ฝ่าย],A30,Table16[สัปดาห์แจ้งซ่อม],"2")=0,"-",COUNTIFS(Table16[ประเภท],G25,Table16[ฝ่าย],A30,Table16[สัปดาห์แจ้งซ่อม],"2"))</f>
        <v>-</v>
      </c>
      <c r="H30" s="173" t="str">
        <f>IF(COUNTIFS(Table16[ประเภท],H25,Table16[ฝ่าย],A30,Table16[สัปดาห์แจ้งซ่อม],"2")=0,"-",COUNTIFS(Table16[ประเภท],H25,Table16[ฝ่าย],A30,Table16[สัปดาห์แจ้งซ่อม],"2"))</f>
        <v>-</v>
      </c>
      <c r="I30" s="173" t="str">
        <f>IF(COUNTIFS(Table16[ประเภท],I25,Table16[ฝ่าย],A30,Table16[สัปดาห์แจ้งซ่อม],"2")=0,"-",COUNTIFS(Table16[ประเภท],I25,Table16[ฝ่าย],A30,Table16[สัปดาห์แจ้งซ่อม],"2"))</f>
        <v>-</v>
      </c>
      <c r="J30" s="173" t="str">
        <f>IF(COUNTIFS(Table16[ประเภท],J25,Table16[ฝ่าย],A30,Table16[สัปดาห์แจ้งซ่อม],"2")=0,"-",COUNTIFS(Table16[ประเภท],J25,Table16[ฝ่าย],A30,Table16[สัปดาห์แจ้งซ่อม],"2"))</f>
        <v>-</v>
      </c>
      <c r="K30" s="173" t="str">
        <f>IF(COUNTIFS(Table16[ประเภท],K25,Table16[ฝ่าย],A30,Table16[สัปดาห์แจ้งซ่อม],"2")=0,"-",COUNTIFS(Table16[ประเภท],K25,Table16[ฝ่าย],A30,Table16[สัปดาห์แจ้งซ่อม],"2"))</f>
        <v>-</v>
      </c>
      <c r="L30" s="173" t="str">
        <f>IF(COUNTIFS(Table16[ประเภท],L25,Table16[ฝ่าย],A30,Table16[สัปดาห์แจ้งซ่อม],"2")=0,"-",COUNTIFS(Table16[ประเภท],L25,Table16[ฝ่าย],A30,Table16[สัปดาห์แจ้งซ่อม],"2"))</f>
        <v>-</v>
      </c>
      <c r="M30" s="173" t="str">
        <f>IF(COUNTIFS(Table16[ประเภท],M25,Table16[ฝ่าย],A30,Table16[สัปดาห์แจ้งซ่อม],"2")=0,"-",COUNTIFS(Table16[ประเภท],M25,Table16[ฝ่าย],A30,Table16[สัปดาห์แจ้งซ่อม],"2"))</f>
        <v>-</v>
      </c>
      <c r="N30" s="173" t="str">
        <f>IF(COUNTIFS(Table16[ประเภท],N25,Table16[ฝ่าย],A30,Table16[สัปดาห์แจ้งซ่อม],"2")=0,"-",COUNTIFS(Table16[ประเภท],N25,Table16[ฝ่าย],A30,Table16[สัปดาห์แจ้งซ่อม],"2"))</f>
        <v>-</v>
      </c>
    </row>
    <row r="31" spans="1:15">
      <c r="A31" s="176" t="s">
        <v>74</v>
      </c>
      <c r="B31" s="177">
        <f>COUNTIFS(Table16[ฝ่าย],A31,Table16[สัปดาห์แจ้งซ่อม],2)</f>
        <v>0</v>
      </c>
      <c r="C31" s="178">
        <f>B31/B40</f>
        <v>0</v>
      </c>
      <c r="D31" s="173" t="str">
        <f>IF(COUNTIFS(Table16[ประเภท],D25,Table16[ฝ่าย],A31,Table16[สัปดาห์แจ้งซ่อม],"2")=0,"-",COUNTIFS(Table16[ประเภท],D25,Table16[ฝ่าย],A31,Table16[สัปดาห์แจ้งซ่อม],"2"))</f>
        <v>-</v>
      </c>
      <c r="E31" s="173" t="str">
        <f>IF(COUNTIFS(Table16[ประเภท],E25,Table16[ฝ่าย],A31,Table16[สัปดาห์แจ้งซ่อม],"2")=0,"-",COUNTIFS(Table16[ประเภท],E25,Table16[ฝ่าย],A31,Table16[สัปดาห์แจ้งซ่อม],"2"))</f>
        <v>-</v>
      </c>
      <c r="F31" s="173" t="str">
        <f>IF(COUNTIFS(Table16[ประเภท],F25,Table16[ฝ่าย],A31,Table16[สัปดาห์แจ้งซ่อม],"2")=0,"-",COUNTIFS(Table16[ประเภท],F25,Table16[ฝ่าย],A31,Table16[สัปดาห์แจ้งซ่อม],"2"))</f>
        <v>-</v>
      </c>
      <c r="G31" s="173" t="str">
        <f>IF(COUNTIFS(Table16[ประเภท],G25,Table16[ฝ่าย],A31,Table16[สัปดาห์แจ้งซ่อม],"2")=0,"-",COUNTIFS(Table16[ประเภท],G25,Table16[ฝ่าย],A31,Table16[สัปดาห์แจ้งซ่อม],"2"))</f>
        <v>-</v>
      </c>
      <c r="H31" s="173" t="str">
        <f>IF(COUNTIFS(Table16[ประเภท],H25,Table16[ฝ่าย],A31,Table16[สัปดาห์แจ้งซ่อม],"2")=0,"-",COUNTIFS(Table16[ประเภท],H25,Table16[ฝ่าย],A31,Table16[สัปดาห์แจ้งซ่อม],"2"))</f>
        <v>-</v>
      </c>
      <c r="I31" s="173" t="str">
        <f>IF(COUNTIFS(Table16[ประเภท],I25,Table16[ฝ่าย],A31,Table16[สัปดาห์แจ้งซ่อม],"2")=0,"-",COUNTIFS(Table16[ประเภท],I25,Table16[ฝ่าย],A31,Table16[สัปดาห์แจ้งซ่อม],"2"))</f>
        <v>-</v>
      </c>
      <c r="J31" s="173" t="str">
        <f>IF(COUNTIFS(Table16[ประเภท],J25,Table16[ฝ่าย],A31,Table16[สัปดาห์แจ้งซ่อม],"2")=0,"-",COUNTIFS(Table16[ประเภท],J25,Table16[ฝ่าย],A31,Table16[สัปดาห์แจ้งซ่อม],"2"))</f>
        <v>-</v>
      </c>
      <c r="K31" s="173" t="str">
        <f>IF(COUNTIFS(Table16[ประเภท],K25,Table16[ฝ่าย],A31,Table16[สัปดาห์แจ้งซ่อม],"2")=0,"-",COUNTIFS(Table16[ประเภท],K25,Table16[ฝ่าย],A31,Table16[สัปดาห์แจ้งซ่อม],"2"))</f>
        <v>-</v>
      </c>
      <c r="L31" s="173" t="str">
        <f>IF(COUNTIFS(Table16[ประเภท],L25,Table16[ฝ่าย],A31,Table16[สัปดาห์แจ้งซ่อม],"2")=0,"-",COUNTIFS(Table16[ประเภท],L25,Table16[ฝ่าย],A31,Table16[สัปดาห์แจ้งซ่อม],"2"))</f>
        <v>-</v>
      </c>
      <c r="M31" s="173" t="str">
        <f>IF(COUNTIFS(Table16[ประเภท],M25,Table16[ฝ่าย],A31,Table16[สัปดาห์แจ้งซ่อม],"2")=0,"-",COUNTIFS(Table16[ประเภท],M25,Table16[ฝ่าย],A31,Table16[สัปดาห์แจ้งซ่อม],"2"))</f>
        <v>-</v>
      </c>
      <c r="N31" s="173" t="str">
        <f>IF(COUNTIFS(Table16[ประเภท],N25,Table16[ฝ่าย],A31,Table16[สัปดาห์แจ้งซ่อม],"2")=0,"-",COUNTIFS(Table16[ประเภท],N25,Table16[ฝ่าย],A31,Table16[สัปดาห์แจ้งซ่อม],"2"))</f>
        <v>-</v>
      </c>
    </row>
    <row r="32" spans="1:15">
      <c r="A32" s="176" t="s">
        <v>75</v>
      </c>
      <c r="B32" s="177">
        <f>COUNTIFS(Table16[ฝ่าย],A32,Table16[สัปดาห์แจ้งซ่อม],2)</f>
        <v>0</v>
      </c>
      <c r="C32" s="178">
        <f>B32/B40</f>
        <v>0</v>
      </c>
      <c r="D32" s="173" t="str">
        <f>IF(COUNTIFS(Table16[ประเภท],D25,Table16[ฝ่าย],A32,Table16[สัปดาห์แจ้งซ่อม],"2")=0,"-",COUNTIFS(Table16[ประเภท],D25,Table16[ฝ่าย],A32,Table16[สัปดาห์แจ้งซ่อม],"2"))</f>
        <v>-</v>
      </c>
      <c r="E32" s="173" t="str">
        <f>IF(COUNTIFS(Table16[ประเภท],E25,Table16[ฝ่าย],A32,Table16[สัปดาห์แจ้งซ่อม],"2")=0,"-",COUNTIFS(Table16[ประเภท],E25,Table16[ฝ่าย],A32,Table16[สัปดาห์แจ้งซ่อม],"2"))</f>
        <v>-</v>
      </c>
      <c r="F32" s="173" t="str">
        <f>IF(COUNTIFS(Table16[ประเภท],F25,Table16[ฝ่าย],A32,Table16[สัปดาห์แจ้งซ่อม],"2")=0,"-",COUNTIFS(Table16[ประเภท],F25,Table16[ฝ่าย],A32,Table16[สัปดาห์แจ้งซ่อม],"2"))</f>
        <v>-</v>
      </c>
      <c r="G32" s="173" t="str">
        <f>IF(COUNTIFS(Table16[ประเภท],G25,Table16[ฝ่าย],A32,Table16[สัปดาห์แจ้งซ่อม],"2")=0,"-",COUNTIFS(Table16[ประเภท],G25,Table16[ฝ่าย],A32,Table16[สัปดาห์แจ้งซ่อม],"2"))</f>
        <v>-</v>
      </c>
      <c r="H32" s="173" t="str">
        <f>IF(COUNTIFS(Table16[ประเภท],H25,Table16[ฝ่าย],A32,Table16[สัปดาห์แจ้งซ่อม],"2")=0,"-",COUNTIFS(Table16[ประเภท],H25,Table16[ฝ่าย],A32,Table16[สัปดาห์แจ้งซ่อม],"2"))</f>
        <v>-</v>
      </c>
      <c r="I32" s="173" t="str">
        <f>IF(COUNTIFS(Table16[ประเภท],I25,Table16[ฝ่าย],A32,Table16[สัปดาห์แจ้งซ่อม],"2")=0,"-",COUNTIFS(Table16[ประเภท],I25,Table16[ฝ่าย],A32,Table16[สัปดาห์แจ้งซ่อม],"2"))</f>
        <v>-</v>
      </c>
      <c r="J32" s="173" t="str">
        <f>IF(COUNTIFS(Table16[ประเภท],J25,Table16[ฝ่าย],A32,Table16[สัปดาห์แจ้งซ่อม],"2")=0,"-",COUNTIFS(Table16[ประเภท],J25,Table16[ฝ่าย],A32,Table16[สัปดาห์แจ้งซ่อม],"2"))</f>
        <v>-</v>
      </c>
      <c r="K32" s="173" t="str">
        <f>IF(COUNTIFS(Table16[ประเภท],K25,Table16[ฝ่าย],A32,Table16[สัปดาห์แจ้งซ่อม],"2")=0,"-",COUNTIFS(Table16[ประเภท],K25,Table16[ฝ่าย],A32,Table16[สัปดาห์แจ้งซ่อม],"2"))</f>
        <v>-</v>
      </c>
      <c r="L32" s="173" t="str">
        <f>IF(COUNTIFS(Table16[ประเภท],L25,Table16[ฝ่าย],A32,Table16[สัปดาห์แจ้งซ่อม],"2")=0,"-",COUNTIFS(Table16[ประเภท],L25,Table16[ฝ่าย],A32,Table16[สัปดาห์แจ้งซ่อม],"2"))</f>
        <v>-</v>
      </c>
      <c r="M32" s="173" t="str">
        <f>IF(COUNTIFS(Table16[ประเภท],M25,Table16[ฝ่าย],A32,Table16[สัปดาห์แจ้งซ่อม],"2")=0,"-",COUNTIFS(Table16[ประเภท],M25,Table16[ฝ่าย],A32,Table16[สัปดาห์แจ้งซ่อม],"2"))</f>
        <v>-</v>
      </c>
      <c r="N32" s="173" t="str">
        <f>IF(COUNTIFS(Table16[ประเภท],N25,Table16[ฝ่าย],A32,Table16[สัปดาห์แจ้งซ่อม],"2")=0,"-",COUNTIFS(Table16[ประเภท],N25,Table16[ฝ่าย],A32,Table16[สัปดาห์แจ้งซ่อม],"2"))</f>
        <v>-</v>
      </c>
    </row>
    <row r="33" spans="1:14">
      <c r="A33" s="176" t="s">
        <v>76</v>
      </c>
      <c r="B33" s="177">
        <f>COUNTIFS(Table16[ฝ่าย],A33,Table16[สัปดาห์แจ้งซ่อม],2)</f>
        <v>0</v>
      </c>
      <c r="C33" s="178">
        <f>B33/B40</f>
        <v>0</v>
      </c>
      <c r="D33" s="173" t="str">
        <f>IF(COUNTIFS(Table16[ประเภท],D25,Table16[ฝ่าย],A33,Table16[สัปดาห์แจ้งซ่อม],"2")=0,"-",COUNTIFS(Table16[ประเภท],D25,Table16[ฝ่าย],A33,Table16[สัปดาห์แจ้งซ่อม],"2"))</f>
        <v>-</v>
      </c>
      <c r="E33" s="173" t="str">
        <f>IF(COUNTIFS(Table16[ประเภท],E25,Table16[ฝ่าย],A33,Table16[สัปดาห์แจ้งซ่อม],"2")=0,"-",COUNTIFS(Table16[ประเภท],E25,Table16[ฝ่าย],A33,Table16[สัปดาห์แจ้งซ่อม],"2"))</f>
        <v>-</v>
      </c>
      <c r="F33" s="173" t="str">
        <f>IF(COUNTIFS(Table16[ประเภท],F25,Table16[ฝ่าย],A33,Table16[สัปดาห์แจ้งซ่อม],"2")=0,"-",COUNTIFS(Table16[ประเภท],F25,Table16[ฝ่าย],A33,Table16[สัปดาห์แจ้งซ่อม],"2"))</f>
        <v>-</v>
      </c>
      <c r="G33" s="173" t="str">
        <f>IF(COUNTIFS(Table16[ประเภท],G25,Table16[ฝ่าย],A33,Table16[สัปดาห์แจ้งซ่อม],"2")=0,"-",COUNTIFS(Table16[ประเภท],G25,Table16[ฝ่าย],A33,Table16[สัปดาห์แจ้งซ่อม],"2"))</f>
        <v>-</v>
      </c>
      <c r="H33" s="173" t="str">
        <f>IF(COUNTIFS(Table16[ประเภท],H25,Table16[ฝ่าย],A33,Table16[สัปดาห์แจ้งซ่อม],"2")=0,"-",COUNTIFS(Table16[ประเภท],H25,Table16[ฝ่าย],A33,Table16[สัปดาห์แจ้งซ่อม],"2"))</f>
        <v>-</v>
      </c>
      <c r="I33" s="173" t="str">
        <f>IF(COUNTIFS(Table16[ประเภท],I25,Table16[ฝ่าย],A33,Table16[สัปดาห์แจ้งซ่อม],"2")=0,"-",COUNTIFS(Table16[ประเภท],I25,Table16[ฝ่าย],A33,Table16[สัปดาห์แจ้งซ่อม],"2"))</f>
        <v>-</v>
      </c>
      <c r="J33" s="173" t="str">
        <f>IF(COUNTIFS(Table16[ประเภท],J25,Table16[ฝ่าย],A33,Table16[สัปดาห์แจ้งซ่อม],"2")=0,"-",COUNTIFS(Table16[ประเภท],J25,Table16[ฝ่าย],A33,Table16[สัปดาห์แจ้งซ่อม],"2"))</f>
        <v>-</v>
      </c>
      <c r="K33" s="173" t="str">
        <f>IF(COUNTIFS(Table16[ประเภท],K25,Table16[ฝ่าย],A33,Table16[สัปดาห์แจ้งซ่อม],"2")=0,"-",COUNTIFS(Table16[ประเภท],K25,Table16[ฝ่าย],A33,Table16[สัปดาห์แจ้งซ่อม],"2"))</f>
        <v>-</v>
      </c>
      <c r="L33" s="173" t="str">
        <f>IF(COUNTIFS(Table16[ประเภท],L25,Table16[ฝ่าย],A33,Table16[สัปดาห์แจ้งซ่อม],"2")=0,"-",COUNTIFS(Table16[ประเภท],L25,Table16[ฝ่าย],A33,Table16[สัปดาห์แจ้งซ่อม],"2"))</f>
        <v>-</v>
      </c>
      <c r="M33" s="173" t="str">
        <f>IF(COUNTIFS(Table16[ประเภท],M25,Table16[ฝ่าย],A33,Table16[สัปดาห์แจ้งซ่อม],"2")=0,"-",COUNTIFS(Table16[ประเภท],M25,Table16[ฝ่าย],A33,Table16[สัปดาห์แจ้งซ่อม],"2"))</f>
        <v>-</v>
      </c>
      <c r="N33" s="173" t="str">
        <f>IF(COUNTIFS(Table16[ประเภท],N25,Table16[ฝ่าย],A33,Table16[สัปดาห์แจ้งซ่อม],"2")=0,"-",COUNTIFS(Table16[ประเภท],N25,Table16[ฝ่าย],A33,Table16[สัปดาห์แจ้งซ่อม],"2"))</f>
        <v>-</v>
      </c>
    </row>
    <row r="34" spans="1:14">
      <c r="A34" s="176" t="s">
        <v>77</v>
      </c>
      <c r="B34" s="177">
        <f>COUNTIFS(Table16[ฝ่าย],A34,Table16[สัปดาห์แจ้งซ่อม],2)</f>
        <v>0</v>
      </c>
      <c r="C34" s="178">
        <f>B34/B40</f>
        <v>0</v>
      </c>
      <c r="D34" s="173" t="str">
        <f>IF(COUNTIFS(Table16[ประเภท],D25,Table16[ฝ่าย],A34,Table16[สัปดาห์แจ้งซ่อม],"2")=0,"-",COUNTIFS(Table16[ประเภท],D25,Table16[ฝ่าย],A34,Table16[สัปดาห์แจ้งซ่อม],"2"))</f>
        <v>-</v>
      </c>
      <c r="E34" s="173" t="str">
        <f>IF(COUNTIFS(Table16[ประเภท],E25,Table16[ฝ่าย],A34,Table16[สัปดาห์แจ้งซ่อม],"2")=0,"-",COUNTIFS(Table16[ประเภท],E25,Table16[ฝ่าย],A34,Table16[สัปดาห์แจ้งซ่อม],"2"))</f>
        <v>-</v>
      </c>
      <c r="F34" s="173" t="str">
        <f>IF(COUNTIFS(Table16[ประเภท],F25,Table16[ฝ่าย],A34,Table16[สัปดาห์แจ้งซ่อม],"2")=0,"-",COUNTIFS(Table16[ประเภท],F25,Table16[ฝ่าย],A34,Table16[สัปดาห์แจ้งซ่อม],"2"))</f>
        <v>-</v>
      </c>
      <c r="G34" s="173" t="str">
        <f>IF(COUNTIFS(Table16[ประเภท],G25,Table16[ฝ่าย],A34,Table16[สัปดาห์แจ้งซ่อม],"2")=0,"-",COUNTIFS(Table16[ประเภท],G25,Table16[ฝ่าย],A34,Table16[สัปดาห์แจ้งซ่อม],"2"))</f>
        <v>-</v>
      </c>
      <c r="H34" s="173" t="str">
        <f>IF(COUNTIFS(Table16[ประเภท],H25,Table16[ฝ่าย],A34,Table16[สัปดาห์แจ้งซ่อม],"2")=0,"-",COUNTIFS(Table16[ประเภท],H25,Table16[ฝ่าย],A34,Table16[สัปดาห์แจ้งซ่อม],"2"))</f>
        <v>-</v>
      </c>
      <c r="I34" s="173" t="str">
        <f>IF(COUNTIFS(Table16[ประเภท],I25,Table16[ฝ่าย],A34,Table16[สัปดาห์แจ้งซ่อม],"2")=0,"-",COUNTIFS(Table16[ประเภท],I25,Table16[ฝ่าย],A34,Table16[สัปดาห์แจ้งซ่อม],"2"))</f>
        <v>-</v>
      </c>
      <c r="J34" s="173" t="str">
        <f>IF(COUNTIFS(Table16[ประเภท],J25,Table16[ฝ่าย],A34,Table16[สัปดาห์แจ้งซ่อม],"2")=0,"-",COUNTIFS(Table16[ประเภท],J25,Table16[ฝ่าย],A34,Table16[สัปดาห์แจ้งซ่อม],"2"))</f>
        <v>-</v>
      </c>
      <c r="K34" s="173" t="str">
        <f>IF(COUNTIFS(Table16[ประเภท],K25,Table16[ฝ่าย],A34,Table16[สัปดาห์แจ้งซ่อม],"2")=0,"-",COUNTIFS(Table16[ประเภท],K25,Table16[ฝ่าย],A34,Table16[สัปดาห์แจ้งซ่อม],"2"))</f>
        <v>-</v>
      </c>
      <c r="L34" s="173" t="str">
        <f>IF(COUNTIFS(Table16[ประเภท],L25,Table16[ฝ่าย],A34,Table16[สัปดาห์แจ้งซ่อม],"2")=0,"-",COUNTIFS(Table16[ประเภท],L25,Table16[ฝ่าย],A34,Table16[สัปดาห์แจ้งซ่อม],"2"))</f>
        <v>-</v>
      </c>
      <c r="M34" s="173" t="str">
        <f>IF(COUNTIFS(Table16[ประเภท],M25,Table16[ฝ่าย],A34,Table16[สัปดาห์แจ้งซ่อม],"2")=0,"-",COUNTIFS(Table16[ประเภท],M25,Table16[ฝ่าย],A34,Table16[สัปดาห์แจ้งซ่อม],"2"))</f>
        <v>-</v>
      </c>
      <c r="N34" s="173" t="str">
        <f>IF(COUNTIFS(Table16[ประเภท],N25,Table16[ฝ่าย],A34,Table16[สัปดาห์แจ้งซ่อม],"2")=0,"-",COUNTIFS(Table16[ประเภท],N25,Table16[ฝ่าย],A34,Table16[สัปดาห์แจ้งซ่อม],"2"))</f>
        <v>-</v>
      </c>
    </row>
    <row r="35" spans="1:14">
      <c r="A35" s="176" t="s">
        <v>78</v>
      </c>
      <c r="B35" s="177">
        <f>COUNTIFS(Table16[ฝ่าย],A35,Table16[สัปดาห์แจ้งซ่อม],2)</f>
        <v>0</v>
      </c>
      <c r="C35" s="179">
        <f>B35/B40</f>
        <v>0</v>
      </c>
      <c r="D35" s="173" t="str">
        <f>IF(COUNTIFS(Table16[ประเภท],D25,Table16[ฝ่าย],A35,Table16[สัปดาห์แจ้งซ่อม],"2")=0,"-",COUNTIFS(Table16[ประเภท],D25,Table16[ฝ่าย],A35,Table16[สัปดาห์แจ้งซ่อม],"2"))</f>
        <v>-</v>
      </c>
      <c r="E35" s="173" t="str">
        <f>IF(COUNTIFS(Table16[ประเภท],E25,Table16[ฝ่าย],A35,Table16[สัปดาห์แจ้งซ่อม],"2")=0,"-",COUNTIFS(Table16[ประเภท],E25,Table16[ฝ่าย],A35,Table16[สัปดาห์แจ้งซ่อม],"2"))</f>
        <v>-</v>
      </c>
      <c r="F35" s="173" t="str">
        <f>IF(COUNTIFS(Table16[ประเภท],F25,Table16[ฝ่าย],A35,Table16[สัปดาห์แจ้งซ่อม],"2")=0,"-",COUNTIFS(Table16[ประเภท],F25,Table16[ฝ่าย],A35,Table16[สัปดาห์แจ้งซ่อม],"2"))</f>
        <v>-</v>
      </c>
      <c r="G35" s="173" t="str">
        <f>IF(COUNTIFS(Table16[ประเภท],G25,Table16[ฝ่าย],A35,Table16[สัปดาห์แจ้งซ่อม],"2")=0,"-",COUNTIFS(Table16[ประเภท],G25,Table16[ฝ่าย],A35,Table16[สัปดาห์แจ้งซ่อม],"2"))</f>
        <v>-</v>
      </c>
      <c r="H35" s="173" t="str">
        <f>IF(COUNTIFS(Table16[ประเภท],H25,Table16[ฝ่าย],A35,Table16[สัปดาห์แจ้งซ่อม],"2")=0,"-",COUNTIFS(Table16[ประเภท],H25,Table16[ฝ่าย],A35,Table16[สัปดาห์แจ้งซ่อม],"2"))</f>
        <v>-</v>
      </c>
      <c r="I35" s="173" t="str">
        <f>IF(COUNTIFS(Table16[ประเภท],I25,Table16[ฝ่าย],A35,Table16[สัปดาห์แจ้งซ่อม],"2")=0,"-",COUNTIFS(Table16[ประเภท],I25,Table16[ฝ่าย],A35,Table16[สัปดาห์แจ้งซ่อม],"2"))</f>
        <v>-</v>
      </c>
      <c r="J35" s="173" t="str">
        <f>IF(COUNTIFS(Table16[ประเภท],J25,Table16[ฝ่าย],A35,Table16[สัปดาห์แจ้งซ่อม],"2")=0,"-",COUNTIFS(Table16[ประเภท],J25,Table16[ฝ่าย],A35,Table16[สัปดาห์แจ้งซ่อม],"2"))</f>
        <v>-</v>
      </c>
      <c r="K35" s="173" t="str">
        <f>IF(COUNTIFS(Table16[ประเภท],K25,Table16[ฝ่าย],A35,Table16[สัปดาห์แจ้งซ่อม],"2")=0,"-",COUNTIFS(Table16[ประเภท],K25,Table16[ฝ่าย],A35,Table16[สัปดาห์แจ้งซ่อม],"2"))</f>
        <v>-</v>
      </c>
      <c r="L35" s="173" t="str">
        <f>IF(COUNTIFS(Table16[ประเภท],L25,Table16[ฝ่าย],A35,Table16[สัปดาห์แจ้งซ่อม],"2")=0,"-",COUNTIFS(Table16[ประเภท],L25,Table16[ฝ่าย],A35,Table16[สัปดาห์แจ้งซ่อม],"2"))</f>
        <v>-</v>
      </c>
      <c r="M35" s="173" t="str">
        <f>IF(COUNTIFS(Table16[ประเภท],M25,Table16[ฝ่าย],A35,Table16[สัปดาห์แจ้งซ่อม],"2")=0,"-",COUNTIFS(Table16[ประเภท],M25,Table16[ฝ่าย],A35,Table16[สัปดาห์แจ้งซ่อม],"2"))</f>
        <v>-</v>
      </c>
      <c r="N35" s="173" t="str">
        <f>IF(COUNTIFS(Table16[ประเภท],N25,Table16[ฝ่าย],A35,Table16[สัปดาห์แจ้งซ่อม],"2")=0,"-",COUNTIFS(Table16[ประเภท],N25,Table16[ฝ่าย],A35,Table16[สัปดาห์แจ้งซ่อม],"2"))</f>
        <v>-</v>
      </c>
    </row>
    <row r="36" spans="1:14">
      <c r="A36" s="176" t="s">
        <v>79</v>
      </c>
      <c r="B36" s="177">
        <f>COUNTIFS(Table16[ฝ่าย],A36,Table16[สัปดาห์แจ้งซ่อม],2)</f>
        <v>0</v>
      </c>
      <c r="C36" s="179">
        <f>B36/B40</f>
        <v>0</v>
      </c>
      <c r="D36" s="173" t="str">
        <f>IF(COUNTIFS(Table16[ประเภท],D25,Table16[ฝ่าย],A36,Table16[สัปดาห์แจ้งซ่อม],"2")=0,"-",COUNTIFS(Table16[ประเภท],D25,Table16[ฝ่าย],A36,Table16[สัปดาห์แจ้งซ่อม],"2"))</f>
        <v>-</v>
      </c>
      <c r="E36" s="173" t="str">
        <f>IF(COUNTIFS(Table16[ประเภท],E25,Table16[ฝ่าย],A36,Table16[สัปดาห์แจ้งซ่อม],"2")=0,"-",COUNTIFS(Table16[ประเภท],E25,Table16[ฝ่าย],A36,Table16[สัปดาห์แจ้งซ่อม],"2"))</f>
        <v>-</v>
      </c>
      <c r="F36" s="173" t="str">
        <f>IF(COUNTIFS(Table16[ประเภท],F25,Table16[ฝ่าย],A36,Table16[สัปดาห์แจ้งซ่อม],"2")=0,"-",COUNTIFS(Table16[ประเภท],F25,Table16[ฝ่าย],A36,Table16[สัปดาห์แจ้งซ่อม],"2"))</f>
        <v>-</v>
      </c>
      <c r="G36" s="173" t="str">
        <f>IF(COUNTIFS(Table16[ประเภท],G25,Table16[ฝ่าย],A36,Table16[สัปดาห์แจ้งซ่อม],"2")=0,"-",COUNTIFS(Table16[ประเภท],G25,Table16[ฝ่าย],A36,Table16[สัปดาห์แจ้งซ่อม],"2"))</f>
        <v>-</v>
      </c>
      <c r="H36" s="173" t="str">
        <f>IF(COUNTIFS(Table16[ประเภท],H25,Table16[ฝ่าย],A36,Table16[สัปดาห์แจ้งซ่อม],"2")=0,"-",COUNTIFS(Table16[ประเภท],H25,Table16[ฝ่าย],A36,Table16[สัปดาห์แจ้งซ่อม],"2"))</f>
        <v>-</v>
      </c>
      <c r="I36" s="173" t="str">
        <f>IF(COUNTIFS(Table16[ประเภท],I25,Table16[ฝ่าย],A36,Table16[สัปดาห์แจ้งซ่อม],"2")=0,"-",COUNTIFS(Table16[ประเภท],I25,Table16[ฝ่าย],A36,Table16[สัปดาห์แจ้งซ่อม],"2"))</f>
        <v>-</v>
      </c>
      <c r="J36" s="173" t="str">
        <f>IF(COUNTIFS(Table16[ประเภท],J25,Table16[ฝ่าย],A36,Table16[สัปดาห์แจ้งซ่อม],"2")=0,"-",COUNTIFS(Table16[ประเภท],J25,Table16[ฝ่าย],A36,Table16[สัปดาห์แจ้งซ่อม],"2"))</f>
        <v>-</v>
      </c>
      <c r="K36" s="173" t="str">
        <f>IF(COUNTIFS(Table16[ประเภท],K25,Table16[ฝ่าย],A36,Table16[สัปดาห์แจ้งซ่อม],"2")=0,"-",COUNTIFS(Table16[ประเภท],K25,Table16[ฝ่าย],A36,Table16[สัปดาห์แจ้งซ่อม],"2"))</f>
        <v>-</v>
      </c>
      <c r="L36" s="173" t="str">
        <f>IF(COUNTIFS(Table16[ประเภท],L25,Table16[ฝ่าย],A36,Table16[สัปดาห์แจ้งซ่อม],"2")=0,"-",COUNTIFS(Table16[ประเภท],L25,Table16[ฝ่าย],A36,Table16[สัปดาห์แจ้งซ่อม],"2"))</f>
        <v>-</v>
      </c>
      <c r="M36" s="173" t="str">
        <f>IF(COUNTIFS(Table16[ประเภท],M25,Table16[ฝ่าย],A36,Table16[สัปดาห์แจ้งซ่อม],"2")=0,"-",COUNTIFS(Table16[ประเภท],M25,Table16[ฝ่าย],A36,Table16[สัปดาห์แจ้งซ่อม],"2"))</f>
        <v>-</v>
      </c>
      <c r="N36" s="173" t="str">
        <f>IF(COUNTIFS(Table16[ประเภท],N25,Table16[ฝ่าย],A36,Table16[สัปดาห์แจ้งซ่อม],"2")=0,"-",COUNTIFS(Table16[ประเภท],N25,Table16[ฝ่าย],A36,Table16[สัปดาห์แจ้งซ่อม],"2"))</f>
        <v>-</v>
      </c>
    </row>
    <row r="37" spans="1:14">
      <c r="A37" s="176" t="s">
        <v>80</v>
      </c>
      <c r="B37" s="177">
        <f>COUNTIFS(Table16[ฝ่าย],A37,Table16[สัปดาห์แจ้งซ่อม],2)</f>
        <v>0</v>
      </c>
      <c r="C37" s="179">
        <f>B37/B40</f>
        <v>0</v>
      </c>
      <c r="D37" s="173" t="str">
        <f>IF(COUNTIFS(Table16[ประเภท],D25,Table16[ฝ่าย],A37,Table16[สัปดาห์แจ้งซ่อม],"2")=0,"-",COUNTIFS(Table16[ประเภท],D25,Table16[ฝ่าย],A37,Table16[สัปดาห์แจ้งซ่อม],"2"))</f>
        <v>-</v>
      </c>
      <c r="E37" s="173" t="str">
        <f>IF(COUNTIFS(Table16[ประเภท],E25,Table16[ฝ่าย],A37,Table16[สัปดาห์แจ้งซ่อม],"2")=0,"-",COUNTIFS(Table16[ประเภท],E25,Table16[ฝ่าย],A37,Table16[สัปดาห์แจ้งซ่อม],"2"))</f>
        <v>-</v>
      </c>
      <c r="F37" s="173" t="str">
        <f>IF(COUNTIFS(Table16[ประเภท],F25,Table16[ฝ่าย],A37,Table16[สัปดาห์แจ้งซ่อม],"2")=0,"-",COUNTIFS(Table16[ประเภท],F25,Table16[ฝ่าย],A37,Table16[สัปดาห์แจ้งซ่อม],"2"))</f>
        <v>-</v>
      </c>
      <c r="G37" s="173" t="str">
        <f>IF(COUNTIFS(Table16[ประเภท],G25,Table16[ฝ่าย],A37,Table16[สัปดาห์แจ้งซ่อม],"2")=0,"-",COUNTIFS(Table16[ประเภท],G25,Table16[ฝ่าย],A37,Table16[สัปดาห์แจ้งซ่อม],"2"))</f>
        <v>-</v>
      </c>
      <c r="H37" s="173" t="str">
        <f>IF(COUNTIFS(Table16[ประเภท],H25,Table16[ฝ่าย],A37,Table16[สัปดาห์แจ้งซ่อม],"2")=0,"-",COUNTIFS(Table16[ประเภท],H25,Table16[ฝ่าย],A37,Table16[สัปดาห์แจ้งซ่อม],"2"))</f>
        <v>-</v>
      </c>
      <c r="I37" s="173" t="str">
        <f>IF(COUNTIFS(Table16[ประเภท],I25,Table16[ฝ่าย],A37,Table16[สัปดาห์แจ้งซ่อม],"2")=0,"-",COUNTIFS(Table16[ประเภท],I25,Table16[ฝ่าย],A37,Table16[สัปดาห์แจ้งซ่อม],"2"))</f>
        <v>-</v>
      </c>
      <c r="J37" s="173" t="str">
        <f>IF(COUNTIFS(Table16[ประเภท],J25,Table16[ฝ่าย],A37,Table16[สัปดาห์แจ้งซ่อม],"2")=0,"-",COUNTIFS(Table16[ประเภท],J25,Table16[ฝ่าย],A37,Table16[สัปดาห์แจ้งซ่อม],"2"))</f>
        <v>-</v>
      </c>
      <c r="K37" s="173" t="str">
        <f>IF(COUNTIFS(Table16[ประเภท],K25,Table16[ฝ่าย],A37,Table16[สัปดาห์แจ้งซ่อม],"2")=0,"-",COUNTIFS(Table16[ประเภท],K25,Table16[ฝ่าย],A37,Table16[สัปดาห์แจ้งซ่อม],"2"))</f>
        <v>-</v>
      </c>
      <c r="L37" s="173" t="str">
        <f>IF(COUNTIFS(Table16[ประเภท],L25,Table16[ฝ่าย],A37,Table16[สัปดาห์แจ้งซ่อม],"2")=0,"-",COUNTIFS(Table16[ประเภท],L25,Table16[ฝ่าย],A37,Table16[สัปดาห์แจ้งซ่อม],"2"))</f>
        <v>-</v>
      </c>
      <c r="M37" s="173" t="str">
        <f>IF(COUNTIFS(Table16[ประเภท],M25,Table16[ฝ่าย],A37,Table16[สัปดาห์แจ้งซ่อม],"2")=0,"-",COUNTIFS(Table16[ประเภท],M25,Table16[ฝ่าย],A37,Table16[สัปดาห์แจ้งซ่อม],"2"))</f>
        <v>-</v>
      </c>
      <c r="N37" s="173" t="str">
        <f>IF(COUNTIFS(Table16[ประเภท],N25,Table16[ฝ่าย],A37,Table16[สัปดาห์แจ้งซ่อม],"2")=0,"-",COUNTIFS(Table16[ประเภท],N25,Table16[ฝ่าย],A37,Table16[สัปดาห์แจ้งซ่อม],"2"))</f>
        <v>-</v>
      </c>
    </row>
    <row r="38" spans="1:14">
      <c r="A38" s="176" t="s">
        <v>81</v>
      </c>
      <c r="B38" s="177">
        <f>COUNTIFS(Table16[ฝ่าย],A38,Table16[สัปดาห์แจ้งซ่อม],2)</f>
        <v>0</v>
      </c>
      <c r="C38" s="179">
        <f>B38/B40</f>
        <v>0</v>
      </c>
      <c r="D38" s="173" t="str">
        <f>IF(COUNTIFS(Table16[ประเภท],D25,Table16[ฝ่าย],A38,Table16[สัปดาห์แจ้งซ่อม],"2")=0,"-",COUNTIFS(Table16[ประเภท],D25,Table16[ฝ่าย],A35,Table16[สัปดาห์แจ้งซ่อม],"2"))</f>
        <v>-</v>
      </c>
      <c r="E38" s="173" t="str">
        <f>IF(COUNTIFS(Table16[ประเภท],E25,Table16[ฝ่าย],A38,Table16[สัปดาห์แจ้งซ่อม],"2")=0,"-",COUNTIFS(Table16[ประเภท],E25,Table16[ฝ่าย],A35,Table16[สัปดาห์แจ้งซ่อม],"2"))</f>
        <v>-</v>
      </c>
      <c r="F38" s="173" t="str">
        <f>IF(COUNTIFS(Table16[ประเภท],F25,Table16[ฝ่าย],A38,Table16[สัปดาห์แจ้งซ่อม],"2")=0,"-",COUNTIFS(Table16[ประเภท],F25,Table16[ฝ่าย],A38,Table16[สัปดาห์แจ้งซ่อม],"2"))</f>
        <v>-</v>
      </c>
      <c r="G38" s="173" t="str">
        <f>IF(COUNTIFS(Table16[ประเภท],G25,Table16[ฝ่าย],A38,Table16[สัปดาห์แจ้งซ่อม],"2")=0,"-",COUNTIFS(Table16[ประเภท],G25,Table16[ฝ่าย],A38,Table16[สัปดาห์แจ้งซ่อม],"2"))</f>
        <v>-</v>
      </c>
      <c r="H38" s="173" t="str">
        <f>IF(COUNTIFS(Table16[ประเภท],H25,Table16[ฝ่าย],A38,Table16[สัปดาห์แจ้งซ่อม],"2")=0,"-",COUNTIFS(Table16[ประเภท],H25,Table16[ฝ่าย],A38,Table16[สัปดาห์แจ้งซ่อม],"2"))</f>
        <v>-</v>
      </c>
      <c r="I38" s="173" t="str">
        <f>IF(COUNTIFS(Table16[ประเภท],I25,Table16[ฝ่าย],A38,Table16[สัปดาห์แจ้งซ่อม],"2")=0,"-",COUNTIFS(Table16[ประเภท],I25,Table16[ฝ่าย],A38,Table16[สัปดาห์แจ้งซ่อม],"2"))</f>
        <v>-</v>
      </c>
      <c r="J38" s="173" t="str">
        <f>IF(COUNTIFS(Table16[ประเภท],J25,Table16[ฝ่าย],A38,Table16[สัปดาห์แจ้งซ่อม],"2")=0,"-",COUNTIFS(Table16[ประเภท],J25,Table16[ฝ่าย],A38,Table16[สัปดาห์แจ้งซ่อม],"2"))</f>
        <v>-</v>
      </c>
      <c r="K38" s="173" t="str">
        <f>IF(COUNTIFS(Table16[ประเภท],K25,Table16[ฝ่าย],A38,Table16[สัปดาห์แจ้งซ่อม],"2")=0,"-",COUNTIFS(Table16[ประเภท],K25,Table16[ฝ่าย],A38,Table16[สัปดาห์แจ้งซ่อม],"2"))</f>
        <v>-</v>
      </c>
      <c r="L38" s="173" t="str">
        <f>IF(COUNTIFS(Table16[ประเภท],L25,Table16[ฝ่าย],A38,Table16[สัปดาห์แจ้งซ่อม],"2")=0,"-",COUNTIFS(Table16[ประเภท],L25,Table16[ฝ่าย],A38,Table16[สัปดาห์แจ้งซ่อม],"2"))</f>
        <v>-</v>
      </c>
      <c r="M38" s="173" t="str">
        <f>IF(COUNTIFS(Table16[ประเภท],M25,Table16[ฝ่าย],A38,Table16[สัปดาห์แจ้งซ่อม],"2")=0,"-",COUNTIFS(Table16[ประเภท],M25,Table16[ฝ่าย],A38,Table16[สัปดาห์แจ้งซ่อม],"2"))</f>
        <v>-</v>
      </c>
      <c r="N38" s="173" t="str">
        <f>IF(COUNTIFS(Table16[ประเภท],N25,Table16[ฝ่าย],A38,Table16[สัปดาห์แจ้งซ่อม],"2")=0,"-",COUNTIFS(Table16[ประเภท],N25,Table16[ฝ่าย],A38,Table16[สัปดาห์แจ้งซ่อม],"2"))</f>
        <v>-</v>
      </c>
    </row>
    <row r="39" spans="1:14">
      <c r="A39" s="176" t="s">
        <v>171</v>
      </c>
      <c r="B39" s="177">
        <f>COUNTIFS(Table16[ฝ่าย],A39,Table16[สัปดาห์แจ้งซ่อม],2)</f>
        <v>2</v>
      </c>
      <c r="C39" s="179">
        <f>B39/B40</f>
        <v>0.16666666666666666</v>
      </c>
      <c r="D39" s="173" t="str">
        <f>IF(COUNTIFS(Table16[ประเภท],D25,Table16[ฝ่าย],A39,Table16[สัปดาห์แจ้งซ่อม],"2")=0,"-",COUNTIFS(Table16[ประเภท],D25,Table16[ฝ่าย],A39,Table16[สัปดาห์แจ้งซ่อม],"2"))</f>
        <v>-</v>
      </c>
      <c r="E39" s="173" t="str">
        <f>IF(COUNTIFS(Table16[ประเภท],E25,Table16[ฝ่าย],A39,Table16[สัปดาห์แจ้งซ่อม],"2")=0,"-",COUNTIFS(Table16[ประเภท],E25,Table16[ฝ่าย],A39,Table16[สัปดาห์แจ้งซ่อม],"2"))</f>
        <v>-</v>
      </c>
      <c r="F39" s="173" t="str">
        <f>IF(COUNTIFS(Table16[ประเภท],F25,Table16[ฝ่าย],A39,Table16[สัปดาห์แจ้งซ่อม],"2")=0,"-",COUNTIFS(Table16[ประเภท],F25,Table16[ฝ่าย],A39,Table16[สัปดาห์แจ้งซ่อม],"2"))</f>
        <v>-</v>
      </c>
      <c r="G39" s="173" t="str">
        <f>IF(COUNTIFS(Table16[ประเภท],G25,Table16[ฝ่าย],A39,Table16[สัปดาห์แจ้งซ่อม],"2")=0,"-",COUNTIFS(Table16[ประเภท],G25,Table16[ฝ่าย],A39,Table16[สัปดาห์แจ้งซ่อม],"2"))</f>
        <v>-</v>
      </c>
      <c r="H39" s="173">
        <f>IF(COUNTIFS(Table16[ประเภท],H25,Table16[ฝ่าย],A39,Table16[สัปดาห์แจ้งซ่อม],"2")=0,"-",COUNTIFS(Table16[ประเภท],H25,Table16[ฝ่าย],A39,Table16[สัปดาห์แจ้งซ่อม],"2"))</f>
        <v>1</v>
      </c>
      <c r="I39" s="173" t="str">
        <f>IF(COUNTIFS(Table16[ประเภท],I25,Table16[ฝ่าย],A39,Table16[สัปดาห์แจ้งซ่อม],"2")=0,"-",COUNTIFS(Table16[ประเภท],I25,Table16[ฝ่าย],A39,Table16[สัปดาห์แจ้งซ่อม],"2"))</f>
        <v>-</v>
      </c>
      <c r="J39" s="173" t="str">
        <f>IF(COUNTIFS(Table16[ประเภท],J25,Table16[ฝ่าย],A39,Table16[สัปดาห์แจ้งซ่อม],"2")=0,"-",COUNTIFS(Table16[ประเภท],J25,Table16[ฝ่าย],A39,Table16[สัปดาห์แจ้งซ่อม],"2"))</f>
        <v>-</v>
      </c>
      <c r="K39" s="173" t="str">
        <f>IF(COUNTIFS(Table16[ประเภท],K25,Table16[ฝ่าย],A39,Table16[สัปดาห์แจ้งซ่อม],"2")=0,"-",COUNTIFS(Table16[ประเภท],K25,Table16[ฝ่าย],A39,Table16[สัปดาห์แจ้งซ่อม],"2"))</f>
        <v>-</v>
      </c>
      <c r="L39" s="173" t="str">
        <f>IF(COUNTIFS(Table16[ประเภท],L25,Table16[ฝ่าย],A39,Table16[สัปดาห์แจ้งซ่อม],"2")=0,"-",COUNTIFS(Table16[ประเภท],L25,Table16[ฝ่าย],A39,Table16[สัปดาห์แจ้งซ่อม],"2"))</f>
        <v>-</v>
      </c>
      <c r="M39" s="173" t="str">
        <f>IF(COUNTIFS(Table16[ประเภท],M25,Table16[ฝ่าย],A39,Table16[สัปดาห์แจ้งซ่อม],"2")=0,"-",COUNTIFS(Table16[ประเภท],M25,Table16[ฝ่าย],A39,Table16[สัปดาห์แจ้งซ่อม],"2"))</f>
        <v>-</v>
      </c>
      <c r="N39" s="173">
        <f>IF(COUNTIFS(Table16[ประเภท],N25,Table16[ฝ่าย],A39,Table16[สัปดาห์แจ้งซ่อม],"2")=0,"-",COUNTIFS(Table16[ประเภท],N25,Table16[ฝ่าย],A39,Table16[สัปดาห์แจ้งซ่อม],"2"))</f>
        <v>1</v>
      </c>
    </row>
    <row r="40" spans="1:14">
      <c r="A40" s="180" t="s">
        <v>82</v>
      </c>
      <c r="B40" s="181">
        <f>SUM(B26:B39)</f>
        <v>12</v>
      </c>
      <c r="C40" s="182">
        <f t="shared" ref="C40" si="2">SUM(C26:C38)</f>
        <v>0.83333333333333337</v>
      </c>
      <c r="D40" s="181">
        <f>SUM(D26:D39)</f>
        <v>0</v>
      </c>
      <c r="E40" s="181">
        <f t="shared" ref="E40" si="3">SUM(E26:E39)</f>
        <v>2</v>
      </c>
      <c r="F40" s="181">
        <f t="shared" ref="F40" si="4">SUM(F26:F39)</f>
        <v>3</v>
      </c>
      <c r="G40" s="181">
        <f t="shared" ref="G40" si="5">SUM(G26:G39)</f>
        <v>1</v>
      </c>
      <c r="H40" s="181">
        <f t="shared" ref="H40" si="6">SUM(H26:H39)</f>
        <v>1</v>
      </c>
      <c r="I40" s="181">
        <f t="shared" ref="I40" si="7">SUM(I26:I39)</f>
        <v>0</v>
      </c>
      <c r="J40" s="181">
        <f t="shared" ref="J40" si="8">SUM(J26:J39)</f>
        <v>2</v>
      </c>
      <c r="K40" s="181">
        <f t="shared" ref="K40" si="9">SUM(K26:K39)</f>
        <v>2</v>
      </c>
      <c r="L40" s="181">
        <f t="shared" ref="L40" si="10">SUM(L26:L39)</f>
        <v>0</v>
      </c>
      <c r="M40" s="181">
        <f t="shared" ref="M40" si="11">SUM(M26:M39)</f>
        <v>0</v>
      </c>
      <c r="N40" s="181">
        <f t="shared" ref="N40" si="12">SUM(N26:N39)</f>
        <v>1</v>
      </c>
    </row>
    <row r="41" spans="1:14">
      <c r="A41" s="183" t="s">
        <v>83</v>
      </c>
      <c r="B41" s="184">
        <f>COUNTIFS(Table16[สถานะ],"เรียบร้อย",Table16[สัปดาห์แจ้งซ่อม],2)</f>
        <v>4</v>
      </c>
      <c r="C41" s="185"/>
      <c r="D41" s="76"/>
      <c r="E41" s="76"/>
      <c r="F41" s="76"/>
      <c r="G41" s="76"/>
      <c r="H41" s="76"/>
      <c r="I41" s="76"/>
      <c r="J41" s="76"/>
      <c r="K41" s="76"/>
      <c r="L41" s="76"/>
    </row>
    <row r="42" spans="1:14">
      <c r="A42" s="186" t="s">
        <v>84</v>
      </c>
      <c r="B42" s="187">
        <f>COUNTIFS(Table16[สถานะ],"กำลังดำเนินการ",Table16[สัปดาห์แจ้งซ่อม],2)</f>
        <v>4</v>
      </c>
      <c r="C42" s="185"/>
      <c r="D42" s="76"/>
      <c r="E42" s="76"/>
      <c r="F42" s="76"/>
      <c r="G42" s="76"/>
      <c r="H42" s="76"/>
      <c r="I42" s="76"/>
      <c r="J42" s="76"/>
      <c r="K42" s="76"/>
      <c r="L42" s="76"/>
    </row>
    <row r="43" spans="1:14">
      <c r="A43" s="188" t="s">
        <v>3</v>
      </c>
      <c r="B43" s="189">
        <f>COUNTIFS(Table16[สถานะ],"รอดำเนินการ",Table16[สัปดาห์แจ้งซ่อม],2)</f>
        <v>4</v>
      </c>
      <c r="C43" s="185"/>
      <c r="D43" s="76"/>
      <c r="E43" s="76"/>
      <c r="F43" s="76"/>
      <c r="G43" s="76"/>
      <c r="H43" s="76"/>
      <c r="I43" s="76"/>
      <c r="J43" s="76"/>
      <c r="K43" s="76"/>
      <c r="L43" s="76"/>
    </row>
    <row r="44" spans="1:14" ht="15.6">
      <c r="A44" s="190" t="s">
        <v>85</v>
      </c>
      <c r="B44" s="191">
        <f>COUNTIFS(Table16[สถานะ],"โอนย้าย",Table16[สัปดาห์แจ้งซ่อม],2)</f>
        <v>0</v>
      </c>
      <c r="C44" s="192"/>
    </row>
    <row r="45" spans="1:14" ht="30" customHeight="1">
      <c r="A45" s="528" t="s">
        <v>658</v>
      </c>
      <c r="B45" s="529"/>
      <c r="C45" s="529"/>
      <c r="D45" s="529"/>
      <c r="E45" s="529"/>
      <c r="F45" s="529"/>
      <c r="G45" s="529"/>
      <c r="H45" s="529"/>
      <c r="I45" s="529"/>
      <c r="J45" s="529"/>
      <c r="K45" s="529"/>
      <c r="L45" s="529"/>
      <c r="M45" s="529"/>
      <c r="N45" s="529"/>
    </row>
    <row r="46" spans="1:14" ht="18">
      <c r="A46" s="522" t="s">
        <v>656</v>
      </c>
      <c r="B46" s="522" t="s">
        <v>57</v>
      </c>
      <c r="C46" s="524" t="s">
        <v>58</v>
      </c>
      <c r="D46" s="526" t="s">
        <v>59</v>
      </c>
      <c r="E46" s="527"/>
      <c r="F46" s="527"/>
      <c r="G46" s="527"/>
      <c r="H46" s="527"/>
      <c r="I46" s="527"/>
      <c r="J46" s="527"/>
      <c r="K46" s="527"/>
      <c r="L46" s="527"/>
      <c r="M46" s="527"/>
      <c r="N46" s="527"/>
    </row>
    <row r="47" spans="1:14">
      <c r="A47" s="523"/>
      <c r="B47" s="523"/>
      <c r="C47" s="525"/>
      <c r="D47" s="172" t="s">
        <v>60</v>
      </c>
      <c r="E47" s="172" t="s">
        <v>61</v>
      </c>
      <c r="F47" s="173" t="s">
        <v>62</v>
      </c>
      <c r="G47" s="173" t="s">
        <v>63</v>
      </c>
      <c r="H47" s="173" t="s">
        <v>64</v>
      </c>
      <c r="I47" s="173" t="s">
        <v>65</v>
      </c>
      <c r="J47" s="173" t="s">
        <v>66</v>
      </c>
      <c r="K47" s="173" t="s">
        <v>67</v>
      </c>
      <c r="L47" s="174" t="s">
        <v>68</v>
      </c>
      <c r="M47" s="175" t="s">
        <v>87</v>
      </c>
      <c r="N47" s="175" t="s">
        <v>166</v>
      </c>
    </row>
    <row r="48" spans="1:14">
      <c r="A48" s="176" t="s">
        <v>69</v>
      </c>
      <c r="B48" s="194">
        <f>COUNTIFS(Table16[ฝ่าย],A48,Table16[สัปดาห์แจ้งซ่อม],3)</f>
        <v>32</v>
      </c>
      <c r="C48" s="178">
        <f>B48/B62</f>
        <v>0.7441860465116279</v>
      </c>
      <c r="D48" s="173">
        <f>IF(COUNTIFS(Table16[ประเภท],D47,Table16[ฝ่าย],A48,Table16[สัปดาห์แจ้งซ่อม],"3")=0,"-",COUNTIFS(Table16[ประเภท],D47,Table16[ฝ่าย],A48,Table16[สัปดาห์แจ้งซ่อม],"3"))</f>
        <v>6</v>
      </c>
      <c r="E48" s="173">
        <f>IF(COUNTIFS(Table16[ประเภท],E47,Table16[ฝ่าย],A48,Table16[สัปดาห์แจ้งซ่อม],"3")=0,"-",COUNTIFS(Table16[ประเภท],E47,Table16[ฝ่าย],A48,Table16[สัปดาห์แจ้งซ่อม],"3"))</f>
        <v>1</v>
      </c>
      <c r="F48" s="173">
        <f>IF(COUNTIFS(Table16[ประเภท],F47,Table16[ฝ่าย],A48,Table16[สัปดาห์แจ้งซ่อม],"3")=0,"-",COUNTIFS(Table16[ประเภท],F47,Table16[ฝ่าย],A48,Table16[สัปดาห์แจ้งซ่อม],"3"))</f>
        <v>2</v>
      </c>
      <c r="G48" s="173" t="str">
        <f>IF(COUNTIFS(Table16[ประเภท],G47,Table16[ฝ่าย],A48,Table16[สัปดาห์แจ้งซ่อม],"3")=0,"-",COUNTIFS(Table16[ประเภท],G47,Table16[ฝ่าย],A48,Table16[สัปดาห์แจ้งซ่อม],"3"))</f>
        <v>-</v>
      </c>
      <c r="H48" s="173">
        <f>IF(COUNTIFS(Table16[ประเภท],H47,Table16[ฝ่าย],A48,Table16[สัปดาห์แจ้งซ่อม],"3")=0,"-",COUNTIFS(Table16[ประเภท],H47,Table16[ฝ่าย],A48,Table16[สัปดาห์แจ้งซ่อม],"3"))</f>
        <v>5</v>
      </c>
      <c r="I48" s="173">
        <f>IF(COUNTIFS(Table16[ประเภท],I47,Table16[ฝ่าย],A48,Table16[สัปดาห์แจ้งซ่อม],"3")=0,"-",COUNTIFS(Table16[ประเภท],I47,Table16[ฝ่าย],A48,Table16[สัปดาห์แจ้งซ่อม],"3"))</f>
        <v>1</v>
      </c>
      <c r="J48" s="173">
        <f>IF(COUNTIFS(Table16[ประเภท],J47,Table16[ฝ่าย],A48,Table16[สัปดาห์แจ้งซ่อม],"3")=0,"-",COUNTIFS(Table16[ประเภท],J47,Table16[ฝ่าย],A48,Table16[สัปดาห์แจ้งซ่อม],"3"))</f>
        <v>2</v>
      </c>
      <c r="K48" s="173">
        <f>IF(COUNTIFS(Table16[ประเภท],K47,Table16[ฝ่าย],A48,Table16[สัปดาห์แจ้งซ่อม],"3")=0,"-",COUNTIFS(Table16[ประเภท],K47,Table16[ฝ่าย],A48,Table16[สัปดาห์แจ้งซ่อม],"3"))</f>
        <v>9</v>
      </c>
      <c r="L48" s="173" t="str">
        <f>IF(COUNTIFS(Table16[ประเภท],L47,Table16[ฝ่าย],A48,Table16[สัปดาห์แจ้งซ่อม],"3")=0,"-",COUNTIFS(Table16[ประเภท],L47,Table16[ฝ่าย],A48,Table16[สัปดาห์แจ้งซ่อม],"3"))</f>
        <v>-</v>
      </c>
      <c r="M48" s="173" t="str">
        <f>IF(COUNTIFS(Table16[ประเภท],M47,Table16[ฝ่าย],A48,Table16[สัปดาห์แจ้งซ่อม],"3")=0,"-",COUNTIFS(Table16[ประเภท],M47,Table16[ฝ่าย],A48,Table16[สัปดาห์แจ้งซ่อม],"3"))</f>
        <v>-</v>
      </c>
      <c r="N48" s="173">
        <f>IF(COUNTIFS(Table16[ประเภท],N47,Table16[ฝ่าย],A48,Table16[สัปดาห์แจ้งซ่อม],"3")=0,"-",COUNTIFS(Table16[ประเภท],N47,Table16[ฝ่าย],A48,Table16[สัปดาห์แจ้งซ่อม],"3"))</f>
        <v>2</v>
      </c>
    </row>
    <row r="49" spans="1:14">
      <c r="A49" s="176" t="s">
        <v>70</v>
      </c>
      <c r="B49" s="194">
        <f>COUNTIFS(Table16[ฝ่าย],A49,Table16[สัปดาห์แจ้งซ่อม],3)</f>
        <v>2</v>
      </c>
      <c r="C49" s="178">
        <f>B49/B62</f>
        <v>4.6511627906976744E-2</v>
      </c>
      <c r="D49" s="173" t="str">
        <f>IF(COUNTIFS(Table16[ประเภท],D47,Table16[ฝ่าย],A49,Table16[สัปดาห์แจ้งซ่อม],"3")=0,"-",COUNTIFS(Table16[ประเภท],D47,Table16[ฝ่าย],A49,Table16[สัปดาห์แจ้งซ่อม],"3"))</f>
        <v>-</v>
      </c>
      <c r="E49" s="173">
        <f>IF(COUNTIFS(Table16[ประเภท],E47,Table16[ฝ่าย],A49,Table16[สัปดาห์แจ้งซ่อม],"3")=0,"-",COUNTIFS(Table16[ประเภท],E47,Table16[ฝ่าย],A49,Table16[สัปดาห์แจ้งซ่อม],"3"))</f>
        <v>1</v>
      </c>
      <c r="F49" s="173" t="str">
        <f>IF(COUNTIFS(Table16[ประเภท],F47,Table16[ฝ่าย],A49,Table16[สัปดาห์แจ้งซ่อม],"3")=0,"-",COUNTIFS(Table16[ประเภท],F47,Table16[ฝ่าย],A49,Table16[สัปดาห์แจ้งซ่อม],"3"))</f>
        <v>-</v>
      </c>
      <c r="G49" s="173" t="str">
        <f>IF(COUNTIFS(Table16[ประเภท],G47,Table16[ฝ่าย],A49,Table16[สัปดาห์แจ้งซ่อม],"3")=0,"-",COUNTIFS(Table16[ประเภท],G47,Table16[ฝ่าย],A49,Table16[สัปดาห์แจ้งซ่อม],"3"))</f>
        <v>-</v>
      </c>
      <c r="H49" s="173" t="str">
        <f>IF(COUNTIFS(Table16[ประเภท],H47,Table16[ฝ่าย],A49,Table16[สัปดาห์แจ้งซ่อม],"3")=0,"-",COUNTIFS(Table16[ประเภท],H47,Table16[ฝ่าย],A49,Table16[สัปดาห์แจ้งซ่อม],"3"))</f>
        <v>-</v>
      </c>
      <c r="I49" s="173">
        <f>IF(COUNTIFS(Table16[ประเภท],I47,Table16[ฝ่าย],A49,Table16[สัปดาห์แจ้งซ่อม],"3")=0,"-",COUNTIFS(Table16[ประเภท],I47,Table16[ฝ่าย],A49,Table16[สัปดาห์แจ้งซ่อม],"3"))</f>
        <v>1</v>
      </c>
      <c r="J49" s="173" t="str">
        <f>IF(COUNTIFS(Table16[ประเภท],J47,Table16[ฝ่าย],A49,Table16[สัปดาห์แจ้งซ่อม],"3")=0,"-",COUNTIFS(Table16[ประเภท],J47,Table16[ฝ่าย],A49,Table16[สัปดาห์แจ้งซ่อม],"3"))</f>
        <v>-</v>
      </c>
      <c r="K49" s="173" t="str">
        <f>IF(COUNTIFS(Table16[ประเภท],K47,Table16[ฝ่าย],A49,Table16[สัปดาห์แจ้งซ่อม],"3")=0,"-",COUNTIFS(Table16[ประเภท],K47,Table16[ฝ่าย],A49,Table16[สัปดาห์แจ้งซ่อม],"3"))</f>
        <v>-</v>
      </c>
      <c r="L49" s="173" t="str">
        <f>IF(COUNTIFS(Table16[ประเภท],L47,Table16[ฝ่าย],A49,Table16[สัปดาห์แจ้งซ่อม],"3")=0,"-",COUNTIFS(Table16[ประเภท],L47,Table16[ฝ่าย],A49,Table16[สัปดาห์แจ้งซ่อม],"3"))</f>
        <v>-</v>
      </c>
      <c r="M49" s="173" t="str">
        <f>IF(COUNTIFS(Table16[ประเภท],M47,Table16[ฝ่าย],A49,Table16[สัปดาห์แจ้งซ่อม],"3")=0,"-",COUNTIFS(Table16[ประเภท],M47,Table16[ฝ่าย],A49,Table16[สัปดาห์แจ้งซ่อม],"3"))</f>
        <v>-</v>
      </c>
      <c r="N49" s="173" t="str">
        <f>IF(COUNTIFS(Table16[ประเภท],N47,Table16[ฝ่าย],A49,Table16[สัปดาห์แจ้งซ่อม],"3")=0,"-",COUNTIFS(Table16[ประเภท],N47,Table16[ฝ่าย],A49,Table16[สัปดาห์แจ้งซ่อม],"3"))</f>
        <v>-</v>
      </c>
    </row>
    <row r="50" spans="1:14">
      <c r="A50" s="176" t="s">
        <v>71</v>
      </c>
      <c r="B50" s="194">
        <f>COUNTIFS(Table16[ฝ่าย],A50,Table16[สัปดาห์แจ้งซ่อม],3)</f>
        <v>0</v>
      </c>
      <c r="C50" s="178">
        <f>B50/B62</f>
        <v>0</v>
      </c>
      <c r="D50" s="173" t="str">
        <f>IF(COUNTIFS(Table16[ประเภท],D47,Table16[ฝ่าย],A50,Table16[สัปดาห์แจ้งซ่อม],"3")=0,"-",COUNTIFS(Table16[ประเภท],D47,Table16[ฝ่าย],A50,Table16[สัปดาห์แจ้งซ่อม],"3"))</f>
        <v>-</v>
      </c>
      <c r="E50" s="173" t="str">
        <f>IF(COUNTIFS(Table16[ประเภท],E47,Table16[ฝ่าย],A50,Table16[สัปดาห์แจ้งซ่อม],"3")=0,"-",COUNTIFS(Table16[ประเภท],E47,Table16[ฝ่าย],A50,Table16[สัปดาห์แจ้งซ่อม],"3"))</f>
        <v>-</v>
      </c>
      <c r="F50" s="173" t="str">
        <f>IF(COUNTIFS(Table16[ประเภท],F47,Table16[ฝ่าย],A50,Table16[สัปดาห์แจ้งซ่อม],"3")=0,"-",COUNTIFS(Table16[ประเภท],F47,Table16[ฝ่าย],A50,Table16[สัปดาห์แจ้งซ่อม],"3"))</f>
        <v>-</v>
      </c>
      <c r="G50" s="173" t="str">
        <f>IF(COUNTIFS(Table16[ประเภท],G47,Table16[ฝ่าย],A50,Table16[สัปดาห์แจ้งซ่อม],"3")=0,"-",COUNTIFS(Table16[ประเภท],G47,Table16[ฝ่าย],A50,Table16[สัปดาห์แจ้งซ่อม],"3"))</f>
        <v>-</v>
      </c>
      <c r="H50" s="173" t="str">
        <f>IF(COUNTIFS(Table16[ประเภท],H47,Table16[ฝ่าย],A50,Table16[สัปดาห์แจ้งซ่อม],"3")=0,"-",COUNTIFS(Table16[ประเภท],H47,Table16[ฝ่าย],A50,Table16[สัปดาห์แจ้งซ่อม],"3"))</f>
        <v>-</v>
      </c>
      <c r="I50" s="173" t="str">
        <f>IF(COUNTIFS(Table16[ประเภท],I47,Table16[ฝ่าย],A50,Table16[สัปดาห์แจ้งซ่อม],"3")=0,"-",COUNTIFS(Table16[ประเภท],I47,Table16[ฝ่าย],A50,Table16[สัปดาห์แจ้งซ่อม],"3"))</f>
        <v>-</v>
      </c>
      <c r="J50" s="173" t="str">
        <f>IF(COUNTIFS(Table16[ประเภท],J47,Table16[ฝ่าย],A50,Table16[สัปดาห์แจ้งซ่อม],"3")=0,"-",COUNTIFS(Table16[ประเภท],J47,Table16[ฝ่าย],A50,Table16[สัปดาห์แจ้งซ่อม],"3"))</f>
        <v>-</v>
      </c>
      <c r="K50" s="173" t="str">
        <f>IF(COUNTIFS(Table16[ประเภท],K47,Table16[ฝ่าย],A50,Table16[สัปดาห์แจ้งซ่อม],"3")=0,"-",COUNTIFS(Table16[ประเภท],K47,Table16[ฝ่าย],A50,Table16[สัปดาห์แจ้งซ่อม],"3"))</f>
        <v>-</v>
      </c>
      <c r="L50" s="173" t="str">
        <f>IF(COUNTIFS(Table16[ประเภท],L47,Table16[ฝ่าย],A50,Table16[สัปดาห์แจ้งซ่อม],"3")=0,"-",COUNTIFS(Table16[ประเภท],L47,Table16[ฝ่าย],A50,Table16[สัปดาห์แจ้งซ่อม],"3"))</f>
        <v>-</v>
      </c>
      <c r="M50" s="173" t="str">
        <f>IF(COUNTIFS(Table16[ประเภท],M47,Table16[ฝ่าย],A50,Table16[สัปดาห์แจ้งซ่อม],"3")=0,"-",COUNTIFS(Table16[ประเภท],M47,Table16[ฝ่าย],A50,Table16[สัปดาห์แจ้งซ่อม],"3"))</f>
        <v>-</v>
      </c>
      <c r="N50" s="173" t="str">
        <f>IF(COUNTIFS(Table16[ประเภท],N47,Table16[ฝ่าย],A50,Table16[สัปดาห์แจ้งซ่อม],"3")=0,"-",COUNTIFS(Table16[ประเภท],N47,Table16[ฝ่าย],A50,Table16[สัปดาห์แจ้งซ่อม],"3"))</f>
        <v>-</v>
      </c>
    </row>
    <row r="51" spans="1:14">
      <c r="A51" s="176" t="s">
        <v>72</v>
      </c>
      <c r="B51" s="194">
        <f>COUNTIFS(Table16[ฝ่าย],A51,Table16[สัปดาห์แจ้งซ่อม],3)</f>
        <v>0</v>
      </c>
      <c r="C51" s="193">
        <f>B51/B62</f>
        <v>0</v>
      </c>
      <c r="D51" s="173" t="str">
        <f>IF(COUNTIFS(Table16[ประเภท],D47,Table16[ฝ่าย],A51,Table16[สัปดาห์แจ้งซ่อม],"3")=0,"-",COUNTIFS(Table16[ประเภท],D47,Table16[ฝ่าย],A51,Table16[สัปดาห์แจ้งซ่อม],"3"))</f>
        <v>-</v>
      </c>
      <c r="E51" s="173" t="str">
        <f>IF(COUNTIFS(Table16[ประเภท],E47,Table16[ฝ่าย],A51,Table16[สัปดาห์แจ้งซ่อม],"3")=0,"-",COUNTIFS(Table16[ประเภท],E47,Table16[ฝ่าย],A51,Table16[สัปดาห์แจ้งซ่อม],"3"))</f>
        <v>-</v>
      </c>
      <c r="F51" s="173" t="str">
        <f>IF(COUNTIFS(Table16[ประเภท],F47,Table16[ฝ่าย],A51,Table16[สัปดาห์แจ้งซ่อม],"3")=0,"-",COUNTIFS(Table16[ประเภท],F47,Table16[ฝ่าย],A51,Table16[สัปดาห์แจ้งซ่อม],"3"))</f>
        <v>-</v>
      </c>
      <c r="G51" s="173" t="str">
        <f>IF(COUNTIFS(Table16[ประเภท],G47,Table16[ฝ่าย],A51,Table16[สัปดาห์แจ้งซ่อม],"3")=0,"-",COUNTIFS(Table16[ประเภท],G47,Table16[ฝ่าย],A51,Table16[สัปดาห์แจ้งซ่อม],"3"))</f>
        <v>-</v>
      </c>
      <c r="H51" s="173" t="str">
        <f>IF(COUNTIFS(Table16[ประเภท],H47,Table16[ฝ่าย],A51,Table16[สัปดาห์แจ้งซ่อม],"3")=0,"-",COUNTIFS(Table16[ประเภท],H47,Table16[ฝ่าย],A51,Table16[สัปดาห์แจ้งซ่อม],"3"))</f>
        <v>-</v>
      </c>
      <c r="I51" s="173" t="str">
        <f>IF(COUNTIFS(Table16[ประเภท],I47,Table16[ฝ่าย],A51,Table16[สัปดาห์แจ้งซ่อม],"3")=0,"-",COUNTIFS(Table16[ประเภท],I47,Table16[ฝ่าย],A51,Table16[สัปดาห์แจ้งซ่อม],"3"))</f>
        <v>-</v>
      </c>
      <c r="J51" s="173" t="str">
        <f>IF(COUNTIFS(Table16[ประเภท],J47,Table16[ฝ่าย],A51,Table16[สัปดาห์แจ้งซ่อม],"3")=0,"-",COUNTIFS(Table16[ประเภท],J47,Table16[ฝ่าย],A51,Table16[สัปดาห์แจ้งซ่อม],"3"))</f>
        <v>-</v>
      </c>
      <c r="K51" s="173" t="str">
        <f>IF(COUNTIFS(Table16[ประเภท],K47,Table16[ฝ่าย],A51,Table16[สัปดาห์แจ้งซ่อม],"3")=0,"-",COUNTIFS(Table16[ประเภท],K47,Table16[ฝ่าย],A51,Table16[สัปดาห์แจ้งซ่อม],"3"))</f>
        <v>-</v>
      </c>
      <c r="L51" s="173" t="str">
        <f>IF(COUNTIFS(Table16[ประเภท],L47,Table16[ฝ่าย],A51,Table16[สัปดาห์แจ้งซ่อม],"3")=0,"-",COUNTIFS(Table16[ประเภท],L47,Table16[ฝ่าย],A51,Table16[สัปดาห์แจ้งซ่อม],"3"))</f>
        <v>-</v>
      </c>
      <c r="M51" s="173" t="str">
        <f>IF(COUNTIFS(Table16[ประเภท],M47,Table16[ฝ่าย],A51,Table16[สัปดาห์แจ้งซ่อม],"3")=0,"-",COUNTIFS(Table16[ประเภท],M47,Table16[ฝ่าย],A51,Table16[สัปดาห์แจ้งซ่อม],"3"))</f>
        <v>-</v>
      </c>
      <c r="N51" s="173" t="str">
        <f>IF(COUNTIFS(Table16[ประเภท],N47,Table16[ฝ่าย],A51,Table16[สัปดาห์แจ้งซ่อม],"3")=0,"-",COUNTIFS(Table16[ประเภท],N47,Table16[ฝ่าย],A51,Table16[สัปดาห์แจ้งซ่อม],"3"))</f>
        <v>-</v>
      </c>
    </row>
    <row r="52" spans="1:14">
      <c r="A52" s="176" t="s">
        <v>73</v>
      </c>
      <c r="B52" s="194">
        <f>COUNTIFS(Table16[ฝ่าย],A52,Table16[สัปดาห์แจ้งซ่อม],3)</f>
        <v>0</v>
      </c>
      <c r="C52" s="178">
        <f>B52/B62</f>
        <v>0</v>
      </c>
      <c r="D52" s="173" t="str">
        <f>IF(COUNTIFS(Table16[ประเภท],D47,Table16[ฝ่าย],A52,Table16[สัปดาห์แจ้งซ่อม],"3")=0,"-",COUNTIFS(Table16[ประเภท],D47,Table16[ฝ่าย],A52,Table16[สัปดาห์แจ้งซ่อม],"3"))</f>
        <v>-</v>
      </c>
      <c r="E52" s="173" t="str">
        <f>IF(COUNTIFS(Table16[ประเภท],E47,Table16[ฝ่าย],A52,Table16[สัปดาห์แจ้งซ่อม],"3")=0,"-",COUNTIFS(Table16[ประเภท],E47,Table16[ฝ่าย],A52,Table16[สัปดาห์แจ้งซ่อม],"3"))</f>
        <v>-</v>
      </c>
      <c r="F52" s="173" t="str">
        <f>IF(COUNTIFS(Table16[ประเภท],F47,Table16[ฝ่าย],A52,Table16[สัปดาห์แจ้งซ่อม],"3")=0,"-",COUNTIFS(Table16[ประเภท],F47,Table16[ฝ่าย],A52,Table16[สัปดาห์แจ้งซ่อม],"3"))</f>
        <v>-</v>
      </c>
      <c r="G52" s="173" t="str">
        <f>IF(COUNTIFS(Table16[ประเภท],G47,Table16[ฝ่าย],A52,Table16[สัปดาห์แจ้งซ่อม],"3")=0,"-",COUNTIFS(Table16[ประเภท],G47,Table16[ฝ่าย],A52,Table16[สัปดาห์แจ้งซ่อม],"3"))</f>
        <v>-</v>
      </c>
      <c r="H52" s="173" t="str">
        <f>IF(COUNTIFS(Table16[ประเภท],H47,Table16[ฝ่าย],A52,Table16[สัปดาห์แจ้งซ่อม],"3")=0,"-",COUNTIFS(Table16[ประเภท],H47,Table16[ฝ่าย],A52,Table16[สัปดาห์แจ้งซ่อม],"3"))</f>
        <v>-</v>
      </c>
      <c r="I52" s="173" t="str">
        <f>IF(COUNTIFS(Table16[ประเภท],I47,Table16[ฝ่าย],A52,Table16[สัปดาห์แจ้งซ่อม],"3")=0,"-",COUNTIFS(Table16[ประเภท],I47,Table16[ฝ่าย],A52,Table16[สัปดาห์แจ้งซ่อม],"3"))</f>
        <v>-</v>
      </c>
      <c r="J52" s="173" t="str">
        <f>IF(COUNTIFS(Table16[ประเภท],J47,Table16[ฝ่าย],A52,Table16[สัปดาห์แจ้งซ่อม],"3")=0,"-",COUNTIFS(Table16[ประเภท],J47,Table16[ฝ่าย],A52,Table16[สัปดาห์แจ้งซ่อม],"3"))</f>
        <v>-</v>
      </c>
      <c r="K52" s="173" t="str">
        <f>IF(COUNTIFS(Table16[ประเภท],K47,Table16[ฝ่าย],A52,Table16[สัปดาห์แจ้งซ่อม],"3")=0,"-",COUNTIFS(Table16[ประเภท],K47,Table16[ฝ่าย],A52,Table16[สัปดาห์แจ้งซ่อม],"3"))</f>
        <v>-</v>
      </c>
      <c r="L52" s="173" t="str">
        <f>IF(COUNTIFS(Table16[ประเภท],L47,Table16[ฝ่าย],A52,Table16[สัปดาห์แจ้งซ่อม],"3")=0,"-",COUNTIFS(Table16[ประเภท],L47,Table16[ฝ่าย],A52,Table16[สัปดาห์แจ้งซ่อม],"3"))</f>
        <v>-</v>
      </c>
      <c r="M52" s="173" t="str">
        <f>IF(COUNTIFS(Table16[ประเภท],M47,Table16[ฝ่าย],A52,Table16[สัปดาห์แจ้งซ่อม],"3")=0,"-",COUNTIFS(Table16[ประเภท],M47,Table16[ฝ่าย],A52,Table16[สัปดาห์แจ้งซ่อม],"3"))</f>
        <v>-</v>
      </c>
      <c r="N52" s="173" t="str">
        <f>IF(COUNTIFS(Table16[ประเภท],N47,Table16[ฝ่าย],A52,Table16[สัปดาห์แจ้งซ่อม],"3")=0,"-",COUNTIFS(Table16[ประเภท],N47,Table16[ฝ่าย],A52,Table16[สัปดาห์แจ้งซ่อม],"3"))</f>
        <v>-</v>
      </c>
    </row>
    <row r="53" spans="1:14">
      <c r="A53" s="176" t="s">
        <v>74</v>
      </c>
      <c r="B53" s="194">
        <f>COUNTIFS(Table16[ฝ่าย],A53,Table16[สัปดาห์แจ้งซ่อม],3)</f>
        <v>1</v>
      </c>
      <c r="C53" s="178">
        <f>B53/B62</f>
        <v>2.3255813953488372E-2</v>
      </c>
      <c r="D53" s="173" t="str">
        <f>IF(COUNTIFS(Table16[ประเภท],D47,Table16[ฝ่าย],A53,Table16[สัปดาห์แจ้งซ่อม],"3")=0,"-",COUNTIFS(Table16[ประเภท],D47,Table16[ฝ่าย],A53,Table16[สัปดาห์แจ้งซ่อม],"3"))</f>
        <v>-</v>
      </c>
      <c r="E53" s="173" t="str">
        <f>IF(COUNTIFS(Table16[ประเภท],E47,Table16[ฝ่าย],A53,Table16[สัปดาห์แจ้งซ่อม],"3")=0,"-",COUNTIFS(Table16[ประเภท],E47,Table16[ฝ่าย],A53,Table16[สัปดาห์แจ้งซ่อม],"3"))</f>
        <v>-</v>
      </c>
      <c r="F53" s="173" t="str">
        <f>IF(COUNTIFS(Table16[ประเภท],F47,Table16[ฝ่าย],A53,Table16[สัปดาห์แจ้งซ่อม],"3")=0,"-",COUNTIFS(Table16[ประเภท],F47,Table16[ฝ่าย],A53,Table16[สัปดาห์แจ้งซ่อม],"3"))</f>
        <v>-</v>
      </c>
      <c r="G53" s="173" t="str">
        <f>IF(COUNTIFS(Table16[ประเภท],G47,Table16[ฝ่าย],A53,Table16[สัปดาห์แจ้งซ่อม],"3")=0,"-",COUNTIFS(Table16[ประเภท],G47,Table16[ฝ่าย],A53,Table16[สัปดาห์แจ้งซ่อม],"3"))</f>
        <v>-</v>
      </c>
      <c r="H53" s="173" t="str">
        <f>IF(COUNTIFS(Table16[ประเภท],H47,Table16[ฝ่าย],A53,Table16[สัปดาห์แจ้งซ่อม],"3")=0,"-",COUNTIFS(Table16[ประเภท],H47,Table16[ฝ่าย],A53,Table16[สัปดาห์แจ้งซ่อม],"3"))</f>
        <v>-</v>
      </c>
      <c r="I53" s="173" t="str">
        <f>IF(COUNTIFS(Table16[ประเภท],I47,Table16[ฝ่าย],A53,Table16[สัปดาห์แจ้งซ่อม],"3")=0,"-",COUNTIFS(Table16[ประเภท],I47,Table16[ฝ่าย],A53,Table16[สัปดาห์แจ้งซ่อม],"3"))</f>
        <v>-</v>
      </c>
      <c r="J53" s="173">
        <f>IF(COUNTIFS(Table16[ประเภท],J47,Table16[ฝ่าย],A53,Table16[สัปดาห์แจ้งซ่อม],"3")=0,"-",COUNTIFS(Table16[ประเภท],J47,Table16[ฝ่าย],A53,Table16[สัปดาห์แจ้งซ่อม],"3"))</f>
        <v>1</v>
      </c>
      <c r="K53" s="173" t="str">
        <f>IF(COUNTIFS(Table16[ประเภท],K47,Table16[ฝ่าย],A53,Table16[สัปดาห์แจ้งซ่อม],"3")=0,"-",COUNTIFS(Table16[ประเภท],K47,Table16[ฝ่าย],A53,Table16[สัปดาห์แจ้งซ่อม],"3"))</f>
        <v>-</v>
      </c>
      <c r="L53" s="173" t="str">
        <f>IF(COUNTIFS(Table16[ประเภท],L47,Table16[ฝ่าย],A53,Table16[สัปดาห์แจ้งซ่อม],"3")=0,"-",COUNTIFS(Table16[ประเภท],L47,Table16[ฝ่าย],A53,Table16[สัปดาห์แจ้งซ่อม],"3"))</f>
        <v>-</v>
      </c>
      <c r="M53" s="173" t="str">
        <f>IF(COUNTIFS(Table16[ประเภท],M47,Table16[ฝ่าย],A53,Table16[สัปดาห์แจ้งซ่อม],"3")=0,"-",COUNTIFS(Table16[ประเภท],M47,Table16[ฝ่าย],A53,Table16[สัปดาห์แจ้งซ่อม],"3"))</f>
        <v>-</v>
      </c>
      <c r="N53" s="173" t="str">
        <f>IF(COUNTIFS(Table16[ประเภท],N47,Table16[ฝ่าย],A53,Table16[สัปดาห์แจ้งซ่อม],"3")=0,"-",COUNTIFS(Table16[ประเภท],N47,Table16[ฝ่าย],A53,Table16[สัปดาห์แจ้งซ่อม],"3"))</f>
        <v>-</v>
      </c>
    </row>
    <row r="54" spans="1:14">
      <c r="A54" s="176" t="s">
        <v>75</v>
      </c>
      <c r="B54" s="194">
        <f>COUNTIFS(Table16[ฝ่าย],A54,Table16[สัปดาห์แจ้งซ่อม],3)</f>
        <v>0</v>
      </c>
      <c r="C54" s="178">
        <f>B54/B62</f>
        <v>0</v>
      </c>
      <c r="D54" s="173" t="str">
        <f>IF(COUNTIFS(Table16[ประเภท],D47,Table16[ฝ่าย],A54,Table16[สัปดาห์แจ้งซ่อม],"3")=0,"-",COUNTIFS(Table16[ประเภท],D47,Table16[ฝ่าย],A54,Table16[สัปดาห์แจ้งซ่อม],"3"))</f>
        <v>-</v>
      </c>
      <c r="E54" s="173" t="str">
        <f>IF(COUNTIFS(Table16[ประเภท],E47,Table16[ฝ่าย],A54,Table16[สัปดาห์แจ้งซ่อม],"3")=0,"-",COUNTIFS(Table16[ประเภท],E47,Table16[ฝ่าย],A54,Table16[สัปดาห์แจ้งซ่อม],"3"))</f>
        <v>-</v>
      </c>
      <c r="F54" s="173" t="str">
        <f>IF(COUNTIFS(Table16[ประเภท],F47,Table16[ฝ่าย],A54,Table16[สัปดาห์แจ้งซ่อม],"3")=0,"-",COUNTIFS(Table16[ประเภท],F47,Table16[ฝ่าย],A54,Table16[สัปดาห์แจ้งซ่อม],"3"))</f>
        <v>-</v>
      </c>
      <c r="G54" s="173" t="str">
        <f>IF(COUNTIFS(Table16[ประเภท],G47,Table16[ฝ่าย],A54,Table16[สัปดาห์แจ้งซ่อม],"3")=0,"-",COUNTIFS(Table16[ประเภท],G47,Table16[ฝ่าย],A54,Table16[สัปดาห์แจ้งซ่อม],"3"))</f>
        <v>-</v>
      </c>
      <c r="H54" s="173" t="str">
        <f>IF(COUNTIFS(Table16[ประเภท],H47,Table16[ฝ่าย],A54,Table16[สัปดาห์แจ้งซ่อม],"3")=0,"-",COUNTIFS(Table16[ประเภท],H47,Table16[ฝ่าย],A54,Table16[สัปดาห์แจ้งซ่อม],"3"))</f>
        <v>-</v>
      </c>
      <c r="I54" s="173" t="str">
        <f>IF(COUNTIFS(Table16[ประเภท],I47,Table16[ฝ่าย],A54,Table16[สัปดาห์แจ้งซ่อม],"3")=0,"-",COUNTIFS(Table16[ประเภท],I47,Table16[ฝ่าย],A54,Table16[สัปดาห์แจ้งซ่อม],"3"))</f>
        <v>-</v>
      </c>
      <c r="J54" s="173" t="str">
        <f>IF(COUNTIFS(Table16[ประเภท],J47,Table16[ฝ่าย],A54,Table16[สัปดาห์แจ้งซ่อม],"3")=0,"-",COUNTIFS(Table16[ประเภท],J47,Table16[ฝ่าย],A54,Table16[สัปดาห์แจ้งซ่อม],"3"))</f>
        <v>-</v>
      </c>
      <c r="K54" s="173" t="str">
        <f>IF(COUNTIFS(Table16[ประเภท],K47,Table16[ฝ่าย],A54,Table16[สัปดาห์แจ้งซ่อม],"3")=0,"-",COUNTIFS(Table16[ประเภท],K47,Table16[ฝ่าย],A54,Table16[สัปดาห์แจ้งซ่อม],"3"))</f>
        <v>-</v>
      </c>
      <c r="L54" s="173" t="str">
        <f>IF(COUNTIFS(Table16[ประเภท],L47,Table16[ฝ่าย],A54,Table16[สัปดาห์แจ้งซ่อม],"3")=0,"-",COUNTIFS(Table16[ประเภท],L47,Table16[ฝ่าย],A54,Table16[สัปดาห์แจ้งซ่อม],"3"))</f>
        <v>-</v>
      </c>
      <c r="M54" s="173" t="str">
        <f>IF(COUNTIFS(Table16[ประเภท],M47,Table16[ฝ่าย],A54,Table16[สัปดาห์แจ้งซ่อม],"3")=0,"-",COUNTIFS(Table16[ประเภท],M47,Table16[ฝ่าย],A54,Table16[สัปดาห์แจ้งซ่อม],"3"))</f>
        <v>-</v>
      </c>
      <c r="N54" s="173" t="str">
        <f>IF(COUNTIFS(Table16[ประเภท],N47,Table16[ฝ่าย],A54,Table16[สัปดาห์แจ้งซ่อม],"3")=0,"-",COUNTIFS(Table16[ประเภท],N47,Table16[ฝ่าย],A54,Table16[สัปดาห์แจ้งซ่อม],"3"))</f>
        <v>-</v>
      </c>
    </row>
    <row r="55" spans="1:14">
      <c r="A55" s="176" t="s">
        <v>76</v>
      </c>
      <c r="B55" s="194">
        <f>COUNTIFS(Table16[ฝ่าย],A55,Table16[สัปดาห์แจ้งซ่อม],3)</f>
        <v>0</v>
      </c>
      <c r="C55" s="178">
        <f>B55/B62</f>
        <v>0</v>
      </c>
      <c r="D55" s="173" t="str">
        <f>IF(COUNTIFS(Table16[ประเภท],D47,Table16[ฝ่าย],A55,Table16[สัปดาห์แจ้งซ่อม],"3")=0,"-",COUNTIFS(Table16[ประเภท],D47,Table16[ฝ่าย],A55,Table16[สัปดาห์แจ้งซ่อม],"3"))</f>
        <v>-</v>
      </c>
      <c r="E55" s="173" t="str">
        <f>IF(COUNTIFS(Table16[ประเภท],E47,Table16[ฝ่าย],A55,Table16[สัปดาห์แจ้งซ่อม],"3")=0,"-",COUNTIFS(Table16[ประเภท],E47,Table16[ฝ่าย],A55,Table16[สัปดาห์แจ้งซ่อม],"3"))</f>
        <v>-</v>
      </c>
      <c r="F55" s="173" t="str">
        <f>IF(COUNTIFS(Table16[ประเภท],F47,Table16[ฝ่าย],A55,Table16[สัปดาห์แจ้งซ่อม],"3")=0,"-",COUNTIFS(Table16[ประเภท],F47,Table16[ฝ่าย],A55,Table16[สัปดาห์แจ้งซ่อม],"3"))</f>
        <v>-</v>
      </c>
      <c r="G55" s="173" t="str">
        <f>IF(COUNTIFS(Table16[ประเภท],G47,Table16[ฝ่าย],A55,Table16[สัปดาห์แจ้งซ่อม],"3")=0,"-",COUNTIFS(Table16[ประเภท],G47,Table16[ฝ่าย],A55,Table16[สัปดาห์แจ้งซ่อม],"3"))</f>
        <v>-</v>
      </c>
      <c r="H55" s="173" t="str">
        <f>IF(COUNTIFS(Table16[ประเภท],H47,Table16[ฝ่าย],A55,Table16[สัปดาห์แจ้งซ่อม],"3")=0,"-",COUNTIFS(Table16[ประเภท],H47,Table16[ฝ่าย],A55,Table16[สัปดาห์แจ้งซ่อม],"3"))</f>
        <v>-</v>
      </c>
      <c r="I55" s="173" t="str">
        <f>IF(COUNTIFS(Table16[ประเภท],I47,Table16[ฝ่าย],A55,Table16[สัปดาห์แจ้งซ่อม],"3")=0,"-",COUNTIFS(Table16[ประเภท],I47,Table16[ฝ่าย],A55,Table16[สัปดาห์แจ้งซ่อม],"3"))</f>
        <v>-</v>
      </c>
      <c r="J55" s="173" t="str">
        <f>IF(COUNTIFS(Table16[ประเภท],J47,Table16[ฝ่าย],A55,Table16[สัปดาห์แจ้งซ่อม],"3")=0,"-",COUNTIFS(Table16[ประเภท],J47,Table16[ฝ่าย],A55,Table16[สัปดาห์แจ้งซ่อม],"3"))</f>
        <v>-</v>
      </c>
      <c r="K55" s="173" t="str">
        <f>IF(COUNTIFS(Table16[ประเภท],K47,Table16[ฝ่าย],A55,Table16[สัปดาห์แจ้งซ่อม],"3")=0,"-",COUNTIFS(Table16[ประเภท],K47,Table16[ฝ่าย],A55,Table16[สัปดาห์แจ้งซ่อม],"3"))</f>
        <v>-</v>
      </c>
      <c r="L55" s="173" t="str">
        <f>IF(COUNTIFS(Table16[ประเภท],L47,Table16[ฝ่าย],A55,Table16[สัปดาห์แจ้งซ่อม],"3")=0,"-",COUNTIFS(Table16[ประเภท],L47,Table16[ฝ่าย],A55,Table16[สัปดาห์แจ้งซ่อม],"3"))</f>
        <v>-</v>
      </c>
      <c r="M55" s="173" t="str">
        <f>IF(COUNTIFS(Table16[ประเภท],M47,Table16[ฝ่าย],A55,Table16[สัปดาห์แจ้งซ่อม],"3")=0,"-",COUNTIFS(Table16[ประเภท],M47,Table16[ฝ่าย],A55,Table16[สัปดาห์แจ้งซ่อม],"3"))</f>
        <v>-</v>
      </c>
      <c r="N55" s="173" t="str">
        <f>IF(COUNTIFS(Table16[ประเภท],N47,Table16[ฝ่าย],A55,Table16[สัปดาห์แจ้งซ่อม],"3")=0,"-",COUNTIFS(Table16[ประเภท],N47,Table16[ฝ่าย],A55,Table16[สัปดาห์แจ้งซ่อม],"3"))</f>
        <v>-</v>
      </c>
    </row>
    <row r="56" spans="1:14">
      <c r="A56" s="176" t="s">
        <v>77</v>
      </c>
      <c r="B56" s="194">
        <f>COUNTIFS(Table16[ฝ่าย],A56,Table16[สัปดาห์แจ้งซ่อม],3)</f>
        <v>0</v>
      </c>
      <c r="C56" s="178">
        <f>B56/B62</f>
        <v>0</v>
      </c>
      <c r="D56" s="173" t="str">
        <f>IF(COUNTIFS(Table16[ประเภท],D47,Table16[ฝ่าย],A56,Table16[สัปดาห์แจ้งซ่อม],"3")=0,"-",COUNTIFS(Table16[ประเภท],D47,Table16[ฝ่าย],A56,Table16[สัปดาห์แจ้งซ่อม],"3"))</f>
        <v>-</v>
      </c>
      <c r="E56" s="173" t="str">
        <f>IF(COUNTIFS(Table16[ประเภท],E47,Table16[ฝ่าย],A56,Table16[สัปดาห์แจ้งซ่อม],"3")=0,"-",COUNTIFS(Table16[ประเภท],E47,Table16[ฝ่าย],A56,Table16[สัปดาห์แจ้งซ่อม],"3"))</f>
        <v>-</v>
      </c>
      <c r="F56" s="173" t="str">
        <f>IF(COUNTIFS(Table16[ประเภท],F47,Table16[ฝ่าย],A56,Table16[สัปดาห์แจ้งซ่อม],"3")=0,"-",COUNTIFS(Table16[ประเภท],F47,Table16[ฝ่าย],A56,Table16[สัปดาห์แจ้งซ่อม],"3"))</f>
        <v>-</v>
      </c>
      <c r="G56" s="173" t="str">
        <f>IF(COUNTIFS(Table16[ประเภท],G47,Table16[ฝ่าย],A56,Table16[สัปดาห์แจ้งซ่อม],"3")=0,"-",COUNTIFS(Table16[ประเภท],G47,Table16[ฝ่าย],A56,Table16[สัปดาห์แจ้งซ่อม],"3"))</f>
        <v>-</v>
      </c>
      <c r="H56" s="173" t="str">
        <f>IF(COUNTIFS(Table16[ประเภท],H47,Table16[ฝ่าย],A56,Table16[สัปดาห์แจ้งซ่อม],"3")=0,"-",COUNTIFS(Table16[ประเภท],H47,Table16[ฝ่าย],A56,Table16[สัปดาห์แจ้งซ่อม],"3"))</f>
        <v>-</v>
      </c>
      <c r="I56" s="173" t="str">
        <f>IF(COUNTIFS(Table16[ประเภท],I47,Table16[ฝ่าย],A56,Table16[สัปดาห์แจ้งซ่อม],"3")=0,"-",COUNTIFS(Table16[ประเภท],I47,Table16[ฝ่าย],A56,Table16[สัปดาห์แจ้งซ่อม],"3"))</f>
        <v>-</v>
      </c>
      <c r="J56" s="173" t="str">
        <f>IF(COUNTIFS(Table16[ประเภท],J47,Table16[ฝ่าย],A56,Table16[สัปดาห์แจ้งซ่อม],"3")=0,"-",COUNTIFS(Table16[ประเภท],J47,Table16[ฝ่าย],A56,Table16[สัปดาห์แจ้งซ่อม],"3"))</f>
        <v>-</v>
      </c>
      <c r="K56" s="173" t="str">
        <f>IF(COUNTIFS(Table16[ประเภท],K47,Table16[ฝ่าย],A56,Table16[สัปดาห์แจ้งซ่อม],"3")=0,"-",COUNTIFS(Table16[ประเภท],K47,Table16[ฝ่าย],A56,Table16[สัปดาห์แจ้งซ่อม],"3"))</f>
        <v>-</v>
      </c>
      <c r="L56" s="173" t="str">
        <f>IF(COUNTIFS(Table16[ประเภท],L47,Table16[ฝ่าย],A56,Table16[สัปดาห์แจ้งซ่อม],"3")=0,"-",COUNTIFS(Table16[ประเภท],L47,Table16[ฝ่าย],A56,Table16[สัปดาห์แจ้งซ่อม],"3"))</f>
        <v>-</v>
      </c>
      <c r="M56" s="173" t="str">
        <f>IF(COUNTIFS(Table16[ประเภท],M47,Table16[ฝ่าย],A56,Table16[สัปดาห์แจ้งซ่อม],"3")=0,"-",COUNTIFS(Table16[ประเภท],M47,Table16[ฝ่าย],A56,Table16[สัปดาห์แจ้งซ่อม],"3"))</f>
        <v>-</v>
      </c>
      <c r="N56" s="173" t="str">
        <f>IF(COUNTIFS(Table16[ประเภท],N47,Table16[ฝ่าย],A56,Table16[สัปดาห์แจ้งซ่อม],"3")=0,"-",COUNTIFS(Table16[ประเภท],N47,Table16[ฝ่าย],A56,Table16[สัปดาห์แจ้งซ่อม],"3"))</f>
        <v>-</v>
      </c>
    </row>
    <row r="57" spans="1:14">
      <c r="A57" s="176" t="s">
        <v>78</v>
      </c>
      <c r="B57" s="194">
        <f>COUNTIFS(Table16[ฝ่าย],A57,Table16[สัปดาห์แจ้งซ่อม],3)</f>
        <v>0</v>
      </c>
      <c r="C57" s="179">
        <f>B57/B62</f>
        <v>0</v>
      </c>
      <c r="D57" s="173" t="str">
        <f>IF(COUNTIFS(Table16[ประเภท],D47,Table16[ฝ่าย],A57,Table16[สัปดาห์แจ้งซ่อม],"3")=0,"-",COUNTIFS(Table16[ประเภท],D47,Table16[ฝ่าย],A57,Table16[สัปดาห์แจ้งซ่อม],"3"))</f>
        <v>-</v>
      </c>
      <c r="E57" s="173" t="str">
        <f>IF(COUNTIFS(Table16[ประเภท],E47,Table16[ฝ่าย],A57,Table16[สัปดาห์แจ้งซ่อม],"3")=0,"-",COUNTIFS(Table16[ประเภท],E47,Table16[ฝ่าย],A57,Table16[สัปดาห์แจ้งซ่อม],"3"))</f>
        <v>-</v>
      </c>
      <c r="F57" s="173" t="str">
        <f>IF(COUNTIFS(Table16[ประเภท],F47,Table16[ฝ่าย],A57,Table16[สัปดาห์แจ้งซ่อม],"3")=0,"-",COUNTIFS(Table16[ประเภท],F47,Table16[ฝ่าย],A57,Table16[สัปดาห์แจ้งซ่อม],"3"))</f>
        <v>-</v>
      </c>
      <c r="G57" s="173" t="str">
        <f>IF(COUNTIFS(Table16[ประเภท],G47,Table16[ฝ่าย],A57,Table16[สัปดาห์แจ้งซ่อม],"3")=0,"-",COUNTIFS(Table16[ประเภท],G47,Table16[ฝ่าย],A57,Table16[สัปดาห์แจ้งซ่อม],"3"))</f>
        <v>-</v>
      </c>
      <c r="H57" s="173" t="str">
        <f>IF(COUNTIFS(Table16[ประเภท],H47,Table16[ฝ่าย],A57,Table16[สัปดาห์แจ้งซ่อม],"3")=0,"-",COUNTIFS(Table16[ประเภท],H47,Table16[ฝ่าย],A57,Table16[สัปดาห์แจ้งซ่อม],"3"))</f>
        <v>-</v>
      </c>
      <c r="I57" s="173" t="str">
        <f>IF(COUNTIFS(Table16[ประเภท],I47,Table16[ฝ่าย],A57,Table16[สัปดาห์แจ้งซ่อม],"3")=0,"-",COUNTIFS(Table16[ประเภท],I47,Table16[ฝ่าย],A57,Table16[สัปดาห์แจ้งซ่อม],"3"))</f>
        <v>-</v>
      </c>
      <c r="J57" s="173" t="str">
        <f>IF(COUNTIFS(Table16[ประเภท],J47,Table16[ฝ่าย],A57,Table16[สัปดาห์แจ้งซ่อม],"3")=0,"-",COUNTIFS(Table16[ประเภท],J47,Table16[ฝ่าย],A57,Table16[สัปดาห์แจ้งซ่อม],"3"))</f>
        <v>-</v>
      </c>
      <c r="K57" s="173" t="str">
        <f>IF(COUNTIFS(Table16[ประเภท],K47,Table16[ฝ่าย],A57,Table16[สัปดาห์แจ้งซ่อม],"3")=0,"-",COUNTIFS(Table16[ประเภท],K47,Table16[ฝ่าย],A57,Table16[สัปดาห์แจ้งซ่อม],"3"))</f>
        <v>-</v>
      </c>
      <c r="L57" s="173" t="str">
        <f>IF(COUNTIFS(Table16[ประเภท],L47,Table16[ฝ่าย],A57,Table16[สัปดาห์แจ้งซ่อม],"3")=0,"-",COUNTIFS(Table16[ประเภท],L47,Table16[ฝ่าย],A57,Table16[สัปดาห์แจ้งซ่อม],"3"))</f>
        <v>-</v>
      </c>
      <c r="M57" s="173" t="str">
        <f>IF(COUNTIFS(Table16[ประเภท],M47,Table16[ฝ่าย],A57,Table16[สัปดาห์แจ้งซ่อม],"3")=0,"-",COUNTIFS(Table16[ประเภท],M47,Table16[ฝ่าย],A57,Table16[สัปดาห์แจ้งซ่อม],"3"))</f>
        <v>-</v>
      </c>
      <c r="N57" s="173" t="str">
        <f>IF(COUNTIFS(Table16[ประเภท],N47,Table16[ฝ่าย],A57,Table16[สัปดาห์แจ้งซ่อม],"3")=0,"-",COUNTIFS(Table16[ประเภท],N47,Table16[ฝ่าย],A57,Table16[สัปดาห์แจ้งซ่อม],"3"))</f>
        <v>-</v>
      </c>
    </row>
    <row r="58" spans="1:14">
      <c r="A58" s="176" t="s">
        <v>79</v>
      </c>
      <c r="B58" s="194">
        <f>COUNTIFS(Table16[ฝ่าย],A58,Table16[สัปดาห์แจ้งซ่อม],3)</f>
        <v>0</v>
      </c>
      <c r="C58" s="179">
        <f>B58/B62</f>
        <v>0</v>
      </c>
      <c r="D58" s="173" t="str">
        <f>IF(COUNTIFS(Table16[ประเภท],D47,Table16[ฝ่าย],A58,Table16[สัปดาห์แจ้งซ่อม],"3")=0,"-",COUNTIFS(Table16[ประเภท],D47,Table16[ฝ่าย],A58,Table16[สัปดาห์แจ้งซ่อม],"3"))</f>
        <v>-</v>
      </c>
      <c r="E58" s="173" t="str">
        <f>IF(COUNTIFS(Table16[ประเภท],E47,Table16[ฝ่าย],A58,Table16[สัปดาห์แจ้งซ่อม],"3")=0,"-",COUNTIFS(Table16[ประเภท],E47,Table16[ฝ่าย],A58,Table16[สัปดาห์แจ้งซ่อม],"3"))</f>
        <v>-</v>
      </c>
      <c r="F58" s="173" t="str">
        <f>IF(COUNTIFS(Table16[ประเภท],F47,Table16[ฝ่าย],A58,Table16[สัปดาห์แจ้งซ่อม],"3")=0,"-",COUNTIFS(Table16[ประเภท],F47,Table16[ฝ่าย],A58,Table16[สัปดาห์แจ้งซ่อม],"3"))</f>
        <v>-</v>
      </c>
      <c r="G58" s="173" t="str">
        <f>IF(COUNTIFS(Table16[ประเภท],G47,Table16[ฝ่าย],A58,Table16[สัปดาห์แจ้งซ่อม],"3")=0,"-",COUNTIFS(Table16[ประเภท],G47,Table16[ฝ่าย],A58,Table16[สัปดาห์แจ้งซ่อม],"3"))</f>
        <v>-</v>
      </c>
      <c r="H58" s="173" t="str">
        <f>IF(COUNTIFS(Table16[ประเภท],H47,Table16[ฝ่าย],A58,Table16[สัปดาห์แจ้งซ่อม],"3")=0,"-",COUNTIFS(Table16[ประเภท],H47,Table16[ฝ่าย],A58,Table16[สัปดาห์แจ้งซ่อม],"3"))</f>
        <v>-</v>
      </c>
      <c r="I58" s="173" t="str">
        <f>IF(COUNTIFS(Table16[ประเภท],I47,Table16[ฝ่าย],A58,Table16[สัปดาห์แจ้งซ่อม],"3")=0,"-",COUNTIFS(Table16[ประเภท],I47,Table16[ฝ่าย],A58,Table16[สัปดาห์แจ้งซ่อม],"3"))</f>
        <v>-</v>
      </c>
      <c r="J58" s="173" t="str">
        <f>IF(COUNTIFS(Table16[ประเภท],J47,Table16[ฝ่าย],A58,Table16[สัปดาห์แจ้งซ่อม],"3")=0,"-",COUNTIFS(Table16[ประเภท],J47,Table16[ฝ่าย],A58,Table16[สัปดาห์แจ้งซ่อม],"3"))</f>
        <v>-</v>
      </c>
      <c r="K58" s="173" t="str">
        <f>IF(COUNTIFS(Table16[ประเภท],K47,Table16[ฝ่าย],A58,Table16[สัปดาห์แจ้งซ่อม],"3")=0,"-",COUNTIFS(Table16[ประเภท],K47,Table16[ฝ่าย],A58,Table16[สัปดาห์แจ้งซ่อม],"3"))</f>
        <v>-</v>
      </c>
      <c r="L58" s="173" t="str">
        <f>IF(COUNTIFS(Table16[ประเภท],L47,Table16[ฝ่าย],A58,Table16[สัปดาห์แจ้งซ่อม],"3")=0,"-",COUNTIFS(Table16[ประเภท],L47,Table16[ฝ่าย],A58,Table16[สัปดาห์แจ้งซ่อม],"3"))</f>
        <v>-</v>
      </c>
      <c r="M58" s="173" t="str">
        <f>IF(COUNTIFS(Table16[ประเภท],M47,Table16[ฝ่าย],A58,Table16[สัปดาห์แจ้งซ่อม],"3")=0,"-",COUNTIFS(Table16[ประเภท],M47,Table16[ฝ่าย],A58,Table16[สัปดาห์แจ้งซ่อม],"3"))</f>
        <v>-</v>
      </c>
      <c r="N58" s="173" t="str">
        <f>IF(COUNTIFS(Table16[ประเภท],N47,Table16[ฝ่าย],A58,Table16[สัปดาห์แจ้งซ่อม],"3")=0,"-",COUNTIFS(Table16[ประเภท],N47,Table16[ฝ่าย],A58,Table16[สัปดาห์แจ้งซ่อม],"3"))</f>
        <v>-</v>
      </c>
    </row>
    <row r="59" spans="1:14">
      <c r="A59" s="176" t="s">
        <v>80</v>
      </c>
      <c r="B59" s="194">
        <f>COUNTIFS(Table16[ฝ่าย],A59,Table16[สัปดาห์แจ้งซ่อม],3)</f>
        <v>0</v>
      </c>
      <c r="C59" s="179">
        <f>B59/B62</f>
        <v>0</v>
      </c>
      <c r="D59" s="173" t="str">
        <f>IF(COUNTIFS(Table16[ประเภท],D47,Table16[ฝ่าย],A59,Table16[สัปดาห์แจ้งซ่อม],"3")=0,"-",COUNTIFS(Table16[ประเภท],D47,Table16[ฝ่าย],A59,Table16[สัปดาห์แจ้งซ่อม],"3"))</f>
        <v>-</v>
      </c>
      <c r="E59" s="173" t="str">
        <f>IF(COUNTIFS(Table16[ประเภท],E47,Table16[ฝ่าย],A59,Table16[สัปดาห์แจ้งซ่อม],"3")=0,"-",COUNTIFS(Table16[ประเภท],E47,Table16[ฝ่าย],A59,Table16[สัปดาห์แจ้งซ่อม],"3"))</f>
        <v>-</v>
      </c>
      <c r="F59" s="173" t="str">
        <f>IF(COUNTIFS(Table16[ประเภท],F47,Table16[ฝ่าย],A59,Table16[สัปดาห์แจ้งซ่อม],"3")=0,"-",COUNTIFS(Table16[ประเภท],F47,Table16[ฝ่าย],A59,Table16[สัปดาห์แจ้งซ่อม],"3"))</f>
        <v>-</v>
      </c>
      <c r="G59" s="173" t="str">
        <f>IF(COUNTIFS(Table16[ประเภท],G47,Table16[ฝ่าย],A59,Table16[สัปดาห์แจ้งซ่อม],"3")=0,"-",COUNTIFS(Table16[ประเภท],G47,Table16[ฝ่าย],A59,Table16[สัปดาห์แจ้งซ่อม],"3"))</f>
        <v>-</v>
      </c>
      <c r="H59" s="173" t="str">
        <f>IF(COUNTIFS(Table16[ประเภท],H47,Table16[ฝ่าย],A59,Table16[สัปดาห์แจ้งซ่อม],"3")=0,"-",COUNTIFS(Table16[ประเภท],H47,Table16[ฝ่าย],A59,Table16[สัปดาห์แจ้งซ่อม],"3"))</f>
        <v>-</v>
      </c>
      <c r="I59" s="173" t="str">
        <f>IF(COUNTIFS(Table16[ประเภท],I47,Table16[ฝ่าย],A59,Table16[สัปดาห์แจ้งซ่อม],"3")=0,"-",COUNTIFS(Table16[ประเภท],I47,Table16[ฝ่าย],A59,Table16[สัปดาห์แจ้งซ่อม],"3"))</f>
        <v>-</v>
      </c>
      <c r="J59" s="173" t="str">
        <f>IF(COUNTIFS(Table16[ประเภท],J47,Table16[ฝ่าย],A59,Table16[สัปดาห์แจ้งซ่อม],"3")=0,"-",COUNTIFS(Table16[ประเภท],J47,Table16[ฝ่าย],A59,Table16[สัปดาห์แจ้งซ่อม],"3"))</f>
        <v>-</v>
      </c>
      <c r="K59" s="173" t="str">
        <f>IF(COUNTIFS(Table16[ประเภท],K47,Table16[ฝ่าย],A59,Table16[สัปดาห์แจ้งซ่อม],"3")=0,"-",COUNTIFS(Table16[ประเภท],K47,Table16[ฝ่าย],A59,Table16[สัปดาห์แจ้งซ่อม],"3"))</f>
        <v>-</v>
      </c>
      <c r="L59" s="173" t="str">
        <f>IF(COUNTIFS(Table16[ประเภท],L47,Table16[ฝ่าย],A59,Table16[สัปดาห์แจ้งซ่อม],"3")=0,"-",COUNTIFS(Table16[ประเภท],L47,Table16[ฝ่าย],A59,Table16[สัปดาห์แจ้งซ่อม],"3"))</f>
        <v>-</v>
      </c>
      <c r="M59" s="173" t="str">
        <f>IF(COUNTIFS(Table16[ประเภท],M47,Table16[ฝ่าย],A59,Table16[สัปดาห์แจ้งซ่อม],"3")=0,"-",COUNTIFS(Table16[ประเภท],M47,Table16[ฝ่าย],A59,Table16[สัปดาห์แจ้งซ่อม],"3"))</f>
        <v>-</v>
      </c>
      <c r="N59" s="173" t="str">
        <f>IF(COUNTIFS(Table16[ประเภท],N47,Table16[ฝ่าย],A59,Table16[สัปดาห์แจ้งซ่อม],"3")=0,"-",COUNTIFS(Table16[ประเภท],N47,Table16[ฝ่าย],A59,Table16[สัปดาห์แจ้งซ่อม],"3"))</f>
        <v>-</v>
      </c>
    </row>
    <row r="60" spans="1:14">
      <c r="A60" s="176" t="s">
        <v>81</v>
      </c>
      <c r="B60" s="194">
        <f>COUNTIFS(Table16[ฝ่าย],A60,Table16[สัปดาห์แจ้งซ่อม],3)</f>
        <v>0</v>
      </c>
      <c r="C60" s="179">
        <f>B60/B62</f>
        <v>0</v>
      </c>
      <c r="D60" s="173" t="str">
        <f>IF(COUNTIFS(Table16[ประเภท],D47,Table16[ฝ่าย],A60,Table16[สัปดาห์แจ้งซ่อม],"3")=0,"-",COUNTIFS(Table16[ประเภท],D47,Table16[ฝ่าย],A57,Table16[สัปดาห์แจ้งซ่อม],"3"))</f>
        <v>-</v>
      </c>
      <c r="E60" s="173" t="str">
        <f>IF(COUNTIFS(Table16[ประเภท],E47,Table16[ฝ่าย],A60,Table16[สัปดาห์แจ้งซ่อม],"3")=0,"-",COUNTIFS(Table16[ประเภท],E47,Table16[ฝ่าย],A57,Table16[สัปดาห์แจ้งซ่อม],"3"))</f>
        <v>-</v>
      </c>
      <c r="F60" s="173" t="str">
        <f>IF(COUNTIFS(Table16[ประเภท],F47,Table16[ฝ่าย],A60,Table16[สัปดาห์แจ้งซ่อม],"3")=0,"-",COUNTIFS(Table16[ประเภท],F47,Table16[ฝ่าย],A60,Table16[สัปดาห์แจ้งซ่อม],"3"))</f>
        <v>-</v>
      </c>
      <c r="G60" s="173" t="str">
        <f>IF(COUNTIFS(Table16[ประเภท],G47,Table16[ฝ่าย],A60,Table16[สัปดาห์แจ้งซ่อม],"3")=0,"-",COUNTIFS(Table16[ประเภท],G47,Table16[ฝ่าย],A60,Table16[สัปดาห์แจ้งซ่อม],"3"))</f>
        <v>-</v>
      </c>
      <c r="H60" s="173" t="str">
        <f>IF(COUNTIFS(Table16[ประเภท],H47,Table16[ฝ่าย],A60,Table16[สัปดาห์แจ้งซ่อม],"3")=0,"-",COUNTIFS(Table16[ประเภท],H47,Table16[ฝ่าย],A60,Table16[สัปดาห์แจ้งซ่อม],"3"))</f>
        <v>-</v>
      </c>
      <c r="I60" s="173" t="str">
        <f>IF(COUNTIFS(Table16[ประเภท],I47,Table16[ฝ่าย],A60,Table16[สัปดาห์แจ้งซ่อม],"3")=0,"-",COUNTIFS(Table16[ประเภท],I47,Table16[ฝ่าย],A60,Table16[สัปดาห์แจ้งซ่อม],"3"))</f>
        <v>-</v>
      </c>
      <c r="J60" s="173" t="str">
        <f>IF(COUNTIFS(Table16[ประเภท],J47,Table16[ฝ่าย],A60,Table16[สัปดาห์แจ้งซ่อม],"3")=0,"-",COUNTIFS(Table16[ประเภท],J47,Table16[ฝ่าย],A60,Table16[สัปดาห์แจ้งซ่อม],"3"))</f>
        <v>-</v>
      </c>
      <c r="K60" s="173" t="str">
        <f>IF(COUNTIFS(Table16[ประเภท],K47,Table16[ฝ่าย],A60,Table16[สัปดาห์แจ้งซ่อม],"3")=0,"-",COUNTIFS(Table16[ประเภท],K47,Table16[ฝ่าย],A60,Table16[สัปดาห์แจ้งซ่อม],"3"))</f>
        <v>-</v>
      </c>
      <c r="L60" s="173" t="str">
        <f>IF(COUNTIFS(Table16[ประเภท],L47,Table16[ฝ่าย],A60,Table16[สัปดาห์แจ้งซ่อม],"3")=0,"-",COUNTIFS(Table16[ประเภท],L47,Table16[ฝ่าย],A60,Table16[สัปดาห์แจ้งซ่อม],"3"))</f>
        <v>-</v>
      </c>
      <c r="M60" s="173" t="str">
        <f>IF(COUNTIFS(Table16[ประเภท],M47,Table16[ฝ่าย],A60,Table16[สัปดาห์แจ้งซ่อม],"3")=0,"-",COUNTIFS(Table16[ประเภท],M47,Table16[ฝ่าย],A60,Table16[สัปดาห์แจ้งซ่อม],"3"))</f>
        <v>-</v>
      </c>
      <c r="N60" s="173" t="str">
        <f>IF(COUNTIFS(Table16[ประเภท],N47,Table16[ฝ่าย],A60,Table16[สัปดาห์แจ้งซ่อม],"3")=0,"-",COUNTIFS(Table16[ประเภท],N47,Table16[ฝ่าย],A60,Table16[สัปดาห์แจ้งซ่อม],"3"))</f>
        <v>-</v>
      </c>
    </row>
    <row r="61" spans="1:14">
      <c r="A61" s="176" t="s">
        <v>171</v>
      </c>
      <c r="B61" s="194">
        <f>COUNTIFS(Table16[ฝ่าย],A61,Table16[สัปดาห์แจ้งซ่อม],3)</f>
        <v>8</v>
      </c>
      <c r="C61" s="179">
        <f>B61/B62</f>
        <v>0.18604651162790697</v>
      </c>
      <c r="D61" s="173" t="str">
        <f>IF(COUNTIFS(Table16[ประเภท],D47,Table16[ฝ่าย],A61,Table16[สัปดาห์แจ้งซ่อม],"3")=0,"-",COUNTIFS(Table16[ประเภท],D47,Table16[ฝ่าย],A61,Table16[สัปดาห์แจ้งซ่อม],"3"))</f>
        <v>-</v>
      </c>
      <c r="E61" s="173" t="str">
        <f>IF(COUNTIFS(Table16[ประเภท],E47,Table16[ฝ่าย],A61,Table16[สัปดาห์แจ้งซ่อม],"3")=0,"-",COUNTIFS(Table16[ประเภท],E47,Table16[ฝ่าย],A61,Table16[สัปดาห์แจ้งซ่อม],"3"))</f>
        <v>-</v>
      </c>
      <c r="F61" s="173">
        <f>IF(COUNTIFS(Table16[ประเภท],F47,Table16[ฝ่าย],A61,Table16[สัปดาห์แจ้งซ่อม],"3")=0,"-",COUNTIFS(Table16[ประเภท],F47,Table16[ฝ่าย],A61,Table16[สัปดาห์แจ้งซ่อม],"3"))</f>
        <v>1</v>
      </c>
      <c r="G61" s="173" t="str">
        <f>IF(COUNTIFS(Table16[ประเภท],G47,Table16[ฝ่าย],A61,Table16[สัปดาห์แจ้งซ่อม],"3")=0,"-",COUNTIFS(Table16[ประเภท],G47,Table16[ฝ่าย],A61,Table16[สัปดาห์แจ้งซ่อม],"3"))</f>
        <v>-</v>
      </c>
      <c r="H61" s="173">
        <f>IF(COUNTIFS(Table16[ประเภท],H47,Table16[ฝ่าย],A61,Table16[สัปดาห์แจ้งซ่อม],"3")=0,"-",COUNTIFS(Table16[ประเภท],H47,Table16[ฝ่าย],A61,Table16[สัปดาห์แจ้งซ่อม],"3"))</f>
        <v>5</v>
      </c>
      <c r="I61" s="173" t="str">
        <f>IF(COUNTIFS(Table16[ประเภท],I47,Table16[ฝ่าย],A61,Table16[สัปดาห์แจ้งซ่อม],"3")=0,"-",COUNTIFS(Table16[ประเภท],I47,Table16[ฝ่าย],A61,Table16[สัปดาห์แจ้งซ่อม],"3"))</f>
        <v>-</v>
      </c>
      <c r="J61" s="173" t="str">
        <f>IF(COUNTIFS(Table16[ประเภท],J47,Table16[ฝ่าย],A61,Table16[สัปดาห์แจ้งซ่อม],"3")=0,"-",COUNTIFS(Table16[ประเภท],J47,Table16[ฝ่าย],A61,Table16[สัปดาห์แจ้งซ่อม],"3"))</f>
        <v>-</v>
      </c>
      <c r="K61" s="173" t="str">
        <f>IF(COUNTIFS(Table16[ประเภท],K47,Table16[ฝ่าย],A61,Table16[สัปดาห์แจ้งซ่อม],"3")=0,"-",COUNTIFS(Table16[ประเภท],K47,Table16[ฝ่าย],A61,Table16[สัปดาห์แจ้งซ่อม],"3"))</f>
        <v>-</v>
      </c>
      <c r="L61" s="173" t="str">
        <f>IF(COUNTIFS(Table16[ประเภท],L47,Table16[ฝ่าย],A61,Table16[สัปดาห์แจ้งซ่อม],"3")=0,"-",COUNTIFS(Table16[ประเภท],L47,Table16[ฝ่าย],A61,Table16[สัปดาห์แจ้งซ่อม],"3"))</f>
        <v>-</v>
      </c>
      <c r="M61" s="173" t="str">
        <f>IF(COUNTIFS(Table16[ประเภท],M47,Table16[ฝ่าย],A61,Table16[สัปดาห์แจ้งซ่อม],"3")=0,"-",COUNTIFS(Table16[ประเภท],M47,Table16[ฝ่าย],A61,Table16[สัปดาห์แจ้งซ่อม],"3"))</f>
        <v>-</v>
      </c>
      <c r="N61" s="173">
        <f>IF(COUNTIFS(Table16[ประเภท],N47,Table16[ฝ่าย],A61,Table16[สัปดาห์แจ้งซ่อม],"3")=0,"-",COUNTIFS(Table16[ประเภท],N47,Table16[ฝ่าย],A61,Table16[สัปดาห์แจ้งซ่อม],"3"))</f>
        <v>2</v>
      </c>
    </row>
    <row r="62" spans="1:14">
      <c r="A62" s="180" t="s">
        <v>82</v>
      </c>
      <c r="B62" s="181">
        <f>SUM(B48:B61)</f>
        <v>43</v>
      </c>
      <c r="C62" s="182">
        <f t="shared" ref="C62" si="13">SUM(C48:C60)</f>
        <v>0.81395348837209303</v>
      </c>
      <c r="D62" s="181">
        <f>SUM(D48:D61)</f>
        <v>6</v>
      </c>
      <c r="E62" s="181">
        <f t="shared" ref="E62" si="14">SUM(E48:E61)</f>
        <v>2</v>
      </c>
      <c r="F62" s="181">
        <f t="shared" ref="F62" si="15">SUM(F48:F61)</f>
        <v>3</v>
      </c>
      <c r="G62" s="181">
        <f t="shared" ref="G62" si="16">SUM(G48:G61)</f>
        <v>0</v>
      </c>
      <c r="H62" s="181">
        <f t="shared" ref="H62" si="17">SUM(H48:H61)</f>
        <v>10</v>
      </c>
      <c r="I62" s="181">
        <f t="shared" ref="I62" si="18">SUM(I48:I61)</f>
        <v>2</v>
      </c>
      <c r="J62" s="181">
        <f t="shared" ref="J62" si="19">SUM(J48:J61)</f>
        <v>3</v>
      </c>
      <c r="K62" s="181">
        <f t="shared" ref="K62" si="20">SUM(K48:K61)</f>
        <v>9</v>
      </c>
      <c r="L62" s="181">
        <f t="shared" ref="L62" si="21">SUM(L48:L61)</f>
        <v>0</v>
      </c>
      <c r="M62" s="181">
        <f t="shared" ref="M62" si="22">SUM(M48:M61)</f>
        <v>0</v>
      </c>
      <c r="N62" s="181">
        <f t="shared" ref="N62" si="23">SUM(N48:N61)</f>
        <v>4</v>
      </c>
    </row>
    <row r="63" spans="1:14">
      <c r="A63" s="183" t="s">
        <v>83</v>
      </c>
      <c r="B63" s="184">
        <f>COUNTIFS(Table16[สถานะ],"เรียบร้อย",Table16[สัปดาห์แจ้งซ่อม],3)</f>
        <v>5</v>
      </c>
      <c r="C63" s="185"/>
      <c r="D63" s="76"/>
      <c r="E63" s="76"/>
      <c r="F63" s="76"/>
      <c r="G63" s="76"/>
      <c r="H63" s="76"/>
      <c r="I63" s="76"/>
      <c r="J63" s="76"/>
      <c r="K63" s="76"/>
      <c r="L63" s="76"/>
    </row>
    <row r="64" spans="1:14">
      <c r="A64" s="186" t="s">
        <v>84</v>
      </c>
      <c r="B64" s="187">
        <f>COUNTIFS(Table16[สถานะ],"กำลังดำเนินการ",Table16[สัปดาห์แจ้งซ่อม],3)</f>
        <v>0</v>
      </c>
      <c r="C64" s="185"/>
      <c r="D64" s="76"/>
      <c r="E64" s="76"/>
      <c r="F64" s="76"/>
      <c r="G64" s="76"/>
      <c r="H64" s="76"/>
      <c r="I64" s="76"/>
      <c r="J64" s="76"/>
      <c r="K64" s="76"/>
      <c r="L64" s="76"/>
    </row>
    <row r="65" spans="1:14">
      <c r="A65" s="188" t="s">
        <v>3</v>
      </c>
      <c r="B65" s="189">
        <f>COUNTIFS(Table16[สถานะ],"รอดำเนินการ",Table16[สัปดาห์แจ้งซ่อม],3)</f>
        <v>39</v>
      </c>
      <c r="C65" s="185"/>
      <c r="D65" s="76"/>
      <c r="E65" s="76"/>
      <c r="F65" s="76"/>
      <c r="G65" s="76"/>
      <c r="H65" s="76"/>
      <c r="I65" s="76"/>
      <c r="J65" s="76"/>
      <c r="K65" s="76"/>
      <c r="L65" s="76"/>
    </row>
    <row r="66" spans="1:14" ht="15.6">
      <c r="A66" s="190" t="s">
        <v>85</v>
      </c>
      <c r="B66" s="191">
        <f>COUNTIFS(Table16[สถานะ],"โอนย้าย",Table16[สัปดาห์แจ้งซ่อม],3)</f>
        <v>0</v>
      </c>
      <c r="C66" s="192"/>
    </row>
    <row r="67" spans="1:14" ht="30" customHeight="1">
      <c r="A67" s="528" t="s">
        <v>659</v>
      </c>
      <c r="B67" s="529"/>
      <c r="C67" s="529"/>
      <c r="D67" s="529"/>
      <c r="E67" s="529"/>
      <c r="F67" s="529"/>
      <c r="G67" s="529"/>
      <c r="H67" s="529"/>
      <c r="I67" s="529"/>
      <c r="J67" s="529"/>
      <c r="K67" s="529"/>
      <c r="L67" s="529"/>
      <c r="M67" s="529"/>
      <c r="N67" s="529"/>
    </row>
    <row r="68" spans="1:14" ht="18">
      <c r="A68" s="522" t="s">
        <v>656</v>
      </c>
      <c r="B68" s="522" t="s">
        <v>57</v>
      </c>
      <c r="C68" s="524" t="s">
        <v>58</v>
      </c>
      <c r="D68" s="526" t="s">
        <v>59</v>
      </c>
      <c r="E68" s="527"/>
      <c r="F68" s="527"/>
      <c r="G68" s="527"/>
      <c r="H68" s="527"/>
      <c r="I68" s="527"/>
      <c r="J68" s="527"/>
      <c r="K68" s="527"/>
      <c r="L68" s="527"/>
      <c r="M68" s="527"/>
      <c r="N68" s="527"/>
    </row>
    <row r="69" spans="1:14">
      <c r="A69" s="523"/>
      <c r="B69" s="523"/>
      <c r="C69" s="525"/>
      <c r="D69" s="172" t="s">
        <v>60</v>
      </c>
      <c r="E69" s="172" t="s">
        <v>61</v>
      </c>
      <c r="F69" s="173" t="s">
        <v>62</v>
      </c>
      <c r="G69" s="173" t="s">
        <v>63</v>
      </c>
      <c r="H69" s="173" t="s">
        <v>64</v>
      </c>
      <c r="I69" s="173" t="s">
        <v>65</v>
      </c>
      <c r="J69" s="173" t="s">
        <v>66</v>
      </c>
      <c r="K69" s="173" t="s">
        <v>67</v>
      </c>
      <c r="L69" s="174" t="s">
        <v>68</v>
      </c>
      <c r="M69" s="175" t="s">
        <v>87</v>
      </c>
      <c r="N69" s="175" t="s">
        <v>166</v>
      </c>
    </row>
    <row r="70" spans="1:14">
      <c r="A70" s="176" t="s">
        <v>69</v>
      </c>
      <c r="B70" s="177">
        <f>COUNTIFS(Table16[ฝ่าย],A70,Table16[สัปดาห์แจ้งซ่อม],4)</f>
        <v>0</v>
      </c>
      <c r="C70" s="178" t="e">
        <f>B70/B84</f>
        <v>#DIV/0!</v>
      </c>
      <c r="D70" s="173" t="str">
        <f>IF(COUNTIFS(Table16[ประเภท],D69,Table16[ฝ่าย],A70,Table16[สัปดาห์แจ้งซ่อม],"4")=0,"-",COUNTIFS(Table16[ประเภท],D69,Table16[ฝ่าย],A70,Table16[สัปดาห์แจ้งซ่อม],"4"))</f>
        <v>-</v>
      </c>
      <c r="E70" s="173" t="str">
        <f>IF(COUNTIFS(Table16[ประเภท],E69,Table16[ฝ่าย],A70,Table16[สัปดาห์แจ้งซ่อม],"4")=0,"-",COUNTIFS(Table16[ประเภท],E69,Table16[ฝ่าย],A70,Table16[สัปดาห์แจ้งซ่อม],"4"))</f>
        <v>-</v>
      </c>
      <c r="F70" s="173" t="str">
        <f>IF(COUNTIFS(Table16[ประเภท],F69,Table16[ฝ่าย],A70,Table16[สัปดาห์แจ้งซ่อม],"4")=0,"-",COUNTIFS(Table16[ประเภท],F69,Table16[ฝ่าย],A70,Table16[สัปดาห์แจ้งซ่อม],"4"))</f>
        <v>-</v>
      </c>
      <c r="G70" s="173" t="str">
        <f>IF(COUNTIFS(Table16[ประเภท],G69,Table16[ฝ่าย],A70,Table16[สัปดาห์แจ้งซ่อม],"4")=0,"-",COUNTIFS(Table16[ประเภท],G69,Table16[ฝ่าย],A70,Table16[สัปดาห์แจ้งซ่อม],"4"))</f>
        <v>-</v>
      </c>
      <c r="H70" s="173" t="str">
        <f>IF(COUNTIFS(Table16[ประเภท],H69,Table16[ฝ่าย],A70,Table16[สัปดาห์แจ้งซ่อม],"4")=0,"-",COUNTIFS(Table16[ประเภท],H69,Table16[ฝ่าย],A70,Table16[สัปดาห์แจ้งซ่อม],"4"))</f>
        <v>-</v>
      </c>
      <c r="I70" s="173" t="str">
        <f>IF(COUNTIFS(Table16[ประเภท],I69,Table16[ฝ่าย],A70,Table16[สัปดาห์แจ้งซ่อม],"4")=0,"-",COUNTIFS(Table16[ประเภท],I69,Table16[ฝ่าย],A70,Table16[สัปดาห์แจ้งซ่อม],"4"))</f>
        <v>-</v>
      </c>
      <c r="J70" s="173" t="str">
        <f>IF(COUNTIFS(Table16[ประเภท],J69,Table16[ฝ่าย],A70,Table16[สัปดาห์แจ้งซ่อม],"4")=0,"-",COUNTIFS(Table16[ประเภท],J69,Table16[ฝ่าย],A70,Table16[สัปดาห์แจ้งซ่อม],"4"))</f>
        <v>-</v>
      </c>
      <c r="K70" s="173" t="str">
        <f>IF(COUNTIFS(Table16[ประเภท],K69,Table16[ฝ่าย],A70,Table16[สัปดาห์แจ้งซ่อม],"4")=0,"-",COUNTIFS(Table16[ประเภท],K69,Table16[ฝ่าย],A70,Table16[สัปดาห์แจ้งซ่อม],"4"))</f>
        <v>-</v>
      </c>
      <c r="L70" s="173" t="str">
        <f>IF(COUNTIFS(Table16[ประเภท],L69,Table16[ฝ่าย],A70,Table16[สัปดาห์แจ้งซ่อม],"4")=0,"-",COUNTIFS(Table16[ประเภท],L69,Table16[ฝ่าย],A70,Table16[สัปดาห์แจ้งซ่อม],"4"))</f>
        <v>-</v>
      </c>
      <c r="M70" s="173" t="str">
        <f>IF(COUNTIFS(Table16[ประเภท],M69,Table16[ฝ่าย],A70,Table16[สัปดาห์แจ้งซ่อม],"4")=0,"-",COUNTIFS(Table16[ประเภท],M69,Table16[ฝ่าย],A70,Table16[สัปดาห์แจ้งซ่อม],"4"))</f>
        <v>-</v>
      </c>
      <c r="N70" s="173" t="str">
        <f>IF(COUNTIFS(Table16[ประเภท],N69,Table16[ฝ่าย],A70,Table16[สัปดาห์แจ้งซ่อม],"4")=0,"-",COUNTIFS(Table16[ประเภท],N69,Table16[ฝ่าย],A70,Table16[สัปดาห์แจ้งซ่อม],"4"))</f>
        <v>-</v>
      </c>
    </row>
    <row r="71" spans="1:14">
      <c r="A71" s="176" t="s">
        <v>70</v>
      </c>
      <c r="B71" s="177">
        <f>COUNTIFS(Table16[ฝ่าย],A71,Table16[สัปดาห์แจ้งซ่อม],4)</f>
        <v>0</v>
      </c>
      <c r="C71" s="178" t="e">
        <f>B71/B84</f>
        <v>#DIV/0!</v>
      </c>
      <c r="D71" s="173" t="str">
        <f>IF(COUNTIFS(Table16[ประเภท],D69,Table16[ฝ่าย],A71,Table16[สัปดาห์แจ้งซ่อม],"4")=0,"-",COUNTIFS(Table16[ประเภท],D69,Table16[ฝ่าย],A71,Table16[สัปดาห์แจ้งซ่อม],"4"))</f>
        <v>-</v>
      </c>
      <c r="E71" s="173" t="str">
        <f>IF(COUNTIFS(Table16[ประเภท],E69,Table16[ฝ่าย],A71,Table16[สัปดาห์แจ้งซ่อม],"4")=0,"-",COUNTIFS(Table16[ประเภท],E69,Table16[ฝ่าย],A71,Table16[สัปดาห์แจ้งซ่อม],"4"))</f>
        <v>-</v>
      </c>
      <c r="F71" s="173" t="str">
        <f>IF(COUNTIFS(Table16[ประเภท],F69,Table16[ฝ่าย],A71,Table16[สัปดาห์แจ้งซ่อม],"4")=0,"-",COUNTIFS(Table16[ประเภท],F69,Table16[ฝ่าย],A71,Table16[สัปดาห์แจ้งซ่อม],"4"))</f>
        <v>-</v>
      </c>
      <c r="G71" s="173" t="str">
        <f>IF(COUNTIFS(Table16[ประเภท],G69,Table16[ฝ่าย],A71,Table16[สัปดาห์แจ้งซ่อม],"4")=0,"-",COUNTIFS(Table16[ประเภท],G69,Table16[ฝ่าย],A71,Table16[สัปดาห์แจ้งซ่อม],"4"))</f>
        <v>-</v>
      </c>
      <c r="H71" s="173" t="str">
        <f>IF(COUNTIFS(Table16[ประเภท],H69,Table16[ฝ่าย],A71,Table16[สัปดาห์แจ้งซ่อม],"4")=0,"-",COUNTIFS(Table16[ประเภท],H69,Table16[ฝ่าย],A71,Table16[สัปดาห์แจ้งซ่อม],"4"))</f>
        <v>-</v>
      </c>
      <c r="I71" s="173" t="str">
        <f>IF(COUNTIFS(Table16[ประเภท],I69,Table16[ฝ่าย],A71,Table16[สัปดาห์แจ้งซ่อม],"4")=0,"-",COUNTIFS(Table16[ประเภท],I69,Table16[ฝ่าย],A71,Table16[สัปดาห์แจ้งซ่อม],"4"))</f>
        <v>-</v>
      </c>
      <c r="J71" s="173" t="str">
        <f>IF(COUNTIFS(Table16[ประเภท],J69,Table16[ฝ่าย],A71,Table16[สัปดาห์แจ้งซ่อม],"4")=0,"-",COUNTIFS(Table16[ประเภท],J69,Table16[ฝ่าย],A71,Table16[สัปดาห์แจ้งซ่อม],"4"))</f>
        <v>-</v>
      </c>
      <c r="K71" s="173" t="str">
        <f>IF(COUNTIFS(Table16[ประเภท],K69,Table16[ฝ่าย],A71,Table16[สัปดาห์แจ้งซ่อม],"4")=0,"-",COUNTIFS(Table16[ประเภท],K69,Table16[ฝ่าย],A71,Table16[สัปดาห์แจ้งซ่อม],"4"))</f>
        <v>-</v>
      </c>
      <c r="L71" s="173" t="str">
        <f>IF(COUNTIFS(Table16[ประเภท],L69,Table16[ฝ่าย],A71,Table16[สัปดาห์แจ้งซ่อม],"4")=0,"-",COUNTIFS(Table16[ประเภท],L69,Table16[ฝ่าย],A71,Table16[สัปดาห์แจ้งซ่อม],"4"))</f>
        <v>-</v>
      </c>
      <c r="M71" s="173" t="str">
        <f>IF(COUNTIFS(Table16[ประเภท],M69,Table16[ฝ่าย],A71,Table16[สัปดาห์แจ้งซ่อม],"4")=0,"-",COUNTIFS(Table16[ประเภท],M69,Table16[ฝ่าย],A71,Table16[สัปดาห์แจ้งซ่อม],"4"))</f>
        <v>-</v>
      </c>
      <c r="N71" s="173" t="str">
        <f>IF(COUNTIFS(Table16[ประเภท],N69,Table16[ฝ่าย],A71,Table16[สัปดาห์แจ้งซ่อม],"4")=0,"-",COUNTIFS(Table16[ประเภท],N69,Table16[ฝ่าย],A71,Table16[สัปดาห์แจ้งซ่อม],"4"))</f>
        <v>-</v>
      </c>
    </row>
    <row r="72" spans="1:14">
      <c r="A72" s="176" t="s">
        <v>71</v>
      </c>
      <c r="B72" s="177">
        <f>COUNTIFS(Table16[ฝ่าย],A72,Table16[สัปดาห์แจ้งซ่อม],4)</f>
        <v>0</v>
      </c>
      <c r="C72" s="178" t="e">
        <f>B72/B84</f>
        <v>#DIV/0!</v>
      </c>
      <c r="D72" s="173" t="str">
        <f>IF(COUNTIFS(Table16[ประเภท],D69,Table16[ฝ่าย],A72,Table16[สัปดาห์แจ้งซ่อม],"4")=0,"-",COUNTIFS(Table16[ประเภท],D69,Table16[ฝ่าย],A72,Table16[สัปดาห์แจ้งซ่อม],"4"))</f>
        <v>-</v>
      </c>
      <c r="E72" s="173" t="str">
        <f>IF(COUNTIFS(Table16[ประเภท],E69,Table16[ฝ่าย],A72,Table16[สัปดาห์แจ้งซ่อม],"4")=0,"-",COUNTIFS(Table16[ประเภท],E69,Table16[ฝ่าย],A72,Table16[สัปดาห์แจ้งซ่อม],"4"))</f>
        <v>-</v>
      </c>
      <c r="F72" s="173" t="str">
        <f>IF(COUNTIFS(Table16[ประเภท],F69,Table16[ฝ่าย],A72,Table16[สัปดาห์แจ้งซ่อม],"4")=0,"-",COUNTIFS(Table16[ประเภท],F69,Table16[ฝ่าย],A72,Table16[สัปดาห์แจ้งซ่อม],"4"))</f>
        <v>-</v>
      </c>
      <c r="G72" s="173" t="str">
        <f>IF(COUNTIFS(Table16[ประเภท],G69,Table16[ฝ่าย],A72,Table16[สัปดาห์แจ้งซ่อม],"4")=0,"-",COUNTIFS(Table16[ประเภท],G69,Table16[ฝ่าย],A72,Table16[สัปดาห์แจ้งซ่อม],"4"))</f>
        <v>-</v>
      </c>
      <c r="H72" s="173" t="str">
        <f>IF(COUNTIFS(Table16[ประเภท],H69,Table16[ฝ่าย],A72,Table16[สัปดาห์แจ้งซ่อม],"4")=0,"-",COUNTIFS(Table16[ประเภท],H69,Table16[ฝ่าย],A72,Table16[สัปดาห์แจ้งซ่อม],"4"))</f>
        <v>-</v>
      </c>
      <c r="I72" s="173" t="str">
        <f>IF(COUNTIFS(Table16[ประเภท],I69,Table16[ฝ่าย],A72,Table16[สัปดาห์แจ้งซ่อม],"4")=0,"-",COUNTIFS(Table16[ประเภท],I69,Table16[ฝ่าย],A72,Table16[สัปดาห์แจ้งซ่อม],"4"))</f>
        <v>-</v>
      </c>
      <c r="J72" s="173" t="str">
        <f>IF(COUNTIFS(Table16[ประเภท],J69,Table16[ฝ่าย],A72,Table16[สัปดาห์แจ้งซ่อม],"4")=0,"-",COUNTIFS(Table16[ประเภท],J69,Table16[ฝ่าย],A72,Table16[สัปดาห์แจ้งซ่อม],"4"))</f>
        <v>-</v>
      </c>
      <c r="K72" s="173" t="str">
        <f>IF(COUNTIFS(Table16[ประเภท],K69,Table16[ฝ่าย],A72,Table16[สัปดาห์แจ้งซ่อม],"4")=0,"-",COUNTIFS(Table16[ประเภท],K69,Table16[ฝ่าย],A72,Table16[สัปดาห์แจ้งซ่อม],"4"))</f>
        <v>-</v>
      </c>
      <c r="L72" s="173" t="str">
        <f>IF(COUNTIFS(Table16[ประเภท],L69,Table16[ฝ่าย],A72,Table16[สัปดาห์แจ้งซ่อม],"4")=0,"-",COUNTIFS(Table16[ประเภท],L69,Table16[ฝ่าย],A72,Table16[สัปดาห์แจ้งซ่อม],"4"))</f>
        <v>-</v>
      </c>
      <c r="M72" s="173" t="str">
        <f>IF(COUNTIFS(Table16[ประเภท],M69,Table16[ฝ่าย],A72,Table16[สัปดาห์แจ้งซ่อม],"4")=0,"-",COUNTIFS(Table16[ประเภท],M69,Table16[ฝ่าย],A72,Table16[สัปดาห์แจ้งซ่อม],"4"))</f>
        <v>-</v>
      </c>
      <c r="N72" s="173" t="str">
        <f>IF(COUNTIFS(Table16[ประเภท],N69,Table16[ฝ่าย],A72,Table16[สัปดาห์แจ้งซ่อม],"4")=0,"-",COUNTIFS(Table16[ประเภท],N69,Table16[ฝ่าย],A72,Table16[สัปดาห์แจ้งซ่อม],"4"))</f>
        <v>-</v>
      </c>
    </row>
    <row r="73" spans="1:14">
      <c r="A73" s="176" t="s">
        <v>72</v>
      </c>
      <c r="B73" s="177">
        <f>COUNTIFS(Table16[ฝ่าย],A73,Table16[สัปดาห์แจ้งซ่อม],4)</f>
        <v>0</v>
      </c>
      <c r="C73" s="193" t="e">
        <f>B73/B84</f>
        <v>#DIV/0!</v>
      </c>
      <c r="D73" s="173" t="str">
        <f>IF(COUNTIFS(Table16[ประเภท],D69,Table16[ฝ่าย],A73,Table16[สัปดาห์แจ้งซ่อม],"4")=0,"-",COUNTIFS(Table16[ประเภท],D69,Table16[ฝ่าย],A73,Table16[สัปดาห์แจ้งซ่อม],"4"))</f>
        <v>-</v>
      </c>
      <c r="E73" s="173" t="str">
        <f>IF(COUNTIFS(Table16[ประเภท],E69,Table16[ฝ่าย],A73,Table16[สัปดาห์แจ้งซ่อม],"4")=0,"-",COUNTIFS(Table16[ประเภท],E69,Table16[ฝ่าย],A73,Table16[สัปดาห์แจ้งซ่อม],"4"))</f>
        <v>-</v>
      </c>
      <c r="F73" s="173" t="str">
        <f>IF(COUNTIFS(Table16[ประเภท],F69,Table16[ฝ่าย],A73,Table16[สัปดาห์แจ้งซ่อม],"4")=0,"-",COUNTIFS(Table16[ประเภท],F69,Table16[ฝ่าย],A73,Table16[สัปดาห์แจ้งซ่อม],"4"))</f>
        <v>-</v>
      </c>
      <c r="G73" s="173" t="str">
        <f>IF(COUNTIFS(Table16[ประเภท],G69,Table16[ฝ่าย],A73,Table16[สัปดาห์แจ้งซ่อม],"4")=0,"-",COUNTIFS(Table16[ประเภท],G69,Table16[ฝ่าย],A73,Table16[สัปดาห์แจ้งซ่อม],"4"))</f>
        <v>-</v>
      </c>
      <c r="H73" s="173" t="str">
        <f>IF(COUNTIFS(Table16[ประเภท],H69,Table16[ฝ่าย],A73,Table16[สัปดาห์แจ้งซ่อม],"4")=0,"-",COUNTIFS(Table16[ประเภท],H69,Table16[ฝ่าย],A73,Table16[สัปดาห์แจ้งซ่อม],"4"))</f>
        <v>-</v>
      </c>
      <c r="I73" s="173" t="str">
        <f>IF(COUNTIFS(Table16[ประเภท],I69,Table16[ฝ่าย],A73,Table16[สัปดาห์แจ้งซ่อม],"4")=0,"-",COUNTIFS(Table16[ประเภท],I69,Table16[ฝ่าย],A73,Table16[สัปดาห์แจ้งซ่อม],"4"))</f>
        <v>-</v>
      </c>
      <c r="J73" s="173" t="str">
        <f>IF(COUNTIFS(Table16[ประเภท],J69,Table16[ฝ่าย],A73,Table16[สัปดาห์แจ้งซ่อม],"4")=0,"-",COUNTIFS(Table16[ประเภท],J69,Table16[ฝ่าย],A73,Table16[สัปดาห์แจ้งซ่อม],"4"))</f>
        <v>-</v>
      </c>
      <c r="K73" s="173" t="str">
        <f>IF(COUNTIFS(Table16[ประเภท],K69,Table16[ฝ่าย],A73,Table16[สัปดาห์แจ้งซ่อม],"4")=0,"-",COUNTIFS(Table16[ประเภท],K69,Table16[ฝ่าย],A73,Table16[สัปดาห์แจ้งซ่อม],"4"))</f>
        <v>-</v>
      </c>
      <c r="L73" s="173" t="str">
        <f>IF(COUNTIFS(Table16[ประเภท],L69,Table16[ฝ่าย],A73,Table16[สัปดาห์แจ้งซ่อม],"4")=0,"-",COUNTIFS(Table16[ประเภท],L69,Table16[ฝ่าย],A73,Table16[สัปดาห์แจ้งซ่อม],"4"))</f>
        <v>-</v>
      </c>
      <c r="M73" s="173" t="str">
        <f>IF(COUNTIFS(Table16[ประเภท],M69,Table16[ฝ่าย],A73,Table16[สัปดาห์แจ้งซ่อม],"4")=0,"-",COUNTIFS(Table16[ประเภท],M69,Table16[ฝ่าย],A73,Table16[สัปดาห์แจ้งซ่อม],"4"))</f>
        <v>-</v>
      </c>
      <c r="N73" s="173" t="str">
        <f>IF(COUNTIFS(Table16[ประเภท],N69,Table16[ฝ่าย],A73,Table16[สัปดาห์แจ้งซ่อม],"4")=0,"-",COUNTIFS(Table16[ประเภท],N69,Table16[ฝ่าย],A73,Table16[สัปดาห์แจ้งซ่อม],"4"))</f>
        <v>-</v>
      </c>
    </row>
    <row r="74" spans="1:14">
      <c r="A74" s="176" t="s">
        <v>73</v>
      </c>
      <c r="B74" s="177">
        <f>COUNTIFS(Table16[ฝ่าย],A74,Table16[สัปดาห์แจ้งซ่อม],4)</f>
        <v>0</v>
      </c>
      <c r="C74" s="178" t="e">
        <f>B74/B84</f>
        <v>#DIV/0!</v>
      </c>
      <c r="D74" s="173" t="str">
        <f>IF(COUNTIFS(Table16[ประเภท],D69,Table16[ฝ่าย],A74,Table16[สัปดาห์แจ้งซ่อม],"4")=0,"-",COUNTIFS(Table16[ประเภท],D69,Table16[ฝ่าย],A74,Table16[สัปดาห์แจ้งซ่อม],"4"))</f>
        <v>-</v>
      </c>
      <c r="E74" s="173" t="str">
        <f>IF(COUNTIFS(Table16[ประเภท],E69,Table16[ฝ่าย],A74,Table16[สัปดาห์แจ้งซ่อม],"4")=0,"-",COUNTIFS(Table16[ประเภท],E69,Table16[ฝ่าย],A74,Table16[สัปดาห์แจ้งซ่อม],"4"))</f>
        <v>-</v>
      </c>
      <c r="F74" s="173" t="str">
        <f>IF(COUNTIFS(Table16[ประเภท],F69,Table16[ฝ่าย],A74,Table16[สัปดาห์แจ้งซ่อม],"4")=0,"-",COUNTIFS(Table16[ประเภท],F69,Table16[ฝ่าย],A74,Table16[สัปดาห์แจ้งซ่อม],"4"))</f>
        <v>-</v>
      </c>
      <c r="G74" s="173" t="str">
        <f>IF(COUNTIFS(Table16[ประเภท],G69,Table16[ฝ่าย],A74,Table16[สัปดาห์แจ้งซ่อม],"4")=0,"-",COUNTIFS(Table16[ประเภท],G69,Table16[ฝ่าย],A74,Table16[สัปดาห์แจ้งซ่อม],"4"))</f>
        <v>-</v>
      </c>
      <c r="H74" s="173" t="str">
        <f>IF(COUNTIFS(Table16[ประเภท],H69,Table16[ฝ่าย],A74,Table16[สัปดาห์แจ้งซ่อม],"4")=0,"-",COUNTIFS(Table16[ประเภท],H69,Table16[ฝ่าย],A74,Table16[สัปดาห์แจ้งซ่อม],"4"))</f>
        <v>-</v>
      </c>
      <c r="I74" s="173" t="str">
        <f>IF(COUNTIFS(Table16[ประเภท],I69,Table16[ฝ่าย],A74,Table16[สัปดาห์แจ้งซ่อม],"4")=0,"-",COUNTIFS(Table16[ประเภท],I69,Table16[ฝ่าย],A74,Table16[สัปดาห์แจ้งซ่อม],"4"))</f>
        <v>-</v>
      </c>
      <c r="J74" s="173" t="str">
        <f>IF(COUNTIFS(Table16[ประเภท],J69,Table16[ฝ่าย],A74,Table16[สัปดาห์แจ้งซ่อม],"4")=0,"-",COUNTIFS(Table16[ประเภท],J69,Table16[ฝ่าย],A74,Table16[สัปดาห์แจ้งซ่อม],"4"))</f>
        <v>-</v>
      </c>
      <c r="K74" s="173" t="str">
        <f>IF(COUNTIFS(Table16[ประเภท],K69,Table16[ฝ่าย],A74,Table16[สัปดาห์แจ้งซ่อม],"4")=0,"-",COUNTIFS(Table16[ประเภท],K69,Table16[ฝ่าย],A74,Table16[สัปดาห์แจ้งซ่อม],"4"))</f>
        <v>-</v>
      </c>
      <c r="L74" s="173" t="str">
        <f>IF(COUNTIFS(Table16[ประเภท],L69,Table16[ฝ่าย],A74,Table16[สัปดาห์แจ้งซ่อม],"4")=0,"-",COUNTIFS(Table16[ประเภท],L69,Table16[ฝ่าย],A74,Table16[สัปดาห์แจ้งซ่อม],"4"))</f>
        <v>-</v>
      </c>
      <c r="M74" s="173" t="str">
        <f>IF(COUNTIFS(Table16[ประเภท],M69,Table16[ฝ่าย],A74,Table16[สัปดาห์แจ้งซ่อม],"4")=0,"-",COUNTIFS(Table16[ประเภท],M69,Table16[ฝ่าย],A74,Table16[สัปดาห์แจ้งซ่อม],"4"))</f>
        <v>-</v>
      </c>
      <c r="N74" s="173" t="str">
        <f>IF(COUNTIFS(Table16[ประเภท],N69,Table16[ฝ่าย],A74,Table16[สัปดาห์แจ้งซ่อม],"4")=0,"-",COUNTIFS(Table16[ประเภท],N69,Table16[ฝ่าย],A74,Table16[สัปดาห์แจ้งซ่อม],"4"))</f>
        <v>-</v>
      </c>
    </row>
    <row r="75" spans="1:14">
      <c r="A75" s="176" t="s">
        <v>74</v>
      </c>
      <c r="B75" s="177">
        <f>COUNTIFS(Table16[ฝ่าย],A75,Table16[สัปดาห์แจ้งซ่อม],4)</f>
        <v>0</v>
      </c>
      <c r="C75" s="178" t="e">
        <f>B75/B84</f>
        <v>#DIV/0!</v>
      </c>
      <c r="D75" s="173" t="str">
        <f>IF(COUNTIFS(Table16[ประเภท],D69,Table16[ฝ่าย],A75,Table16[สัปดาห์แจ้งซ่อม],"4")=0,"-",COUNTIFS(Table16[ประเภท],D69,Table16[ฝ่าย],A75,Table16[สัปดาห์แจ้งซ่อม],"4"))</f>
        <v>-</v>
      </c>
      <c r="E75" s="173" t="str">
        <f>IF(COUNTIFS(Table16[ประเภท],E69,Table16[ฝ่าย],A75,Table16[สัปดาห์แจ้งซ่อม],"4")=0,"-",COUNTIFS(Table16[ประเภท],E69,Table16[ฝ่าย],A75,Table16[สัปดาห์แจ้งซ่อม],"4"))</f>
        <v>-</v>
      </c>
      <c r="F75" s="173" t="str">
        <f>IF(COUNTIFS(Table16[ประเภท],F69,Table16[ฝ่าย],A75,Table16[สัปดาห์แจ้งซ่อม],"4")=0,"-",COUNTIFS(Table16[ประเภท],F69,Table16[ฝ่าย],A75,Table16[สัปดาห์แจ้งซ่อม],"4"))</f>
        <v>-</v>
      </c>
      <c r="G75" s="173" t="str">
        <f>IF(COUNTIFS(Table16[ประเภท],G69,Table16[ฝ่าย],A75,Table16[สัปดาห์แจ้งซ่อม],"4")=0,"-",COUNTIFS(Table16[ประเภท],G69,Table16[ฝ่าย],A75,Table16[สัปดาห์แจ้งซ่อม],"4"))</f>
        <v>-</v>
      </c>
      <c r="H75" s="173" t="str">
        <f>IF(COUNTIFS(Table16[ประเภท],H69,Table16[ฝ่าย],A75,Table16[สัปดาห์แจ้งซ่อม],"4")=0,"-",COUNTIFS(Table16[ประเภท],H69,Table16[ฝ่าย],A75,Table16[สัปดาห์แจ้งซ่อม],"4"))</f>
        <v>-</v>
      </c>
      <c r="I75" s="173" t="str">
        <f>IF(COUNTIFS(Table16[ประเภท],I69,Table16[ฝ่าย],A75,Table16[สัปดาห์แจ้งซ่อม],"4")=0,"-",COUNTIFS(Table16[ประเภท],I69,Table16[ฝ่าย],A75,Table16[สัปดาห์แจ้งซ่อม],"4"))</f>
        <v>-</v>
      </c>
      <c r="J75" s="173" t="str">
        <f>IF(COUNTIFS(Table16[ประเภท],J69,Table16[ฝ่าย],A75,Table16[สัปดาห์แจ้งซ่อม],"4")=0,"-",COUNTIFS(Table16[ประเภท],J69,Table16[ฝ่าย],A75,Table16[สัปดาห์แจ้งซ่อม],"4"))</f>
        <v>-</v>
      </c>
      <c r="K75" s="173" t="str">
        <f>IF(COUNTIFS(Table16[ประเภท],K69,Table16[ฝ่าย],A75,Table16[สัปดาห์แจ้งซ่อม],"4")=0,"-",COUNTIFS(Table16[ประเภท],K69,Table16[ฝ่าย],A75,Table16[สัปดาห์แจ้งซ่อม],"4"))</f>
        <v>-</v>
      </c>
      <c r="L75" s="173" t="str">
        <f>IF(COUNTIFS(Table16[ประเภท],L69,Table16[ฝ่าย],A75,Table16[สัปดาห์แจ้งซ่อม],"4")=0,"-",COUNTIFS(Table16[ประเภท],L69,Table16[ฝ่าย],A75,Table16[สัปดาห์แจ้งซ่อม],"4"))</f>
        <v>-</v>
      </c>
      <c r="M75" s="173" t="str">
        <f>IF(COUNTIFS(Table16[ประเภท],M69,Table16[ฝ่าย],A75,Table16[สัปดาห์แจ้งซ่อม],"4")=0,"-",COUNTIFS(Table16[ประเภท],M69,Table16[ฝ่าย],A75,Table16[สัปดาห์แจ้งซ่อม],"4"))</f>
        <v>-</v>
      </c>
      <c r="N75" s="173" t="str">
        <f>IF(COUNTIFS(Table16[ประเภท],N69,Table16[ฝ่าย],A75,Table16[สัปดาห์แจ้งซ่อม],"4")=0,"-",COUNTIFS(Table16[ประเภท],N69,Table16[ฝ่าย],A75,Table16[สัปดาห์แจ้งซ่อม],"4"))</f>
        <v>-</v>
      </c>
    </row>
    <row r="76" spans="1:14">
      <c r="A76" s="176" t="s">
        <v>75</v>
      </c>
      <c r="B76" s="177">
        <f>COUNTIFS(Table16[ฝ่าย],A76,Table16[สัปดาห์แจ้งซ่อม],4)</f>
        <v>0</v>
      </c>
      <c r="C76" s="178" t="e">
        <f>B76/B84</f>
        <v>#DIV/0!</v>
      </c>
      <c r="D76" s="173" t="str">
        <f>IF(COUNTIFS(Table16[ประเภท],D69,Table16[ฝ่าย],A76,Table16[สัปดาห์แจ้งซ่อม],"4")=0,"-",COUNTIFS(Table16[ประเภท],D69,Table16[ฝ่าย],A76,Table16[สัปดาห์แจ้งซ่อม],"4"))</f>
        <v>-</v>
      </c>
      <c r="E76" s="173" t="str">
        <f>IF(COUNTIFS(Table16[ประเภท],E69,Table16[ฝ่าย],A76,Table16[สัปดาห์แจ้งซ่อม],"4")=0,"-",COUNTIFS(Table16[ประเภท],E69,Table16[ฝ่าย],A76,Table16[สัปดาห์แจ้งซ่อม],"4"))</f>
        <v>-</v>
      </c>
      <c r="F76" s="173" t="str">
        <f>IF(COUNTIFS(Table16[ประเภท],F69,Table16[ฝ่าย],A76,Table16[สัปดาห์แจ้งซ่อม],"4")=0,"-",COUNTIFS(Table16[ประเภท],F69,Table16[ฝ่าย],A76,Table16[สัปดาห์แจ้งซ่อม],"4"))</f>
        <v>-</v>
      </c>
      <c r="G76" s="173" t="str">
        <f>IF(COUNTIFS(Table16[ประเภท],G69,Table16[ฝ่าย],A76,Table16[สัปดาห์แจ้งซ่อม],"4")=0,"-",COUNTIFS(Table16[ประเภท],G69,Table16[ฝ่าย],A76,Table16[สัปดาห์แจ้งซ่อม],"4"))</f>
        <v>-</v>
      </c>
      <c r="H76" s="173" t="str">
        <f>IF(COUNTIFS(Table16[ประเภท],H69,Table16[ฝ่าย],A76,Table16[สัปดาห์แจ้งซ่อม],"4")=0,"-",COUNTIFS(Table16[ประเภท],H69,Table16[ฝ่าย],A76,Table16[สัปดาห์แจ้งซ่อม],"4"))</f>
        <v>-</v>
      </c>
      <c r="I76" s="173" t="str">
        <f>IF(COUNTIFS(Table16[ประเภท],I69,Table16[ฝ่าย],A76,Table16[สัปดาห์แจ้งซ่อม],"4")=0,"-",COUNTIFS(Table16[ประเภท],I69,Table16[ฝ่าย],A76,Table16[สัปดาห์แจ้งซ่อม],"4"))</f>
        <v>-</v>
      </c>
      <c r="J76" s="173" t="str">
        <f>IF(COUNTIFS(Table16[ประเภท],J69,Table16[ฝ่าย],A76,Table16[สัปดาห์แจ้งซ่อม],"4")=0,"-",COUNTIFS(Table16[ประเภท],J69,Table16[ฝ่าย],A76,Table16[สัปดาห์แจ้งซ่อม],"4"))</f>
        <v>-</v>
      </c>
      <c r="K76" s="173" t="str">
        <f>IF(COUNTIFS(Table16[ประเภท],K69,Table16[ฝ่าย],A76,Table16[สัปดาห์แจ้งซ่อม],"4")=0,"-",COUNTIFS(Table16[ประเภท],K69,Table16[ฝ่าย],A76,Table16[สัปดาห์แจ้งซ่อม],"4"))</f>
        <v>-</v>
      </c>
      <c r="L76" s="173" t="str">
        <f>IF(COUNTIFS(Table16[ประเภท],L69,Table16[ฝ่าย],A76,Table16[สัปดาห์แจ้งซ่อม],"4")=0,"-",COUNTIFS(Table16[ประเภท],L69,Table16[ฝ่าย],A76,Table16[สัปดาห์แจ้งซ่อม],"4"))</f>
        <v>-</v>
      </c>
      <c r="M76" s="173" t="str">
        <f>IF(COUNTIFS(Table16[ประเภท],M69,Table16[ฝ่าย],A76,Table16[สัปดาห์แจ้งซ่อม],"4")=0,"-",COUNTIFS(Table16[ประเภท],M69,Table16[ฝ่าย],A76,Table16[สัปดาห์แจ้งซ่อม],"4"))</f>
        <v>-</v>
      </c>
      <c r="N76" s="173" t="str">
        <f>IF(COUNTIFS(Table16[ประเภท],N69,Table16[ฝ่าย],A76,Table16[สัปดาห์แจ้งซ่อม],"4")=0,"-",COUNTIFS(Table16[ประเภท],N69,Table16[ฝ่าย],A76,Table16[สัปดาห์แจ้งซ่อม],"4"))</f>
        <v>-</v>
      </c>
    </row>
    <row r="77" spans="1:14">
      <c r="A77" s="176" t="s">
        <v>76</v>
      </c>
      <c r="B77" s="177">
        <f>COUNTIFS(Table16[ฝ่าย],A77,Table16[สัปดาห์แจ้งซ่อม],4)</f>
        <v>0</v>
      </c>
      <c r="C77" s="178" t="e">
        <f>B77/B84</f>
        <v>#DIV/0!</v>
      </c>
      <c r="D77" s="173" t="str">
        <f>IF(COUNTIFS(Table16[ประเภท],D69,Table16[ฝ่าย],A77,Table16[สัปดาห์แจ้งซ่อม],"4")=0,"-",COUNTIFS(Table16[ประเภท],D69,Table16[ฝ่าย],A77,Table16[สัปดาห์แจ้งซ่อม],"4"))</f>
        <v>-</v>
      </c>
      <c r="E77" s="173" t="str">
        <f>IF(COUNTIFS(Table16[ประเภท],E69,Table16[ฝ่าย],A77,Table16[สัปดาห์แจ้งซ่อม],"4")=0,"-",COUNTIFS(Table16[ประเภท],E69,Table16[ฝ่าย],A77,Table16[สัปดาห์แจ้งซ่อม],"4"))</f>
        <v>-</v>
      </c>
      <c r="F77" s="173" t="str">
        <f>IF(COUNTIFS(Table16[ประเภท],F69,Table16[ฝ่าย],A77,Table16[สัปดาห์แจ้งซ่อม],"4")=0,"-",COUNTIFS(Table16[ประเภท],F69,Table16[ฝ่าย],A77,Table16[สัปดาห์แจ้งซ่อม],"4"))</f>
        <v>-</v>
      </c>
      <c r="G77" s="173" t="str">
        <f>IF(COUNTIFS(Table16[ประเภท],G69,Table16[ฝ่าย],A77,Table16[สัปดาห์แจ้งซ่อม],"4")=0,"-",COUNTIFS(Table16[ประเภท],G69,Table16[ฝ่าย],A77,Table16[สัปดาห์แจ้งซ่อม],"4"))</f>
        <v>-</v>
      </c>
      <c r="H77" s="173" t="str">
        <f>IF(COUNTIFS(Table16[ประเภท],H69,Table16[ฝ่าย],A77,Table16[สัปดาห์แจ้งซ่อม],"4")=0,"-",COUNTIFS(Table16[ประเภท],H69,Table16[ฝ่าย],A77,Table16[สัปดาห์แจ้งซ่อม],"4"))</f>
        <v>-</v>
      </c>
      <c r="I77" s="173" t="str">
        <f>IF(COUNTIFS(Table16[ประเภท],I69,Table16[ฝ่าย],A77,Table16[สัปดาห์แจ้งซ่อม],"4")=0,"-",COUNTIFS(Table16[ประเภท],I69,Table16[ฝ่าย],A77,Table16[สัปดาห์แจ้งซ่อม],"4"))</f>
        <v>-</v>
      </c>
      <c r="J77" s="173" t="str">
        <f>IF(COUNTIFS(Table16[ประเภท],J69,Table16[ฝ่าย],A77,Table16[สัปดาห์แจ้งซ่อม],"4")=0,"-",COUNTIFS(Table16[ประเภท],J69,Table16[ฝ่าย],A77,Table16[สัปดาห์แจ้งซ่อม],"4"))</f>
        <v>-</v>
      </c>
      <c r="K77" s="173" t="str">
        <f>IF(COUNTIFS(Table16[ประเภท],K69,Table16[ฝ่าย],A77,Table16[สัปดาห์แจ้งซ่อม],"4")=0,"-",COUNTIFS(Table16[ประเภท],K69,Table16[ฝ่าย],A77,Table16[สัปดาห์แจ้งซ่อม],"4"))</f>
        <v>-</v>
      </c>
      <c r="L77" s="173" t="str">
        <f>IF(COUNTIFS(Table16[ประเภท],L69,Table16[ฝ่าย],A77,Table16[สัปดาห์แจ้งซ่อม],"4")=0,"-",COUNTIFS(Table16[ประเภท],L69,Table16[ฝ่าย],A77,Table16[สัปดาห์แจ้งซ่อม],"4"))</f>
        <v>-</v>
      </c>
      <c r="M77" s="173" t="str">
        <f>IF(COUNTIFS(Table16[ประเภท],M69,Table16[ฝ่าย],A77,Table16[สัปดาห์แจ้งซ่อม],"4")=0,"-",COUNTIFS(Table16[ประเภท],M69,Table16[ฝ่าย],A77,Table16[สัปดาห์แจ้งซ่อม],"4"))</f>
        <v>-</v>
      </c>
      <c r="N77" s="173" t="str">
        <f>IF(COUNTIFS(Table16[ประเภท],N69,Table16[ฝ่าย],A77,Table16[สัปดาห์แจ้งซ่อม],"4")=0,"-",COUNTIFS(Table16[ประเภท],N69,Table16[ฝ่าย],A77,Table16[สัปดาห์แจ้งซ่อม],"4"))</f>
        <v>-</v>
      </c>
    </row>
    <row r="78" spans="1:14">
      <c r="A78" s="176" t="s">
        <v>77</v>
      </c>
      <c r="B78" s="177">
        <f>COUNTIFS(Table16[ฝ่าย],A78,Table16[สัปดาห์แจ้งซ่อม],4)</f>
        <v>0</v>
      </c>
      <c r="C78" s="178" t="e">
        <f>B78/B84</f>
        <v>#DIV/0!</v>
      </c>
      <c r="D78" s="173" t="str">
        <f>IF(COUNTIFS(Table16[ประเภท],D69,Table16[ฝ่าย],A78,Table16[สัปดาห์แจ้งซ่อม],"4")=0,"-",COUNTIFS(Table16[ประเภท],D69,Table16[ฝ่าย],A78,Table16[สัปดาห์แจ้งซ่อม],"4"))</f>
        <v>-</v>
      </c>
      <c r="E78" s="173" t="str">
        <f>IF(COUNTIFS(Table16[ประเภท],E69,Table16[ฝ่าย],A78,Table16[สัปดาห์แจ้งซ่อม],"4")=0,"-",COUNTIFS(Table16[ประเภท],E69,Table16[ฝ่าย],A78,Table16[สัปดาห์แจ้งซ่อม],"4"))</f>
        <v>-</v>
      </c>
      <c r="F78" s="173" t="str">
        <f>IF(COUNTIFS(Table16[ประเภท],F69,Table16[ฝ่าย],A78,Table16[สัปดาห์แจ้งซ่อม],"4")=0,"-",COUNTIFS(Table16[ประเภท],F69,Table16[ฝ่าย],A78,Table16[สัปดาห์แจ้งซ่อม],"4"))</f>
        <v>-</v>
      </c>
      <c r="G78" s="173" t="str">
        <f>IF(COUNTIFS(Table16[ประเภท],G69,Table16[ฝ่าย],A78,Table16[สัปดาห์แจ้งซ่อม],"4")=0,"-",COUNTIFS(Table16[ประเภท],G69,Table16[ฝ่าย],A78,Table16[สัปดาห์แจ้งซ่อม],"4"))</f>
        <v>-</v>
      </c>
      <c r="H78" s="173" t="str">
        <f>IF(COUNTIFS(Table16[ประเภท],H69,Table16[ฝ่าย],A78,Table16[สัปดาห์แจ้งซ่อม],"4")=0,"-",COUNTIFS(Table16[ประเภท],H69,Table16[ฝ่าย],A78,Table16[สัปดาห์แจ้งซ่อม],"4"))</f>
        <v>-</v>
      </c>
      <c r="I78" s="173" t="str">
        <f>IF(COUNTIFS(Table16[ประเภท],I69,Table16[ฝ่าย],A78,Table16[สัปดาห์แจ้งซ่อม],"4")=0,"-",COUNTIFS(Table16[ประเภท],I69,Table16[ฝ่าย],A78,Table16[สัปดาห์แจ้งซ่อม],"4"))</f>
        <v>-</v>
      </c>
      <c r="J78" s="173" t="str">
        <f>IF(COUNTIFS(Table16[ประเภท],J69,Table16[ฝ่าย],A78,Table16[สัปดาห์แจ้งซ่อม],"4")=0,"-",COUNTIFS(Table16[ประเภท],J69,Table16[ฝ่าย],A78,Table16[สัปดาห์แจ้งซ่อม],"4"))</f>
        <v>-</v>
      </c>
      <c r="K78" s="173" t="str">
        <f>IF(COUNTIFS(Table16[ประเภท],K69,Table16[ฝ่าย],A78,Table16[สัปดาห์แจ้งซ่อม],"4")=0,"-",COUNTIFS(Table16[ประเภท],K69,Table16[ฝ่าย],A78,Table16[สัปดาห์แจ้งซ่อม],"4"))</f>
        <v>-</v>
      </c>
      <c r="L78" s="173" t="str">
        <f>IF(COUNTIFS(Table16[ประเภท],L69,Table16[ฝ่าย],A78,Table16[สัปดาห์แจ้งซ่อม],"4")=0,"-",COUNTIFS(Table16[ประเภท],L69,Table16[ฝ่าย],A78,Table16[สัปดาห์แจ้งซ่อม],"4"))</f>
        <v>-</v>
      </c>
      <c r="M78" s="173" t="str">
        <f>IF(COUNTIFS(Table16[ประเภท],M69,Table16[ฝ่าย],A78,Table16[สัปดาห์แจ้งซ่อม],"4")=0,"-",COUNTIFS(Table16[ประเภท],M69,Table16[ฝ่าย],A78,Table16[สัปดาห์แจ้งซ่อม],"4"))</f>
        <v>-</v>
      </c>
      <c r="N78" s="173" t="str">
        <f>IF(COUNTIFS(Table16[ประเภท],N69,Table16[ฝ่าย],A78,Table16[สัปดาห์แจ้งซ่อม],"4")=0,"-",COUNTIFS(Table16[ประเภท],N69,Table16[ฝ่าย],A78,Table16[สัปดาห์แจ้งซ่อม],"4"))</f>
        <v>-</v>
      </c>
    </row>
    <row r="79" spans="1:14">
      <c r="A79" s="176" t="s">
        <v>78</v>
      </c>
      <c r="B79" s="177">
        <f>COUNTIFS(Table16[ฝ่าย],A79,Table16[สัปดาห์แจ้งซ่อม],4)</f>
        <v>0</v>
      </c>
      <c r="C79" s="179" t="e">
        <f>B79/B84</f>
        <v>#DIV/0!</v>
      </c>
      <c r="D79" s="173" t="str">
        <f>IF(COUNTIFS(Table16[ประเภท],D69,Table16[ฝ่าย],A79,Table16[สัปดาห์แจ้งซ่อม],"4")=0,"-",COUNTIFS(Table16[ประเภท],D69,Table16[ฝ่าย],A79,Table16[สัปดาห์แจ้งซ่อม],"4"))</f>
        <v>-</v>
      </c>
      <c r="E79" s="173" t="str">
        <f>IF(COUNTIFS(Table16[ประเภท],E69,Table16[ฝ่าย],A79,Table16[สัปดาห์แจ้งซ่อม],"4")=0,"-",COUNTIFS(Table16[ประเภท],E69,Table16[ฝ่าย],A79,Table16[สัปดาห์แจ้งซ่อม],"4"))</f>
        <v>-</v>
      </c>
      <c r="F79" s="173" t="str">
        <f>IF(COUNTIFS(Table16[ประเภท],F69,Table16[ฝ่าย],A79,Table16[สัปดาห์แจ้งซ่อม],"4")=0,"-",COUNTIFS(Table16[ประเภท],F69,Table16[ฝ่าย],A79,Table16[สัปดาห์แจ้งซ่อม],"4"))</f>
        <v>-</v>
      </c>
      <c r="G79" s="173" t="str">
        <f>IF(COUNTIFS(Table16[ประเภท],G69,Table16[ฝ่าย],A79,Table16[สัปดาห์แจ้งซ่อม],"4")=0,"-",COUNTIFS(Table16[ประเภท],G69,Table16[ฝ่าย],A79,Table16[สัปดาห์แจ้งซ่อม],"4"))</f>
        <v>-</v>
      </c>
      <c r="H79" s="173" t="str">
        <f>IF(COUNTIFS(Table16[ประเภท],H69,Table16[ฝ่าย],A79,Table16[สัปดาห์แจ้งซ่อม],"4")=0,"-",COUNTIFS(Table16[ประเภท],H69,Table16[ฝ่าย],A79,Table16[สัปดาห์แจ้งซ่อม],"4"))</f>
        <v>-</v>
      </c>
      <c r="I79" s="173" t="str">
        <f>IF(COUNTIFS(Table16[ประเภท],I69,Table16[ฝ่าย],A79,Table16[สัปดาห์แจ้งซ่อม],"4")=0,"-",COUNTIFS(Table16[ประเภท],I69,Table16[ฝ่าย],A79,Table16[สัปดาห์แจ้งซ่อม],"4"))</f>
        <v>-</v>
      </c>
      <c r="J79" s="173" t="str">
        <f>IF(COUNTIFS(Table16[ประเภท],J69,Table16[ฝ่าย],A79,Table16[สัปดาห์แจ้งซ่อม],"4")=0,"-",COUNTIFS(Table16[ประเภท],J69,Table16[ฝ่าย],A79,Table16[สัปดาห์แจ้งซ่อม],"4"))</f>
        <v>-</v>
      </c>
      <c r="K79" s="173" t="str">
        <f>IF(COUNTIFS(Table16[ประเภท],K69,Table16[ฝ่าย],A79,Table16[สัปดาห์แจ้งซ่อม],"4")=0,"-",COUNTIFS(Table16[ประเภท],K69,Table16[ฝ่าย],A79,Table16[สัปดาห์แจ้งซ่อม],"4"))</f>
        <v>-</v>
      </c>
      <c r="L79" s="173" t="str">
        <f>IF(COUNTIFS(Table16[ประเภท],L69,Table16[ฝ่าย],A79,Table16[สัปดาห์แจ้งซ่อม],"4")=0,"-",COUNTIFS(Table16[ประเภท],L69,Table16[ฝ่าย],A79,Table16[สัปดาห์แจ้งซ่อม],"4"))</f>
        <v>-</v>
      </c>
      <c r="M79" s="173" t="str">
        <f>IF(COUNTIFS(Table16[ประเภท],M69,Table16[ฝ่าย],A79,Table16[สัปดาห์แจ้งซ่อม],"4")=0,"-",COUNTIFS(Table16[ประเภท],M69,Table16[ฝ่าย],A79,Table16[สัปดาห์แจ้งซ่อม],"4"))</f>
        <v>-</v>
      </c>
      <c r="N79" s="173" t="str">
        <f>IF(COUNTIFS(Table16[ประเภท],N69,Table16[ฝ่าย],A79,Table16[สัปดาห์แจ้งซ่อม],"4")=0,"-",COUNTIFS(Table16[ประเภท],N69,Table16[ฝ่าย],A79,Table16[สัปดาห์แจ้งซ่อม],"4"))</f>
        <v>-</v>
      </c>
    </row>
    <row r="80" spans="1:14">
      <c r="A80" s="176" t="s">
        <v>79</v>
      </c>
      <c r="B80" s="177">
        <f>COUNTIFS(Table16[ฝ่าย],A80,Table16[สัปดาห์แจ้งซ่อม],4)</f>
        <v>0</v>
      </c>
      <c r="C80" s="179" t="e">
        <f>B80/B84</f>
        <v>#DIV/0!</v>
      </c>
      <c r="D80" s="173" t="str">
        <f>IF(COUNTIFS(Table16[ประเภท],D69,Table16[ฝ่าย],A80,Table16[สัปดาห์แจ้งซ่อม],"4")=0,"-",COUNTIFS(Table16[ประเภท],D69,Table16[ฝ่าย],A80,Table16[สัปดาห์แจ้งซ่อม],"4"))</f>
        <v>-</v>
      </c>
      <c r="E80" s="173" t="str">
        <f>IF(COUNTIFS(Table16[ประเภท],E69,Table16[ฝ่าย],A80,Table16[สัปดาห์แจ้งซ่อม],"4")=0,"-",COUNTIFS(Table16[ประเภท],E69,Table16[ฝ่าย],A80,Table16[สัปดาห์แจ้งซ่อม],"4"))</f>
        <v>-</v>
      </c>
      <c r="F80" s="173" t="str">
        <f>IF(COUNTIFS(Table16[ประเภท],F69,Table16[ฝ่าย],A80,Table16[สัปดาห์แจ้งซ่อม],"4")=0,"-",COUNTIFS(Table16[ประเภท],F69,Table16[ฝ่าย],A80,Table16[สัปดาห์แจ้งซ่อม],"4"))</f>
        <v>-</v>
      </c>
      <c r="G80" s="173" t="str">
        <f>IF(COUNTIFS(Table16[ประเภท],G69,Table16[ฝ่าย],A80,Table16[สัปดาห์แจ้งซ่อม],"4")=0,"-",COUNTIFS(Table16[ประเภท],G69,Table16[ฝ่าย],A80,Table16[สัปดาห์แจ้งซ่อม],"4"))</f>
        <v>-</v>
      </c>
      <c r="H80" s="173" t="str">
        <f>IF(COUNTIFS(Table16[ประเภท],H69,Table16[ฝ่าย],A80,Table16[สัปดาห์แจ้งซ่อม],"4")=0,"-",COUNTIFS(Table16[ประเภท],H69,Table16[ฝ่าย],A80,Table16[สัปดาห์แจ้งซ่อม],"4"))</f>
        <v>-</v>
      </c>
      <c r="I80" s="173" t="str">
        <f>IF(COUNTIFS(Table16[ประเภท],I69,Table16[ฝ่าย],A80,Table16[สัปดาห์แจ้งซ่อม],"4")=0,"-",COUNTIFS(Table16[ประเภท],I69,Table16[ฝ่าย],A80,Table16[สัปดาห์แจ้งซ่อม],"4"))</f>
        <v>-</v>
      </c>
      <c r="J80" s="173" t="str">
        <f>IF(COUNTIFS(Table16[ประเภท],J69,Table16[ฝ่าย],A80,Table16[สัปดาห์แจ้งซ่อม],"4")=0,"-",COUNTIFS(Table16[ประเภท],J69,Table16[ฝ่าย],A80,Table16[สัปดาห์แจ้งซ่อม],"4"))</f>
        <v>-</v>
      </c>
      <c r="K80" s="173" t="str">
        <f>IF(COUNTIFS(Table16[ประเภท],K69,Table16[ฝ่าย],A80,Table16[สัปดาห์แจ้งซ่อม],"4")=0,"-",COUNTIFS(Table16[ประเภท],K69,Table16[ฝ่าย],A80,Table16[สัปดาห์แจ้งซ่อม],"4"))</f>
        <v>-</v>
      </c>
      <c r="L80" s="173" t="str">
        <f>IF(COUNTIFS(Table16[ประเภท],L69,Table16[ฝ่าย],A80,Table16[สัปดาห์แจ้งซ่อม],"4")=0,"-",COUNTIFS(Table16[ประเภท],L69,Table16[ฝ่าย],A80,Table16[สัปดาห์แจ้งซ่อม],"4"))</f>
        <v>-</v>
      </c>
      <c r="M80" s="173" t="str">
        <f>IF(COUNTIFS(Table16[ประเภท],M69,Table16[ฝ่าย],A80,Table16[สัปดาห์แจ้งซ่อม],"4")=0,"-",COUNTIFS(Table16[ประเภท],M69,Table16[ฝ่าย],A80,Table16[สัปดาห์แจ้งซ่อม],"4"))</f>
        <v>-</v>
      </c>
      <c r="N80" s="173" t="str">
        <f>IF(COUNTIFS(Table16[ประเภท],N69,Table16[ฝ่าย],A80,Table16[สัปดาห์แจ้งซ่อม],"4")=0,"-",COUNTIFS(Table16[ประเภท],N69,Table16[ฝ่าย],A80,Table16[สัปดาห์แจ้งซ่อม],"4"))</f>
        <v>-</v>
      </c>
    </row>
    <row r="81" spans="1:14">
      <c r="A81" s="176" t="s">
        <v>80</v>
      </c>
      <c r="B81" s="177">
        <f>COUNTIFS(Table16[ฝ่าย],A81,Table16[สัปดาห์แจ้งซ่อม],4)</f>
        <v>0</v>
      </c>
      <c r="C81" s="179" t="e">
        <f>B81/B84</f>
        <v>#DIV/0!</v>
      </c>
      <c r="D81" s="173" t="str">
        <f>IF(COUNTIFS(Table16[ประเภท],D69,Table16[ฝ่าย],A81,Table16[สัปดาห์แจ้งซ่อม],"4")=0,"-",COUNTIFS(Table16[ประเภท],D69,Table16[ฝ่าย],A81,Table16[สัปดาห์แจ้งซ่อม],"4"))</f>
        <v>-</v>
      </c>
      <c r="E81" s="173" t="str">
        <f>IF(COUNTIFS(Table16[ประเภท],E69,Table16[ฝ่าย],A81,Table16[สัปดาห์แจ้งซ่อม],"4")=0,"-",COUNTIFS(Table16[ประเภท],E69,Table16[ฝ่าย],A81,Table16[สัปดาห์แจ้งซ่อม],"4"))</f>
        <v>-</v>
      </c>
      <c r="F81" s="173" t="str">
        <f>IF(COUNTIFS(Table16[ประเภท],F69,Table16[ฝ่าย],A81,Table16[สัปดาห์แจ้งซ่อม],"4")=0,"-",COUNTIFS(Table16[ประเภท],F69,Table16[ฝ่าย],A81,Table16[สัปดาห์แจ้งซ่อม],"4"))</f>
        <v>-</v>
      </c>
      <c r="G81" s="173" t="str">
        <f>IF(COUNTIFS(Table16[ประเภท],G69,Table16[ฝ่าย],A81,Table16[สัปดาห์แจ้งซ่อม],"4")=0,"-",COUNTIFS(Table16[ประเภท],G69,Table16[ฝ่าย],A81,Table16[สัปดาห์แจ้งซ่อม],"4"))</f>
        <v>-</v>
      </c>
      <c r="H81" s="173" t="str">
        <f>IF(COUNTIFS(Table16[ประเภท],H69,Table16[ฝ่าย],A81,Table16[สัปดาห์แจ้งซ่อม],"4")=0,"-",COUNTIFS(Table16[ประเภท],H69,Table16[ฝ่าย],A81,Table16[สัปดาห์แจ้งซ่อม],"4"))</f>
        <v>-</v>
      </c>
      <c r="I81" s="173" t="str">
        <f>IF(COUNTIFS(Table16[ประเภท],I69,Table16[ฝ่าย],A81,Table16[สัปดาห์แจ้งซ่อม],"4")=0,"-",COUNTIFS(Table16[ประเภท],I69,Table16[ฝ่าย],A81,Table16[สัปดาห์แจ้งซ่อม],"4"))</f>
        <v>-</v>
      </c>
      <c r="J81" s="173" t="str">
        <f>IF(COUNTIFS(Table16[ประเภท],J69,Table16[ฝ่าย],A81,Table16[สัปดาห์แจ้งซ่อม],"4")=0,"-",COUNTIFS(Table16[ประเภท],J69,Table16[ฝ่าย],A81,Table16[สัปดาห์แจ้งซ่อม],"4"))</f>
        <v>-</v>
      </c>
      <c r="K81" s="173" t="str">
        <f>IF(COUNTIFS(Table16[ประเภท],K69,Table16[ฝ่าย],A81,Table16[สัปดาห์แจ้งซ่อม],"4")=0,"-",COUNTIFS(Table16[ประเภท],K69,Table16[ฝ่าย],A81,Table16[สัปดาห์แจ้งซ่อม],"4"))</f>
        <v>-</v>
      </c>
      <c r="L81" s="173" t="str">
        <f>IF(COUNTIFS(Table16[ประเภท],L69,Table16[ฝ่าย],A81,Table16[สัปดาห์แจ้งซ่อม],"4")=0,"-",COUNTIFS(Table16[ประเภท],L69,Table16[ฝ่าย],A81,Table16[สัปดาห์แจ้งซ่อม],"4"))</f>
        <v>-</v>
      </c>
      <c r="M81" s="173" t="str">
        <f>IF(COUNTIFS(Table16[ประเภท],M69,Table16[ฝ่าย],A81,Table16[สัปดาห์แจ้งซ่อม],"4")=0,"-",COUNTIFS(Table16[ประเภท],M69,Table16[ฝ่าย],A81,Table16[สัปดาห์แจ้งซ่อม],"4"))</f>
        <v>-</v>
      </c>
      <c r="N81" s="173" t="str">
        <f>IF(COUNTIFS(Table16[ประเภท],N69,Table16[ฝ่าย],A81,Table16[สัปดาห์แจ้งซ่อม],"4")=0,"-",COUNTIFS(Table16[ประเภท],N69,Table16[ฝ่าย],A81,Table16[สัปดาห์แจ้งซ่อม],"4"))</f>
        <v>-</v>
      </c>
    </row>
    <row r="82" spans="1:14">
      <c r="A82" s="176" t="s">
        <v>81</v>
      </c>
      <c r="B82" s="177">
        <f>COUNTIFS(Table16[ฝ่าย],A82,Table16[สัปดาห์แจ้งซ่อม],4)</f>
        <v>0</v>
      </c>
      <c r="C82" s="179" t="e">
        <f>B82/B84</f>
        <v>#DIV/0!</v>
      </c>
      <c r="D82" s="173" t="str">
        <f>IF(COUNTIFS(Table16[ประเภท],D69,Table16[ฝ่าย],A82,Table16[สัปดาห์แจ้งซ่อม],"4")=0,"-",COUNTIFS(Table16[ประเภท],D69,Table16[ฝ่าย],A79,Table16[สัปดาห์แจ้งซ่อม],"4"))</f>
        <v>-</v>
      </c>
      <c r="E82" s="173" t="str">
        <f>IF(COUNTIFS(Table16[ประเภท],E69,Table16[ฝ่าย],A82,Table16[สัปดาห์แจ้งซ่อม],"4")=0,"-",COUNTIFS(Table16[ประเภท],E69,Table16[ฝ่าย],A79,Table16[สัปดาห์แจ้งซ่อม],"4"))</f>
        <v>-</v>
      </c>
      <c r="F82" s="173" t="str">
        <f>IF(COUNTIFS(Table16[ประเภท],F69,Table16[ฝ่าย],A82,Table16[สัปดาห์แจ้งซ่อม],"4")=0,"-",COUNTIFS(Table16[ประเภท],F69,Table16[ฝ่าย],A82,Table16[สัปดาห์แจ้งซ่อม],"4"))</f>
        <v>-</v>
      </c>
      <c r="G82" s="173" t="str">
        <f>IF(COUNTIFS(Table16[ประเภท],G69,Table16[ฝ่าย],A82,Table16[สัปดาห์แจ้งซ่อม],"4")=0,"-",COUNTIFS(Table16[ประเภท],G69,Table16[ฝ่าย],A82,Table16[สัปดาห์แจ้งซ่อม],"4"))</f>
        <v>-</v>
      </c>
      <c r="H82" s="173" t="str">
        <f>IF(COUNTIFS(Table16[ประเภท],H69,Table16[ฝ่าย],A82,Table16[สัปดาห์แจ้งซ่อม],"4")=0,"-",COUNTIFS(Table16[ประเภท],H69,Table16[ฝ่าย],A82,Table16[สัปดาห์แจ้งซ่อม],"4"))</f>
        <v>-</v>
      </c>
      <c r="I82" s="173" t="str">
        <f>IF(COUNTIFS(Table16[ประเภท],I69,Table16[ฝ่าย],A82,Table16[สัปดาห์แจ้งซ่อม],"4")=0,"-",COUNTIFS(Table16[ประเภท],I69,Table16[ฝ่าย],A82,Table16[สัปดาห์แจ้งซ่อม],"4"))</f>
        <v>-</v>
      </c>
      <c r="J82" s="173" t="str">
        <f>IF(COUNTIFS(Table16[ประเภท],J69,Table16[ฝ่าย],A82,Table16[สัปดาห์แจ้งซ่อม],"4")=0,"-",COUNTIFS(Table16[ประเภท],J69,Table16[ฝ่าย],A82,Table16[สัปดาห์แจ้งซ่อม],"4"))</f>
        <v>-</v>
      </c>
      <c r="K82" s="173" t="str">
        <f>IF(COUNTIFS(Table16[ประเภท],K69,Table16[ฝ่าย],A82,Table16[สัปดาห์แจ้งซ่อม],"4")=0,"-",COUNTIFS(Table16[ประเภท],K69,Table16[ฝ่าย],A82,Table16[สัปดาห์แจ้งซ่อม],"4"))</f>
        <v>-</v>
      </c>
      <c r="L82" s="173" t="str">
        <f>IF(COUNTIFS(Table16[ประเภท],L69,Table16[ฝ่าย],A82,Table16[สัปดาห์แจ้งซ่อม],"4")=0,"-",COUNTIFS(Table16[ประเภท],L69,Table16[ฝ่าย],A82,Table16[สัปดาห์แจ้งซ่อม],"4"))</f>
        <v>-</v>
      </c>
      <c r="M82" s="173" t="str">
        <f>IF(COUNTIFS(Table16[ประเภท],M69,Table16[ฝ่าย],A82,Table16[สัปดาห์แจ้งซ่อม],"4")=0,"-",COUNTIFS(Table16[ประเภท],M69,Table16[ฝ่าย],A82,Table16[สัปดาห์แจ้งซ่อม],"4"))</f>
        <v>-</v>
      </c>
      <c r="N82" s="173" t="str">
        <f>IF(COUNTIFS(Table16[ประเภท],N69,Table16[ฝ่าย],A82,Table16[สัปดาห์แจ้งซ่อม],"4")=0,"-",COUNTIFS(Table16[ประเภท],N69,Table16[ฝ่าย],A82,Table16[สัปดาห์แจ้งซ่อม],"4"))</f>
        <v>-</v>
      </c>
    </row>
    <row r="83" spans="1:14">
      <c r="A83" s="176" t="s">
        <v>171</v>
      </c>
      <c r="B83" s="177">
        <f>COUNTIFS(Table16[ฝ่าย],A83,Table16[สัปดาห์แจ้งซ่อม],4)</f>
        <v>0</v>
      </c>
      <c r="C83" s="179" t="e">
        <f>B83/B84</f>
        <v>#DIV/0!</v>
      </c>
      <c r="D83" s="173" t="str">
        <f>IF(COUNTIFS(Table16[ประเภท],D69,Table16[ฝ่าย],A83,Table16[สัปดาห์แจ้งซ่อม],"4")=0,"-",COUNTIFS(Table16[ประเภท],D69,Table16[ฝ่าย],A83,Table16[สัปดาห์แจ้งซ่อม],"4"))</f>
        <v>-</v>
      </c>
      <c r="E83" s="173" t="str">
        <f>IF(COUNTIFS(Table16[ประเภท],E69,Table16[ฝ่าย],A83,Table16[สัปดาห์แจ้งซ่อม],"4")=0,"-",COUNTIFS(Table16[ประเภท],E69,Table16[ฝ่าย],A83,Table16[สัปดาห์แจ้งซ่อม],"4"))</f>
        <v>-</v>
      </c>
      <c r="F83" s="173" t="str">
        <f>IF(COUNTIFS(Table16[ประเภท],F69,Table16[ฝ่าย],A83,Table16[สัปดาห์แจ้งซ่อม],"4")=0,"-",COUNTIFS(Table16[ประเภท],F69,Table16[ฝ่าย],A83,Table16[สัปดาห์แจ้งซ่อม],"4"))</f>
        <v>-</v>
      </c>
      <c r="G83" s="173" t="str">
        <f>IF(COUNTIFS(Table16[ประเภท],G69,Table16[ฝ่าย],A83,Table16[สัปดาห์แจ้งซ่อม],"4")=0,"-",COUNTIFS(Table16[ประเภท],G69,Table16[ฝ่าย],A83,Table16[สัปดาห์แจ้งซ่อม],"4"))</f>
        <v>-</v>
      </c>
      <c r="H83" s="173" t="str">
        <f>IF(COUNTIFS(Table16[ประเภท],H69,Table16[ฝ่าย],A83,Table16[สัปดาห์แจ้งซ่อม],"4")=0,"-",COUNTIFS(Table16[ประเภท],H69,Table16[ฝ่าย],A83,Table16[สัปดาห์แจ้งซ่อม],"4"))</f>
        <v>-</v>
      </c>
      <c r="I83" s="173" t="str">
        <f>IF(COUNTIFS(Table16[ประเภท],I69,Table16[ฝ่าย],A83,Table16[สัปดาห์แจ้งซ่อม],"4")=0,"-",COUNTIFS(Table16[ประเภท],I69,Table16[ฝ่าย],A83,Table16[สัปดาห์แจ้งซ่อม],"4"))</f>
        <v>-</v>
      </c>
      <c r="J83" s="173" t="str">
        <f>IF(COUNTIFS(Table16[ประเภท],J69,Table16[ฝ่าย],A83,Table16[สัปดาห์แจ้งซ่อม],"4")=0,"-",COUNTIFS(Table16[ประเภท],J69,Table16[ฝ่าย],A83,Table16[สัปดาห์แจ้งซ่อม],"4"))</f>
        <v>-</v>
      </c>
      <c r="K83" s="173" t="str">
        <f>IF(COUNTIFS(Table16[ประเภท],K69,Table16[ฝ่าย],A83,Table16[สัปดาห์แจ้งซ่อม],"4")=0,"-",COUNTIFS(Table16[ประเภท],K69,Table16[ฝ่าย],A83,Table16[สัปดาห์แจ้งซ่อม],"4"))</f>
        <v>-</v>
      </c>
      <c r="L83" s="173" t="str">
        <f>IF(COUNTIFS(Table16[ประเภท],L69,Table16[ฝ่าย],A83,Table16[สัปดาห์แจ้งซ่อม],"4")=0,"-",COUNTIFS(Table16[ประเภท],L69,Table16[ฝ่าย],A83,Table16[สัปดาห์แจ้งซ่อม],"4"))</f>
        <v>-</v>
      </c>
      <c r="M83" s="173" t="str">
        <f>IF(COUNTIFS(Table16[ประเภท],M69,Table16[ฝ่าย],A83,Table16[สัปดาห์แจ้งซ่อม],"4")=0,"-",COUNTIFS(Table16[ประเภท],M69,Table16[ฝ่าย],A83,Table16[สัปดาห์แจ้งซ่อม],"4"))</f>
        <v>-</v>
      </c>
      <c r="N83" s="173" t="str">
        <f>IF(COUNTIFS(Table16[ประเภท],N69,Table16[ฝ่าย],A83,Table16[สัปดาห์แจ้งซ่อม],"4")=0,"-",COUNTIFS(Table16[ประเภท],N69,Table16[ฝ่าย],A83,Table16[สัปดาห์แจ้งซ่อม],"4"))</f>
        <v>-</v>
      </c>
    </row>
    <row r="84" spans="1:14">
      <c r="A84" s="180" t="s">
        <v>82</v>
      </c>
      <c r="B84" s="181">
        <f>SUM(B70:B83)</f>
        <v>0</v>
      </c>
      <c r="C84" s="182" t="e">
        <f t="shared" ref="C84" si="24">SUM(C70:C82)</f>
        <v>#DIV/0!</v>
      </c>
      <c r="D84" s="181">
        <f>SUM(D70:D83)</f>
        <v>0</v>
      </c>
      <c r="E84" s="181">
        <f t="shared" ref="E84" si="25">SUM(E70:E83)</f>
        <v>0</v>
      </c>
      <c r="F84" s="181">
        <f t="shared" ref="F84" si="26">SUM(F70:F83)</f>
        <v>0</v>
      </c>
      <c r="G84" s="181">
        <f t="shared" ref="G84" si="27">SUM(G70:G83)</f>
        <v>0</v>
      </c>
      <c r="H84" s="181">
        <f t="shared" ref="H84" si="28">SUM(H70:H83)</f>
        <v>0</v>
      </c>
      <c r="I84" s="181">
        <f t="shared" ref="I84" si="29">SUM(I70:I83)</f>
        <v>0</v>
      </c>
      <c r="J84" s="181">
        <f t="shared" ref="J84" si="30">SUM(J70:J83)</f>
        <v>0</v>
      </c>
      <c r="K84" s="181">
        <f t="shared" ref="K84" si="31">SUM(K70:K83)</f>
        <v>0</v>
      </c>
      <c r="L84" s="181">
        <f t="shared" ref="L84" si="32">SUM(L70:L83)</f>
        <v>0</v>
      </c>
      <c r="M84" s="181">
        <f t="shared" ref="M84" si="33">SUM(M70:M83)</f>
        <v>0</v>
      </c>
      <c r="N84" s="181">
        <f t="shared" ref="N84" si="34">SUM(N70:N83)</f>
        <v>0</v>
      </c>
    </row>
    <row r="85" spans="1:14">
      <c r="A85" s="183" t="s">
        <v>83</v>
      </c>
      <c r="B85" s="184">
        <f>COUNTIFS(Table16[สถานะ],"เรียบร้อย",Table16[สัปดาห์แจ้งซ่อม],2)</f>
        <v>4</v>
      </c>
      <c r="C85" s="185"/>
      <c r="D85" s="76"/>
      <c r="E85" s="76"/>
      <c r="F85" s="76"/>
      <c r="G85" s="76"/>
      <c r="H85" s="76"/>
      <c r="I85" s="76"/>
      <c r="J85" s="76"/>
      <c r="K85" s="76"/>
      <c r="L85" s="76"/>
    </row>
    <row r="86" spans="1:14">
      <c r="A86" s="186" t="s">
        <v>84</v>
      </c>
      <c r="B86" s="187">
        <f>COUNTIFS(Table16[สถานะ],"กำลังดำเนินการ",Table16[สัปดาห์แจ้งซ่อม],2)</f>
        <v>4</v>
      </c>
      <c r="C86" s="185"/>
      <c r="D86" s="76"/>
      <c r="E86" s="76"/>
      <c r="F86" s="76"/>
      <c r="G86" s="76"/>
      <c r="H86" s="76"/>
      <c r="I86" s="76"/>
      <c r="J86" s="76"/>
      <c r="K86" s="76"/>
      <c r="L86" s="76"/>
    </row>
    <row r="87" spans="1:14">
      <c r="A87" s="188" t="s">
        <v>3</v>
      </c>
      <c r="B87" s="189">
        <f>COUNTIFS(Table16[สถานะ],"รอดำเนินการ",Table16[สัปดาห์แจ้งซ่อม],2)</f>
        <v>4</v>
      </c>
      <c r="C87" s="185"/>
      <c r="D87" s="76"/>
      <c r="E87" s="76"/>
      <c r="F87" s="76"/>
      <c r="G87" s="76"/>
      <c r="H87" s="76"/>
      <c r="I87" s="76"/>
      <c r="J87" s="76"/>
      <c r="K87" s="76"/>
      <c r="L87" s="76"/>
    </row>
    <row r="88" spans="1:14" ht="15.6">
      <c r="A88" s="190" t="s">
        <v>85</v>
      </c>
      <c r="B88" s="191">
        <f>COUNTIFS(Table16[สถานะ],"โอนย้าย",Table16[สัปดาห์แจ้งซ่อม],2)</f>
        <v>0</v>
      </c>
      <c r="C88" s="192"/>
    </row>
  </sheetData>
  <mergeCells count="20">
    <mergeCell ref="A1:N1"/>
    <mergeCell ref="A23:N23"/>
    <mergeCell ref="D24:N24"/>
    <mergeCell ref="A45:N45"/>
    <mergeCell ref="D2:O2"/>
    <mergeCell ref="D46:N46"/>
    <mergeCell ref="A67:N67"/>
    <mergeCell ref="D68:N68"/>
    <mergeCell ref="A2:A3"/>
    <mergeCell ref="A24:A25"/>
    <mergeCell ref="A46:A47"/>
    <mergeCell ref="A68:A69"/>
    <mergeCell ref="B2:B3"/>
    <mergeCell ref="B24:B25"/>
    <mergeCell ref="B46:B47"/>
    <mergeCell ref="B68:B69"/>
    <mergeCell ref="C2:C3"/>
    <mergeCell ref="C24:C25"/>
    <mergeCell ref="C46:C47"/>
    <mergeCell ref="C68:C69"/>
  </mergeCells>
  <conditionalFormatting sqref="B4:B1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{7ED3F309-3156-42FA-B672-C2D2E420F76D}</x14:id>
        </ext>
      </extLst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{52F9644C-8A10-47F9-B729-63565BF01118}</x14:id>
        </ext>
      </extLst>
    </cfRule>
  </conditionalFormatting>
  <conditionalFormatting sqref="B26:B39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{ED9D6A65-A42E-492F-A3B0-A3EBBF14B13D}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{3774002A-A5A1-4692-9886-745C64BED76A}</x14:id>
        </ext>
      </extLst>
    </cfRule>
  </conditionalFormatting>
  <conditionalFormatting sqref="B48:B6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{BAADE19E-BF4E-4A99-A2CE-5654F18802C2}</x14:id>
        </ext>
      </extLst>
    </cfRule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{C24CE843-0F7F-4C54-8FBD-D69013ECC1EE}</x14:id>
        </ext>
      </extLst>
    </cfRule>
  </conditionalFormatting>
  <conditionalFormatting sqref="B70:B8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{08B06069-49F0-4678-8378-5E42E33D2C5E}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{CBB200DB-CB5C-4980-BF29-D37AC4D4791F}</x14:id>
        </ext>
      </extLst>
    </cfRule>
  </conditionalFormatting>
  <pageMargins left="0.7" right="0.7" top="0.75" bottom="0.75" header="0.3" footer="0.3"/>
  <ignoredErrors>
    <ignoredError sqref="C40 M5 C18:D18 I5:J5 G5 F8" formula="1"/>
  </ignoredErrors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D3F309-3156-42FA-B672-C2D2E420F7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2F9644C-8A10-47F9-B729-63565BF011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B4:B17</xm:sqref>
        </x14:conditionalFormatting>
        <x14:conditionalFormatting xmlns:xm="http://schemas.microsoft.com/office/excel/2006/main">
          <x14:cfRule type="dataBar" id="{ED9D6A65-A42E-492F-A3B0-A3EBBF14B1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774002A-A5A1-4692-9886-745C64BED7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B26:B39</xm:sqref>
        </x14:conditionalFormatting>
        <x14:conditionalFormatting xmlns:xm="http://schemas.microsoft.com/office/excel/2006/main">
          <x14:cfRule type="dataBar" id="{BAADE19E-BF4E-4A99-A2CE-5654F18802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24CE843-0F7F-4C54-8FBD-D69013ECC1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B48:B61</xm:sqref>
        </x14:conditionalFormatting>
        <x14:conditionalFormatting xmlns:xm="http://schemas.microsoft.com/office/excel/2006/main">
          <x14:cfRule type="dataBar" id="{08B06069-49F0-4678-8378-5E42E33D2C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BB200DB-CB5C-4980-BF29-D37AC4D479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B70:B83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57D3FF"/>
  </sheetPr>
  <dimension ref="A1:U99"/>
  <sheetViews>
    <sheetView topLeftCell="C80" workbookViewId="0">
      <selection activeCell="K87" sqref="K87"/>
    </sheetView>
  </sheetViews>
  <sheetFormatPr defaultColWidth="9" defaultRowHeight="14.4"/>
  <cols>
    <col min="1" max="1" width="16.44140625" customWidth="1"/>
    <col min="2" max="2" width="12.109375" customWidth="1"/>
    <col min="4" max="4" width="12.6640625" customWidth="1"/>
    <col min="5" max="5" width="11.109375" customWidth="1"/>
    <col min="6" max="6" width="10.21875" customWidth="1"/>
    <col min="7" max="7" width="12.6640625" customWidth="1"/>
    <col min="10" max="10" width="6.44140625" customWidth="1"/>
    <col min="11" max="11" width="13" customWidth="1"/>
    <col min="12" max="12" width="15.33203125" customWidth="1"/>
    <col min="13" max="13" width="10.88671875" customWidth="1"/>
    <col min="14" max="14" width="17.88671875" customWidth="1"/>
    <col min="15" max="15" width="10.33203125" customWidth="1"/>
    <col min="17" max="17" width="11.88671875" customWidth="1"/>
    <col min="18" max="18" width="11" customWidth="1"/>
    <col min="21" max="21" width="12.44140625" customWidth="1"/>
  </cols>
  <sheetData>
    <row r="1" spans="1:21" ht="15">
      <c r="A1" s="139" t="s">
        <v>0</v>
      </c>
      <c r="B1" s="140" t="s">
        <v>1</v>
      </c>
      <c r="C1" s="140" t="s">
        <v>2</v>
      </c>
      <c r="D1" s="140" t="s">
        <v>3</v>
      </c>
      <c r="E1" s="141" t="s">
        <v>4</v>
      </c>
      <c r="J1" s="142"/>
      <c r="K1" s="143" t="s">
        <v>0</v>
      </c>
      <c r="L1" s="144" t="s">
        <v>5</v>
      </c>
      <c r="M1" s="481" t="s">
        <v>6</v>
      </c>
      <c r="N1" s="482"/>
      <c r="O1" s="145"/>
      <c r="P1" s="145"/>
      <c r="Q1" s="145"/>
    </row>
    <row r="2" spans="1:21" ht="15">
      <c r="A2" s="135" t="s">
        <v>7</v>
      </c>
      <c r="B2" s="136">
        <v>102</v>
      </c>
      <c r="C2" s="146">
        <v>102</v>
      </c>
      <c r="D2" s="147" cm="1">
        <f t="array" ref="D2">SUM(B2:B13-C2:C13)</f>
        <v>69</v>
      </c>
      <c r="E2" s="148">
        <f>SUM(B2:B13)</f>
        <v>459</v>
      </c>
      <c r="J2" s="142"/>
      <c r="K2" s="149" t="s">
        <v>7</v>
      </c>
      <c r="L2" s="150">
        <v>0</v>
      </c>
      <c r="M2" s="142"/>
      <c r="N2" s="142"/>
      <c r="O2" s="145"/>
      <c r="P2" s="145"/>
      <c r="Q2" s="145"/>
    </row>
    <row r="3" spans="1:21" ht="15">
      <c r="A3" s="135" t="s">
        <v>8</v>
      </c>
      <c r="B3" s="136">
        <v>105</v>
      </c>
      <c r="C3" s="146">
        <v>105</v>
      </c>
      <c r="D3" s="105"/>
      <c r="E3" s="105"/>
      <c r="J3" s="142"/>
      <c r="K3" s="149" t="s">
        <v>8</v>
      </c>
      <c r="L3" s="151">
        <v>23628</v>
      </c>
      <c r="M3" s="152" t="s">
        <v>9</v>
      </c>
      <c r="N3" s="142"/>
      <c r="O3" s="145"/>
      <c r="P3" s="145"/>
      <c r="Q3" s="145"/>
    </row>
    <row r="4" spans="1:21" ht="15">
      <c r="A4" s="135" t="s">
        <v>10</v>
      </c>
      <c r="B4" s="136">
        <v>51</v>
      </c>
      <c r="C4" s="146">
        <v>51</v>
      </c>
      <c r="D4" s="105"/>
      <c r="E4" s="105"/>
      <c r="J4" s="142"/>
      <c r="K4" s="149" t="s">
        <v>10</v>
      </c>
      <c r="L4" s="150">
        <v>360</v>
      </c>
      <c r="M4" s="142" t="s">
        <v>11</v>
      </c>
      <c r="N4" s="142"/>
      <c r="O4" s="145"/>
      <c r="P4" s="145"/>
      <c r="Q4" s="145"/>
    </row>
    <row r="5" spans="1:21" ht="15">
      <c r="A5" s="135" t="s">
        <v>12</v>
      </c>
      <c r="B5" s="136">
        <v>81</v>
      </c>
      <c r="C5" s="146">
        <v>50</v>
      </c>
      <c r="D5" s="105"/>
      <c r="E5" s="105"/>
      <c r="J5" s="142"/>
      <c r="K5" s="149" t="s">
        <v>12</v>
      </c>
      <c r="L5" s="150">
        <v>4127.57</v>
      </c>
      <c r="M5" s="142"/>
      <c r="N5" s="142"/>
      <c r="O5" s="145"/>
      <c r="P5" s="145"/>
      <c r="Q5" s="145"/>
    </row>
    <row r="6" spans="1:21" ht="15">
      <c r="A6" s="135" t="s">
        <v>13</v>
      </c>
      <c r="B6" s="136">
        <f>70+50</f>
        <v>120</v>
      </c>
      <c r="C6" s="146">
        <v>82</v>
      </c>
      <c r="D6" s="105"/>
      <c r="E6" s="105"/>
      <c r="J6" s="142"/>
      <c r="K6" s="149" t="s">
        <v>13</v>
      </c>
      <c r="L6" s="150">
        <v>0</v>
      </c>
      <c r="M6" s="142"/>
      <c r="N6" s="142"/>
      <c r="O6" s="145"/>
      <c r="P6" s="145"/>
      <c r="Q6" s="145"/>
    </row>
    <row r="7" spans="1:21" ht="15">
      <c r="A7" s="135" t="s">
        <v>14</v>
      </c>
      <c r="B7" s="136"/>
      <c r="C7" s="146"/>
      <c r="D7" s="105"/>
      <c r="E7" s="105"/>
      <c r="J7" s="142"/>
      <c r="K7" s="149" t="s">
        <v>14</v>
      </c>
      <c r="L7" s="150"/>
      <c r="M7" s="142"/>
      <c r="N7" s="142"/>
      <c r="O7" s="145"/>
      <c r="P7" s="145"/>
      <c r="Q7" s="145"/>
    </row>
    <row r="8" spans="1:21" ht="15">
      <c r="A8" s="135" t="s">
        <v>15</v>
      </c>
      <c r="B8" s="136"/>
      <c r="C8" s="146"/>
      <c r="D8" s="105"/>
      <c r="E8" s="105"/>
      <c r="J8" s="142"/>
      <c r="K8" s="149" t="s">
        <v>15</v>
      </c>
      <c r="L8" s="150"/>
      <c r="M8" s="142"/>
      <c r="N8" s="142"/>
      <c r="O8" s="145"/>
      <c r="P8" s="145"/>
      <c r="Q8" s="145"/>
    </row>
    <row r="9" spans="1:21" ht="15">
      <c r="A9" s="135" t="s">
        <v>16</v>
      </c>
      <c r="B9" s="136"/>
      <c r="C9" s="146"/>
      <c r="D9" s="153"/>
      <c r="E9" s="105"/>
      <c r="J9" s="142"/>
      <c r="K9" s="149" t="s">
        <v>16</v>
      </c>
      <c r="L9" s="150"/>
      <c r="M9" s="142"/>
      <c r="N9" s="142"/>
      <c r="O9" s="145"/>
      <c r="P9" s="145"/>
      <c r="Q9" s="145"/>
    </row>
    <row r="10" spans="1:21" ht="15">
      <c r="A10" s="135" t="s">
        <v>17</v>
      </c>
      <c r="B10" s="136"/>
      <c r="C10" s="146"/>
      <c r="D10" s="105"/>
      <c r="E10" s="105"/>
      <c r="J10" s="154"/>
      <c r="K10" s="149" t="s">
        <v>17</v>
      </c>
      <c r="L10" s="150"/>
      <c r="M10" s="142"/>
      <c r="N10" s="142"/>
      <c r="O10" s="145"/>
      <c r="P10" s="145"/>
      <c r="Q10" s="145"/>
    </row>
    <row r="11" spans="1:21" ht="15">
      <c r="A11" s="135" t="s">
        <v>18</v>
      </c>
      <c r="B11" s="136"/>
      <c r="C11" s="146"/>
      <c r="D11" s="105"/>
      <c r="E11" s="105"/>
      <c r="J11" s="154"/>
      <c r="K11" s="149" t="s">
        <v>18</v>
      </c>
      <c r="L11" s="150"/>
      <c r="M11" s="142"/>
      <c r="N11" s="142"/>
      <c r="O11" s="145"/>
      <c r="P11" s="145"/>
      <c r="Q11" s="145"/>
    </row>
    <row r="12" spans="1:21" ht="15">
      <c r="A12" s="135" t="s">
        <v>19</v>
      </c>
      <c r="B12" s="136"/>
      <c r="C12" s="146"/>
      <c r="D12" s="105"/>
      <c r="E12" s="105"/>
      <c r="J12" s="154"/>
      <c r="K12" s="149" t="s">
        <v>19</v>
      </c>
      <c r="L12" s="150"/>
      <c r="M12" s="142"/>
      <c r="N12" s="142"/>
      <c r="O12" s="145"/>
      <c r="P12" s="145"/>
      <c r="Q12" s="145"/>
    </row>
    <row r="13" spans="1:21" ht="15">
      <c r="A13" s="135" t="s">
        <v>20</v>
      </c>
      <c r="B13" s="136"/>
      <c r="C13" s="146"/>
      <c r="D13" s="105"/>
      <c r="E13" s="105"/>
      <c r="J13" s="154"/>
      <c r="K13" s="149" t="s">
        <v>20</v>
      </c>
      <c r="L13" s="150"/>
      <c r="M13" s="142"/>
      <c r="N13" s="142"/>
      <c r="O13" s="145"/>
      <c r="P13" s="145"/>
      <c r="Q13" s="145"/>
    </row>
    <row r="14" spans="1:21">
      <c r="J14" s="154"/>
      <c r="K14" s="155" t="s">
        <v>21</v>
      </c>
      <c r="L14" s="150">
        <f>SUM(L2:L13)</f>
        <v>28115.57</v>
      </c>
      <c r="M14" s="142"/>
      <c r="N14" s="142"/>
      <c r="O14" s="145"/>
      <c r="P14" s="145"/>
      <c r="Q14" s="145"/>
    </row>
    <row r="15" spans="1:21">
      <c r="J15" s="145"/>
      <c r="K15" s="145"/>
      <c r="L15" s="145"/>
      <c r="M15" s="145"/>
      <c r="N15" s="145"/>
      <c r="O15" s="156"/>
      <c r="P15" s="157"/>
      <c r="Q15" s="157"/>
      <c r="R15" s="157"/>
      <c r="S15" s="157"/>
      <c r="T15" s="157"/>
      <c r="U15" s="157"/>
    </row>
    <row r="16" spans="1:21">
      <c r="J16" s="145"/>
      <c r="K16" s="145"/>
      <c r="L16" s="145"/>
      <c r="M16" s="145"/>
      <c r="N16" s="145"/>
      <c r="O16" s="157"/>
      <c r="P16" s="157"/>
      <c r="Q16" s="157"/>
      <c r="R16" s="157"/>
      <c r="S16" s="157"/>
    </row>
    <row r="17" spans="10:17">
      <c r="J17" s="145"/>
      <c r="K17" s="145"/>
      <c r="L17" s="145"/>
      <c r="M17" s="145"/>
      <c r="N17" s="145"/>
      <c r="O17" s="145"/>
      <c r="P17" s="145"/>
      <c r="Q17" s="145"/>
    </row>
    <row r="33" spans="1:14" ht="15">
      <c r="A33" s="122" t="s">
        <v>22</v>
      </c>
      <c r="B33" s="122" t="s">
        <v>23</v>
      </c>
      <c r="K33" s="158" t="s">
        <v>24</v>
      </c>
      <c r="L33" s="159" t="s">
        <v>1</v>
      </c>
      <c r="M33" s="159" t="s">
        <v>25</v>
      </c>
      <c r="N33" s="160" t="s">
        <v>26</v>
      </c>
    </row>
    <row r="34" spans="1:14" ht="15">
      <c r="A34" s="123" t="s">
        <v>27</v>
      </c>
      <c r="B34" s="124">
        <v>26</v>
      </c>
      <c r="K34" s="161">
        <v>1</v>
      </c>
      <c r="L34" s="162">
        <v>103</v>
      </c>
      <c r="M34" s="162">
        <v>0</v>
      </c>
      <c r="N34" s="163">
        <v>0</v>
      </c>
    </row>
    <row r="35" spans="1:14" ht="15">
      <c r="A35" s="123" t="s">
        <v>28</v>
      </c>
      <c r="B35" s="124">
        <v>7</v>
      </c>
      <c r="K35" s="161">
        <v>2</v>
      </c>
      <c r="L35" s="162">
        <v>103</v>
      </c>
      <c r="M35" s="162">
        <v>0</v>
      </c>
      <c r="N35" s="163">
        <v>0</v>
      </c>
    </row>
    <row r="36" spans="1:14" ht="15">
      <c r="A36" s="123" t="s">
        <v>29</v>
      </c>
      <c r="B36" s="124">
        <v>7</v>
      </c>
      <c r="K36" s="161">
        <v>3</v>
      </c>
      <c r="L36" s="162">
        <v>98</v>
      </c>
      <c r="M36" s="162">
        <v>5</v>
      </c>
      <c r="N36" s="163">
        <v>0</v>
      </c>
    </row>
    <row r="37" spans="1:14" ht="15">
      <c r="A37" s="123" t="s">
        <v>30</v>
      </c>
      <c r="B37" s="124">
        <v>10</v>
      </c>
      <c r="K37" s="161">
        <v>4</v>
      </c>
      <c r="L37" s="162">
        <v>94</v>
      </c>
      <c r="M37" s="162">
        <v>4</v>
      </c>
      <c r="N37" s="163">
        <v>0</v>
      </c>
    </row>
    <row r="38" spans="1:14" ht="15">
      <c r="A38" s="125" t="s">
        <v>31</v>
      </c>
      <c r="B38" s="126">
        <f>SUM(B34:B37)</f>
        <v>50</v>
      </c>
      <c r="K38" s="161">
        <v>5</v>
      </c>
      <c r="L38" s="162">
        <v>87</v>
      </c>
      <c r="M38" s="162">
        <v>7</v>
      </c>
      <c r="N38" s="163">
        <v>0</v>
      </c>
    </row>
    <row r="39" spans="1:14" ht="15">
      <c r="A39" s="127" t="s">
        <v>32</v>
      </c>
      <c r="B39" s="128">
        <f>B40-B38</f>
        <v>31</v>
      </c>
      <c r="K39" s="161">
        <v>6</v>
      </c>
      <c r="L39" s="162">
        <v>83</v>
      </c>
      <c r="M39" s="162">
        <v>4</v>
      </c>
      <c r="N39" s="163">
        <v>0</v>
      </c>
    </row>
    <row r="40" spans="1:14" ht="15">
      <c r="A40" s="129" t="s">
        <v>33</v>
      </c>
      <c r="B40" s="130">
        <v>81</v>
      </c>
      <c r="K40" s="161">
        <v>7</v>
      </c>
      <c r="L40" s="162">
        <v>83</v>
      </c>
      <c r="M40" s="162">
        <v>0</v>
      </c>
      <c r="N40" s="163">
        <v>0</v>
      </c>
    </row>
    <row r="41" spans="1:14" ht="15">
      <c r="K41" s="161">
        <v>8</v>
      </c>
      <c r="L41" s="162">
        <v>74</v>
      </c>
      <c r="M41" s="162">
        <v>9</v>
      </c>
      <c r="N41" s="163">
        <v>0</v>
      </c>
    </row>
    <row r="42" spans="1:14" ht="15">
      <c r="K42" s="161">
        <v>9</v>
      </c>
      <c r="L42" s="162">
        <v>74</v>
      </c>
      <c r="M42" s="162">
        <v>0</v>
      </c>
      <c r="N42" s="163">
        <v>0</v>
      </c>
    </row>
    <row r="43" spans="1:14" ht="15">
      <c r="K43" s="161">
        <v>10</v>
      </c>
      <c r="L43" s="162">
        <v>74</v>
      </c>
      <c r="M43" s="162">
        <v>0</v>
      </c>
      <c r="N43" s="163">
        <v>0</v>
      </c>
    </row>
    <row r="44" spans="1:14" ht="15">
      <c r="K44" s="161">
        <v>11</v>
      </c>
      <c r="L44" s="162">
        <v>74</v>
      </c>
      <c r="M44" s="162">
        <v>0</v>
      </c>
      <c r="N44" s="163">
        <v>0</v>
      </c>
    </row>
    <row r="45" spans="1:14" ht="15">
      <c r="K45" s="161">
        <v>12</v>
      </c>
      <c r="L45" s="162">
        <v>74</v>
      </c>
      <c r="M45" s="162">
        <v>0</v>
      </c>
      <c r="N45" s="163">
        <v>0</v>
      </c>
    </row>
    <row r="46" spans="1:14" ht="15">
      <c r="K46" s="161">
        <v>13</v>
      </c>
      <c r="L46" s="162">
        <f t="shared" ref="L46:L65" si="0">L45-M45</f>
        <v>74</v>
      </c>
      <c r="M46" s="162">
        <v>0</v>
      </c>
      <c r="N46" s="163">
        <v>0</v>
      </c>
    </row>
    <row r="47" spans="1:14" ht="15">
      <c r="K47" s="161">
        <v>14</v>
      </c>
      <c r="L47" s="162">
        <f t="shared" si="0"/>
        <v>74</v>
      </c>
      <c r="M47" s="162">
        <v>0</v>
      </c>
      <c r="N47" s="163">
        <v>0</v>
      </c>
    </row>
    <row r="48" spans="1:14" ht="15">
      <c r="K48" s="161">
        <v>15</v>
      </c>
      <c r="L48" s="162">
        <f t="shared" si="0"/>
        <v>74</v>
      </c>
      <c r="M48" s="162">
        <v>0</v>
      </c>
      <c r="N48" s="163">
        <v>0</v>
      </c>
    </row>
    <row r="49" spans="11:14" ht="15">
      <c r="K49" s="161">
        <v>16</v>
      </c>
      <c r="L49" s="162">
        <v>71</v>
      </c>
      <c r="M49" s="162">
        <v>3</v>
      </c>
      <c r="N49" s="163">
        <v>0</v>
      </c>
    </row>
    <row r="50" spans="11:14" ht="15">
      <c r="K50" s="161">
        <v>17</v>
      </c>
      <c r="L50" s="162">
        <v>70</v>
      </c>
      <c r="M50" s="162">
        <v>0</v>
      </c>
      <c r="N50" s="163">
        <v>1</v>
      </c>
    </row>
    <row r="51" spans="11:14" ht="15">
      <c r="K51" s="161">
        <v>18</v>
      </c>
      <c r="L51" s="162">
        <v>65</v>
      </c>
      <c r="M51" s="162">
        <v>3</v>
      </c>
      <c r="N51" s="163">
        <v>2</v>
      </c>
    </row>
    <row r="52" spans="11:14" ht="15">
      <c r="K52" s="161">
        <v>19</v>
      </c>
      <c r="L52" s="162">
        <v>65</v>
      </c>
      <c r="M52" s="162">
        <v>0</v>
      </c>
      <c r="N52" s="163">
        <v>0</v>
      </c>
    </row>
    <row r="53" spans="11:14" ht="15">
      <c r="K53" s="161">
        <v>20</v>
      </c>
      <c r="L53" s="162">
        <f t="shared" si="0"/>
        <v>65</v>
      </c>
      <c r="M53" s="162">
        <v>0</v>
      </c>
      <c r="N53" s="163">
        <v>0</v>
      </c>
    </row>
    <row r="54" spans="11:14" ht="15">
      <c r="K54" s="161">
        <v>21</v>
      </c>
      <c r="L54" s="162">
        <v>56</v>
      </c>
      <c r="M54" s="162">
        <v>5</v>
      </c>
      <c r="N54" s="163">
        <v>4</v>
      </c>
    </row>
    <row r="55" spans="11:14" ht="15">
      <c r="K55" s="161">
        <v>22</v>
      </c>
      <c r="L55" s="162">
        <v>56</v>
      </c>
      <c r="M55" s="162">
        <v>0</v>
      </c>
      <c r="N55" s="163">
        <v>0</v>
      </c>
    </row>
    <row r="56" spans="11:14" ht="15">
      <c r="K56" s="161">
        <v>23</v>
      </c>
      <c r="L56" s="162">
        <f t="shared" si="0"/>
        <v>56</v>
      </c>
      <c r="M56" s="162">
        <v>0</v>
      </c>
      <c r="N56" s="163">
        <v>0</v>
      </c>
    </row>
    <row r="57" spans="11:14" ht="15">
      <c r="K57" s="161">
        <v>24</v>
      </c>
      <c r="L57" s="162">
        <f t="shared" si="0"/>
        <v>56</v>
      </c>
      <c r="M57" s="162">
        <v>0</v>
      </c>
      <c r="N57" s="163">
        <v>0</v>
      </c>
    </row>
    <row r="58" spans="11:14" ht="15">
      <c r="K58" s="161">
        <v>25</v>
      </c>
      <c r="L58" s="162">
        <v>53</v>
      </c>
      <c r="M58" s="162">
        <v>3</v>
      </c>
      <c r="N58" s="163">
        <v>0</v>
      </c>
    </row>
    <row r="59" spans="11:14" ht="15">
      <c r="K59" s="161">
        <v>26</v>
      </c>
      <c r="L59" s="162">
        <v>50</v>
      </c>
      <c r="M59" s="162">
        <v>2</v>
      </c>
      <c r="N59" s="163">
        <v>1</v>
      </c>
    </row>
    <row r="60" spans="11:14" ht="15">
      <c r="K60" s="161">
        <v>27</v>
      </c>
      <c r="L60" s="162">
        <v>43</v>
      </c>
      <c r="M60" s="162">
        <v>5</v>
      </c>
      <c r="N60" s="163">
        <v>2</v>
      </c>
    </row>
    <row r="61" spans="11:14" ht="15">
      <c r="K61" s="161">
        <v>28</v>
      </c>
      <c r="L61" s="162">
        <v>42</v>
      </c>
      <c r="M61" s="162">
        <v>0</v>
      </c>
      <c r="N61" s="163">
        <v>1</v>
      </c>
    </row>
    <row r="62" spans="11:14" ht="15">
      <c r="K62" s="161">
        <v>29</v>
      </c>
      <c r="L62" s="162">
        <f t="shared" si="0"/>
        <v>42</v>
      </c>
      <c r="M62" s="162">
        <v>0</v>
      </c>
      <c r="N62" s="163">
        <v>0</v>
      </c>
    </row>
    <row r="63" spans="11:14" ht="15">
      <c r="K63" s="161">
        <v>30</v>
      </c>
      <c r="L63" s="162">
        <f t="shared" si="0"/>
        <v>42</v>
      </c>
      <c r="M63" s="162">
        <v>0</v>
      </c>
      <c r="N63" s="163">
        <v>0</v>
      </c>
    </row>
    <row r="64" spans="11:14" ht="15">
      <c r="K64" s="161">
        <v>31</v>
      </c>
      <c r="L64" s="162">
        <f t="shared" si="0"/>
        <v>42</v>
      </c>
      <c r="M64" s="162">
        <v>0</v>
      </c>
      <c r="N64" s="163">
        <v>0</v>
      </c>
    </row>
    <row r="65" spans="7:14" ht="15">
      <c r="K65" s="161" t="s">
        <v>34</v>
      </c>
      <c r="L65" s="162">
        <f t="shared" si="0"/>
        <v>42</v>
      </c>
      <c r="M65" s="162">
        <f>SUM(M34:M64)</f>
        <v>50</v>
      </c>
      <c r="N65" s="163">
        <f>SUM(N34:N64)</f>
        <v>11</v>
      </c>
    </row>
    <row r="66" spans="7:14" ht="23.4" customHeight="1">
      <c r="K66" s="164" t="s">
        <v>35</v>
      </c>
      <c r="L66" s="165">
        <f>SUM(M65+N65)</f>
        <v>61</v>
      </c>
      <c r="M66" s="166"/>
      <c r="N66" s="166"/>
    </row>
    <row r="76" spans="7:14">
      <c r="G76">
        <f>SUM(81+22)</f>
        <v>103</v>
      </c>
    </row>
    <row r="86" spans="4:8" ht="28.8" customHeight="1">
      <c r="D86" s="544" t="s">
        <v>0</v>
      </c>
      <c r="E86" s="543" t="s">
        <v>36</v>
      </c>
      <c r="F86" s="543"/>
      <c r="G86" s="543"/>
      <c r="H86" s="543"/>
    </row>
    <row r="87" spans="4:8" s="76" customFormat="1" ht="26.4" customHeight="1">
      <c r="D87" s="544"/>
      <c r="E87" s="168" t="s">
        <v>1</v>
      </c>
      <c r="F87" s="167" t="s">
        <v>2</v>
      </c>
      <c r="G87" s="167" t="s">
        <v>3</v>
      </c>
      <c r="H87" s="167" t="s">
        <v>4</v>
      </c>
    </row>
    <row r="88" spans="4:8" ht="15">
      <c r="D88" s="169" t="s">
        <v>7</v>
      </c>
      <c r="E88" s="170">
        <v>102</v>
      </c>
      <c r="F88" s="170">
        <v>102</v>
      </c>
      <c r="G88" s="15" cm="1">
        <f t="array" ref="G88">SUM(E88:E99-F88:F99)</f>
        <v>69</v>
      </c>
      <c r="H88" s="170">
        <f>SUM(E88:E99)</f>
        <v>459</v>
      </c>
    </row>
    <row r="89" spans="4:8" ht="15">
      <c r="D89" s="169" t="s">
        <v>8</v>
      </c>
      <c r="E89" s="170">
        <v>105</v>
      </c>
      <c r="F89" s="170">
        <v>105</v>
      </c>
      <c r="G89" s="170"/>
      <c r="H89" s="170"/>
    </row>
    <row r="90" spans="4:8" ht="15">
      <c r="D90" s="169" t="s">
        <v>10</v>
      </c>
      <c r="E90" s="170">
        <v>51</v>
      </c>
      <c r="F90" s="170">
        <v>51</v>
      </c>
      <c r="G90" s="170"/>
      <c r="H90" s="170"/>
    </row>
    <row r="91" spans="4:8" ht="15">
      <c r="D91" s="169" t="s">
        <v>12</v>
      </c>
      <c r="E91" s="170">
        <v>81</v>
      </c>
      <c r="F91" s="170">
        <v>50</v>
      </c>
      <c r="G91" s="170"/>
      <c r="H91" s="170"/>
    </row>
    <row r="92" spans="4:8" ht="15">
      <c r="D92" s="169" t="s">
        <v>13</v>
      </c>
      <c r="E92" s="170">
        <f>70+50</f>
        <v>120</v>
      </c>
      <c r="F92" s="170">
        <v>82</v>
      </c>
      <c r="G92" s="170"/>
      <c r="H92" s="170"/>
    </row>
    <row r="93" spans="4:8" ht="15">
      <c r="D93" s="169" t="s">
        <v>14</v>
      </c>
      <c r="E93" s="170"/>
      <c r="F93" s="170"/>
      <c r="G93" s="170"/>
      <c r="H93" s="170"/>
    </row>
    <row r="94" spans="4:8" ht="15">
      <c r="D94" s="169" t="s">
        <v>15</v>
      </c>
      <c r="E94" s="170"/>
      <c r="F94" s="170"/>
      <c r="G94" s="170"/>
      <c r="H94" s="170"/>
    </row>
    <row r="95" spans="4:8" ht="15">
      <c r="D95" s="169" t="s">
        <v>16</v>
      </c>
      <c r="E95" s="170"/>
      <c r="F95" s="170"/>
      <c r="G95" s="171"/>
      <c r="H95" s="170"/>
    </row>
    <row r="96" spans="4:8" ht="15">
      <c r="D96" s="169" t="s">
        <v>17</v>
      </c>
      <c r="E96" s="170"/>
      <c r="F96" s="170"/>
      <c r="G96" s="170"/>
      <c r="H96" s="170"/>
    </row>
    <row r="97" spans="4:8" ht="15">
      <c r="D97" s="169" t="s">
        <v>18</v>
      </c>
      <c r="E97" s="170"/>
      <c r="F97" s="170"/>
      <c r="G97" s="170"/>
      <c r="H97" s="170"/>
    </row>
    <row r="98" spans="4:8" ht="15">
      <c r="D98" s="169" t="s">
        <v>19</v>
      </c>
      <c r="E98" s="170"/>
      <c r="F98" s="170"/>
      <c r="G98" s="170"/>
      <c r="H98" s="170"/>
    </row>
    <row r="99" spans="4:8" ht="15">
      <c r="D99" s="169" t="s">
        <v>20</v>
      </c>
      <c r="E99" s="170"/>
      <c r="F99" s="170"/>
      <c r="G99" s="170"/>
      <c r="H99" s="170"/>
    </row>
  </sheetData>
  <mergeCells count="3">
    <mergeCell ref="M1:N1"/>
    <mergeCell ref="E86:H86"/>
    <mergeCell ref="D86:D87"/>
  </mergeCells>
  <conditionalFormatting sqref="J10:J14">
    <cfRule type="containsText" dxfId="21" priority="7" operator="containsText" text="ยาก">
      <formula>NOT(ISERROR(SEARCH("ยาก",J10)))</formula>
    </cfRule>
    <cfRule type="containsText" dxfId="20" priority="8" operator="containsText" text="กลาง">
      <formula>NOT(ISERROR(SEARCH("กลาง",J10)))</formula>
    </cfRule>
    <cfRule type="containsText" dxfId="19" priority="9" operator="containsText" text="ง่าย">
      <formula>NOT(ISERROR(SEARCH("ง่าย",J10)))</formula>
    </cfRule>
  </conditionalFormatting>
  <conditionalFormatting sqref="M33:M65">
    <cfRule type="containsText" dxfId="18" priority="4" operator="containsText" text="ยาก">
      <formula>NOT(ISERROR(SEARCH("ยาก",M33)))</formula>
    </cfRule>
    <cfRule type="containsText" dxfId="17" priority="5" operator="containsText" text="กลาง">
      <formula>NOT(ISERROR(SEARCH("กลาง",M33)))</formula>
    </cfRule>
    <cfRule type="containsText" dxfId="16" priority="6" operator="containsText" text="ง่าย">
      <formula>NOT(ISERROR(SEARCH("ง่าย",M33)))</formula>
    </cfRule>
  </conditionalFormatting>
  <conditionalFormatting sqref="B35:B36 B38:B39">
    <cfRule type="containsText" dxfId="15" priority="1" operator="containsText" text="ยาก">
      <formula>NOT(ISERROR(SEARCH("ยาก",B35)))</formula>
    </cfRule>
    <cfRule type="containsText" dxfId="14" priority="2" operator="containsText" text="กลาง">
      <formula>NOT(ISERROR(SEARCH("กลาง",B35)))</formula>
    </cfRule>
    <cfRule type="containsText" dxfId="13" priority="3" operator="containsText" text="ง่าย">
      <formula>NOT(ISERROR(SEARCH("ง่าย",B35)))</formula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F0"/>
  </sheetPr>
  <dimension ref="A1:I67"/>
  <sheetViews>
    <sheetView topLeftCell="C25" zoomScale="87" zoomScaleNormal="87" workbookViewId="0">
      <selection activeCell="T40" sqref="T40"/>
    </sheetView>
  </sheetViews>
  <sheetFormatPr defaultColWidth="9" defaultRowHeight="14.4"/>
  <cols>
    <col min="1" max="1" width="13.21875" customWidth="1"/>
  </cols>
  <sheetData>
    <row r="1" spans="1:8" s="121" customFormat="1" ht="52.8" customHeight="1">
      <c r="A1" s="545" t="s">
        <v>660</v>
      </c>
      <c r="B1" s="546"/>
      <c r="C1" s="546"/>
      <c r="D1" s="546"/>
      <c r="E1" s="546"/>
      <c r="F1" s="546"/>
      <c r="G1" s="546"/>
      <c r="H1" s="546"/>
    </row>
    <row r="2" spans="1:8" ht="15">
      <c r="A2" s="122" t="s">
        <v>22</v>
      </c>
      <c r="B2" s="122" t="s">
        <v>23</v>
      </c>
    </row>
    <row r="3" spans="1:8" ht="15">
      <c r="A3" s="123" t="s">
        <v>27</v>
      </c>
      <c r="B3" s="124">
        <v>26</v>
      </c>
    </row>
    <row r="4" spans="1:8" ht="15">
      <c r="A4" s="123" t="s">
        <v>28</v>
      </c>
      <c r="B4" s="124">
        <v>7</v>
      </c>
    </row>
    <row r="5" spans="1:8" ht="15">
      <c r="A5" s="123" t="s">
        <v>29</v>
      </c>
      <c r="B5" s="124">
        <v>7</v>
      </c>
    </row>
    <row r="6" spans="1:8" ht="15">
      <c r="A6" s="123" t="s">
        <v>30</v>
      </c>
      <c r="B6" s="124">
        <v>10</v>
      </c>
    </row>
    <row r="7" spans="1:8" ht="15">
      <c r="A7" s="125" t="s">
        <v>31</v>
      </c>
      <c r="B7" s="126">
        <f>SUM(B3:B6)</f>
        <v>50</v>
      </c>
    </row>
    <row r="8" spans="1:8" ht="15">
      <c r="A8" s="127" t="s">
        <v>32</v>
      </c>
      <c r="B8" s="128">
        <f>B9-B7</f>
        <v>31</v>
      </c>
    </row>
    <row r="9" spans="1:8">
      <c r="A9" s="129" t="s">
        <v>33</v>
      </c>
      <c r="B9" s="130">
        <v>81</v>
      </c>
    </row>
    <row r="13" spans="1:8">
      <c r="A13" s="131" t="s">
        <v>661</v>
      </c>
      <c r="B13" s="132" t="s">
        <v>38</v>
      </c>
      <c r="C13" s="132" t="s">
        <v>3</v>
      </c>
      <c r="D13" s="132" t="s">
        <v>662</v>
      </c>
      <c r="E13" s="132" t="s">
        <v>38</v>
      </c>
      <c r="F13" s="132" t="s">
        <v>3</v>
      </c>
      <c r="G13" s="132" t="s">
        <v>663</v>
      </c>
    </row>
    <row r="14" spans="1:8">
      <c r="A14" s="132">
        <v>81</v>
      </c>
      <c r="B14" s="132">
        <v>50</v>
      </c>
      <c r="C14" s="132">
        <f>SUM(A14-B14)</f>
        <v>31</v>
      </c>
      <c r="D14" s="132">
        <v>22</v>
      </c>
      <c r="E14" s="132">
        <v>11</v>
      </c>
      <c r="F14" s="133">
        <f>SUM(D14-E14)</f>
        <v>11</v>
      </c>
      <c r="G14" s="133">
        <f>SUM(B14+E14)</f>
        <v>61</v>
      </c>
    </row>
    <row r="32" spans="1:3" ht="15">
      <c r="A32" s="134" t="s">
        <v>24</v>
      </c>
      <c r="B32" s="135" t="s">
        <v>1</v>
      </c>
      <c r="C32" s="135" t="s">
        <v>25</v>
      </c>
    </row>
    <row r="33" spans="1:3" ht="15">
      <c r="A33" s="136">
        <v>1</v>
      </c>
      <c r="B33" s="136">
        <v>81</v>
      </c>
      <c r="C33" s="137">
        <v>0</v>
      </c>
    </row>
    <row r="34" spans="1:3" ht="15">
      <c r="A34" s="136">
        <v>2</v>
      </c>
      <c r="B34" s="136">
        <v>81</v>
      </c>
      <c r="C34" s="137">
        <v>0</v>
      </c>
    </row>
    <row r="35" spans="1:3" ht="15">
      <c r="A35" s="136">
        <v>3</v>
      </c>
      <c r="B35" s="136">
        <f t="shared" ref="B35:B64" si="0">B34-C34</f>
        <v>81</v>
      </c>
      <c r="C35" s="137">
        <v>5</v>
      </c>
    </row>
    <row r="36" spans="1:3" ht="15">
      <c r="A36" s="136">
        <v>4</v>
      </c>
      <c r="B36" s="136">
        <f t="shared" si="0"/>
        <v>76</v>
      </c>
      <c r="C36" s="137">
        <v>4</v>
      </c>
    </row>
    <row r="37" spans="1:3" ht="15">
      <c r="A37" s="136">
        <v>5</v>
      </c>
      <c r="B37" s="136">
        <f t="shared" si="0"/>
        <v>72</v>
      </c>
      <c r="C37" s="137">
        <v>7</v>
      </c>
    </row>
    <row r="38" spans="1:3" ht="15">
      <c r="A38" s="136">
        <v>6</v>
      </c>
      <c r="B38" s="136">
        <f t="shared" si="0"/>
        <v>65</v>
      </c>
      <c r="C38" s="137">
        <v>4</v>
      </c>
    </row>
    <row r="39" spans="1:3" ht="15">
      <c r="A39" s="136">
        <v>7</v>
      </c>
      <c r="B39" s="136">
        <f t="shared" si="0"/>
        <v>61</v>
      </c>
      <c r="C39" s="137">
        <v>0</v>
      </c>
    </row>
    <row r="40" spans="1:3" ht="15">
      <c r="A40" s="136">
        <v>8</v>
      </c>
      <c r="B40" s="136">
        <f t="shared" si="0"/>
        <v>61</v>
      </c>
      <c r="C40" s="137">
        <v>9</v>
      </c>
    </row>
    <row r="41" spans="1:3" ht="15">
      <c r="A41" s="136">
        <v>9</v>
      </c>
      <c r="B41" s="136">
        <f t="shared" si="0"/>
        <v>52</v>
      </c>
      <c r="C41" s="137">
        <v>0</v>
      </c>
    </row>
    <row r="42" spans="1:3" ht="15">
      <c r="A42" s="136">
        <v>10</v>
      </c>
      <c r="B42" s="136">
        <f t="shared" si="0"/>
        <v>52</v>
      </c>
      <c r="C42" s="137">
        <v>0</v>
      </c>
    </row>
    <row r="43" spans="1:3" ht="15">
      <c r="A43" s="136">
        <v>11</v>
      </c>
      <c r="B43" s="136">
        <f t="shared" si="0"/>
        <v>52</v>
      </c>
      <c r="C43" s="137">
        <v>0</v>
      </c>
    </row>
    <row r="44" spans="1:3" ht="15">
      <c r="A44" s="136">
        <v>12</v>
      </c>
      <c r="B44" s="136">
        <f t="shared" si="0"/>
        <v>52</v>
      </c>
      <c r="C44" s="137">
        <v>0</v>
      </c>
    </row>
    <row r="45" spans="1:3" ht="15">
      <c r="A45" s="136">
        <v>13</v>
      </c>
      <c r="B45" s="136">
        <f t="shared" si="0"/>
        <v>52</v>
      </c>
      <c r="C45" s="137">
        <v>0</v>
      </c>
    </row>
    <row r="46" spans="1:3" ht="15">
      <c r="A46" s="136">
        <v>14</v>
      </c>
      <c r="B46" s="136">
        <f t="shared" si="0"/>
        <v>52</v>
      </c>
      <c r="C46" s="137">
        <v>0</v>
      </c>
    </row>
    <row r="47" spans="1:3" ht="15">
      <c r="A47" s="136">
        <v>15</v>
      </c>
      <c r="B47" s="136">
        <f t="shared" si="0"/>
        <v>52</v>
      </c>
      <c r="C47" s="137">
        <v>0</v>
      </c>
    </row>
    <row r="48" spans="1:3" ht="15">
      <c r="A48" s="136">
        <v>16</v>
      </c>
      <c r="B48" s="136">
        <f t="shared" si="0"/>
        <v>52</v>
      </c>
      <c r="C48" s="137">
        <v>3</v>
      </c>
    </row>
    <row r="49" spans="1:3" ht="15">
      <c r="A49" s="136">
        <v>17</v>
      </c>
      <c r="B49" s="136">
        <f t="shared" si="0"/>
        <v>49</v>
      </c>
      <c r="C49" s="137">
        <v>0</v>
      </c>
    </row>
    <row r="50" spans="1:3" ht="15">
      <c r="A50" s="136">
        <v>18</v>
      </c>
      <c r="B50" s="136">
        <f t="shared" si="0"/>
        <v>49</v>
      </c>
      <c r="C50" s="137">
        <v>3</v>
      </c>
    </row>
    <row r="51" spans="1:3" ht="15">
      <c r="A51" s="136">
        <v>19</v>
      </c>
      <c r="B51" s="136">
        <f t="shared" si="0"/>
        <v>46</v>
      </c>
      <c r="C51" s="137">
        <v>0</v>
      </c>
    </row>
    <row r="52" spans="1:3" ht="15">
      <c r="A52" s="136">
        <v>20</v>
      </c>
      <c r="B52" s="136">
        <f t="shared" si="0"/>
        <v>46</v>
      </c>
      <c r="C52" s="137">
        <v>0</v>
      </c>
    </row>
    <row r="53" spans="1:3" ht="15">
      <c r="A53" s="136">
        <v>21</v>
      </c>
      <c r="B53" s="136">
        <f t="shared" si="0"/>
        <v>46</v>
      </c>
      <c r="C53" s="137">
        <v>5</v>
      </c>
    </row>
    <row r="54" spans="1:3" ht="15">
      <c r="A54" s="136">
        <v>22</v>
      </c>
      <c r="B54" s="136">
        <f t="shared" si="0"/>
        <v>41</v>
      </c>
      <c r="C54" s="137">
        <v>0</v>
      </c>
    </row>
    <row r="55" spans="1:3" ht="15">
      <c r="A55" s="136">
        <v>23</v>
      </c>
      <c r="B55" s="136">
        <f t="shared" si="0"/>
        <v>41</v>
      </c>
      <c r="C55" s="137">
        <v>0</v>
      </c>
    </row>
    <row r="56" spans="1:3" ht="15">
      <c r="A56" s="136">
        <v>24</v>
      </c>
      <c r="B56" s="136">
        <f t="shared" si="0"/>
        <v>41</v>
      </c>
      <c r="C56" s="137">
        <v>0</v>
      </c>
    </row>
    <row r="57" spans="1:3" ht="15">
      <c r="A57" s="136">
        <v>25</v>
      </c>
      <c r="B57" s="136">
        <f t="shared" si="0"/>
        <v>41</v>
      </c>
      <c r="C57" s="137">
        <v>3</v>
      </c>
    </row>
    <row r="58" spans="1:3" ht="15">
      <c r="A58" s="136">
        <v>26</v>
      </c>
      <c r="B58" s="136">
        <f t="shared" si="0"/>
        <v>38</v>
      </c>
      <c r="C58" s="137">
        <v>2</v>
      </c>
    </row>
    <row r="59" spans="1:3" ht="15">
      <c r="A59" s="136">
        <v>27</v>
      </c>
      <c r="B59" s="136">
        <f t="shared" si="0"/>
        <v>36</v>
      </c>
      <c r="C59" s="137">
        <v>5</v>
      </c>
    </row>
    <row r="60" spans="1:3" ht="15">
      <c r="A60" s="136">
        <v>28</v>
      </c>
      <c r="B60" s="136">
        <f t="shared" si="0"/>
        <v>31</v>
      </c>
      <c r="C60" s="137">
        <v>0</v>
      </c>
    </row>
    <row r="61" spans="1:3" ht="15">
      <c r="A61" s="136">
        <v>29</v>
      </c>
      <c r="B61" s="136">
        <f t="shared" si="0"/>
        <v>31</v>
      </c>
      <c r="C61" s="137">
        <v>0</v>
      </c>
    </row>
    <row r="62" spans="1:3" ht="15">
      <c r="A62" s="136">
        <v>30</v>
      </c>
      <c r="B62" s="136">
        <f t="shared" si="0"/>
        <v>31</v>
      </c>
      <c r="C62" s="137">
        <v>0</v>
      </c>
    </row>
    <row r="63" spans="1:3" ht="15">
      <c r="A63" s="136">
        <v>31</v>
      </c>
      <c r="B63" s="136">
        <f t="shared" si="0"/>
        <v>31</v>
      </c>
      <c r="C63" s="137">
        <v>0</v>
      </c>
    </row>
    <row r="64" spans="1:3" ht="15">
      <c r="A64" s="138" t="s">
        <v>34</v>
      </c>
      <c r="B64" s="136">
        <f t="shared" si="0"/>
        <v>31</v>
      </c>
      <c r="C64" s="137" cm="1">
        <f t="array" ref="C64">SUM(C33+C34:C63)</f>
        <v>50</v>
      </c>
    </row>
    <row r="67" spans="1:9" s="121" customFormat="1" ht="46.8" customHeight="1">
      <c r="A67" s="546" t="s">
        <v>664</v>
      </c>
      <c r="B67" s="546"/>
      <c r="C67" s="546"/>
      <c r="D67" s="546"/>
      <c r="E67" s="546"/>
      <c r="F67" s="546"/>
      <c r="G67" s="546"/>
      <c r="H67" s="546"/>
      <c r="I67" s="546"/>
    </row>
  </sheetData>
  <mergeCells count="2">
    <mergeCell ref="A1:H1"/>
    <mergeCell ref="A67:I67"/>
  </mergeCells>
  <conditionalFormatting sqref="C32:C64">
    <cfRule type="containsText" dxfId="12" priority="1" operator="containsText" text="ยาก">
      <formula>NOT(ISERROR(SEARCH("ยาก",C32)))</formula>
    </cfRule>
    <cfRule type="containsText" dxfId="11" priority="2" operator="containsText" text="กลาง">
      <formula>NOT(ISERROR(SEARCH("กลาง",C32)))</formula>
    </cfRule>
    <cfRule type="containsText" dxfId="10" priority="3" operator="containsText" text="ง่าย">
      <formula>NOT(ISERROR(SEARCH("ง่าย",C32)))</formula>
    </cfRule>
  </conditionalFormatting>
  <conditionalFormatting sqref="B4:B5 B7:B8">
    <cfRule type="containsText" dxfId="9" priority="4" operator="containsText" text="ยาก">
      <formula>NOT(ISERROR(SEARCH("ยาก",B4)))</formula>
    </cfRule>
    <cfRule type="containsText" dxfId="8" priority="5" operator="containsText" text="กลาง">
      <formula>NOT(ISERROR(SEARCH("กลาง",B4)))</formula>
    </cfRule>
    <cfRule type="containsText" dxfId="7" priority="6" operator="containsText" text="ง่าย">
      <formula>NOT(ISERROR(SEARCH("ง่าย",B4)))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7" tint="0.59999389629810485"/>
  </sheetPr>
  <dimension ref="B2:D21"/>
  <sheetViews>
    <sheetView topLeftCell="C4" zoomScale="145" zoomScaleNormal="145" zoomScaleSheetLayoutView="136" workbookViewId="0">
      <selection activeCell="D21" sqref="D21"/>
    </sheetView>
  </sheetViews>
  <sheetFormatPr defaultColWidth="9" defaultRowHeight="14.4"/>
  <cols>
    <col min="2" max="2" width="67.77734375" customWidth="1"/>
    <col min="4" max="4" width="90.5546875" customWidth="1"/>
  </cols>
  <sheetData>
    <row r="2" spans="2:4" ht="21" customHeight="1">
      <c r="B2" s="114" t="s">
        <v>665</v>
      </c>
      <c r="D2" s="115" t="s">
        <v>666</v>
      </c>
    </row>
    <row r="3" spans="2:4" ht="15" customHeight="1">
      <c r="B3" s="116" t="s">
        <v>667</v>
      </c>
      <c r="D3" s="117" t="s">
        <v>667</v>
      </c>
    </row>
    <row r="4" spans="2:4" ht="15" customHeight="1">
      <c r="B4" s="118" t="s">
        <v>668</v>
      </c>
      <c r="D4" s="119" t="s">
        <v>669</v>
      </c>
    </row>
    <row r="5" spans="2:4" ht="15" customHeight="1">
      <c r="B5" s="118" t="s">
        <v>670</v>
      </c>
      <c r="D5" s="119" t="s">
        <v>671</v>
      </c>
    </row>
    <row r="6" spans="2:4" ht="15" customHeight="1">
      <c r="B6" s="118" t="s">
        <v>672</v>
      </c>
      <c r="D6" s="119" t="s">
        <v>673</v>
      </c>
    </row>
    <row r="7" spans="2:4" ht="15" customHeight="1">
      <c r="B7" s="118" t="s">
        <v>674</v>
      </c>
      <c r="D7" s="119" t="s">
        <v>675</v>
      </c>
    </row>
    <row r="8" spans="2:4" ht="15" customHeight="1">
      <c r="B8" s="118" t="s">
        <v>676</v>
      </c>
      <c r="D8" s="119" t="s">
        <v>677</v>
      </c>
    </row>
    <row r="9" spans="2:4" ht="15" customHeight="1">
      <c r="B9" s="118" t="s">
        <v>678</v>
      </c>
      <c r="D9" s="119" t="s">
        <v>679</v>
      </c>
    </row>
    <row r="10" spans="2:4" ht="15" customHeight="1">
      <c r="B10" s="118" t="s">
        <v>680</v>
      </c>
      <c r="D10" s="117" t="s">
        <v>681</v>
      </c>
    </row>
    <row r="11" spans="2:4">
      <c r="B11" s="118" t="s">
        <v>682</v>
      </c>
      <c r="D11" s="119" t="s">
        <v>683</v>
      </c>
    </row>
    <row r="12" spans="2:4">
      <c r="B12" s="120"/>
      <c r="D12" s="119" t="s">
        <v>684</v>
      </c>
    </row>
    <row r="13" spans="2:4">
      <c r="D13" s="119" t="s">
        <v>685</v>
      </c>
    </row>
    <row r="14" spans="2:4">
      <c r="D14" s="119" t="s">
        <v>686</v>
      </c>
    </row>
    <row r="15" spans="2:4">
      <c r="D15" s="119" t="s">
        <v>687</v>
      </c>
    </row>
    <row r="16" spans="2:4">
      <c r="D16" s="117" t="s">
        <v>688</v>
      </c>
    </row>
    <row r="17" spans="4:4">
      <c r="D17" s="119" t="s">
        <v>689</v>
      </c>
    </row>
    <row r="18" spans="4:4">
      <c r="D18" s="119" t="s">
        <v>690</v>
      </c>
    </row>
    <row r="19" spans="4:4">
      <c r="D19" s="119"/>
    </row>
    <row r="20" spans="4:4">
      <c r="D20" s="119"/>
    </row>
    <row r="21" spans="4:4">
      <c r="D21" s="119"/>
    </row>
  </sheetData>
  <pageMargins left="0.7" right="0.7" top="0.75" bottom="0.75" header="0.3" footer="0.3"/>
  <pageSetup paperSize="9" orientation="portrait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57D3FF"/>
  </sheetPr>
  <dimension ref="A1"/>
  <sheetViews>
    <sheetView zoomScale="70" zoomScaleNormal="70" workbookViewId="0">
      <selection activeCell="S1" sqref="S1"/>
    </sheetView>
  </sheetViews>
  <sheetFormatPr defaultColWidth="8.88671875" defaultRowHeight="14.4"/>
  <cols>
    <col min="1" max="1" width="8.44140625" style="24" customWidth="1"/>
    <col min="2" max="16384" width="8.88671875" style="24"/>
  </cols>
  <sheetData>
    <row r="1" spans="1:1" s="112" customFormat="1" ht="40.049999999999997" customHeight="1">
      <c r="A1" s="1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8BE1FF"/>
  </sheetPr>
  <dimension ref="A1:BC259"/>
  <sheetViews>
    <sheetView view="pageBreakPreview" topLeftCell="A7" zoomScale="85" zoomScaleNormal="100" workbookViewId="0">
      <selection activeCell="H14" sqref="H14"/>
    </sheetView>
  </sheetViews>
  <sheetFormatPr defaultColWidth="8.88671875" defaultRowHeight="14.4"/>
  <cols>
    <col min="1" max="1" width="16.44140625" style="28" customWidth="1"/>
    <col min="2" max="2" width="20.6640625" style="29" customWidth="1"/>
    <col min="3" max="3" width="23" style="29" customWidth="1"/>
    <col min="4" max="4" width="14.5546875" customWidth="1"/>
    <col min="5" max="5" width="18" style="29" customWidth="1"/>
    <col min="6" max="6" width="9.44140625" style="29" customWidth="1"/>
    <col min="7" max="7" width="14.77734375" style="29" customWidth="1"/>
    <col min="8" max="8" width="20.5546875" style="29" customWidth="1"/>
    <col min="9" max="9" width="26.44140625" style="29" customWidth="1"/>
    <col min="10" max="11" width="14.77734375" style="29" customWidth="1"/>
    <col min="12" max="12" width="5.33203125" style="29" customWidth="1"/>
    <col min="13" max="13" width="25.5546875" customWidth="1"/>
    <col min="14" max="14" width="26" style="25" customWidth="1"/>
    <col min="15" max="15" width="32.88671875" style="25" customWidth="1"/>
    <col min="16" max="16" width="10.88671875" customWidth="1"/>
    <col min="17" max="17" width="18.44140625" customWidth="1"/>
    <col min="18" max="18" width="12.77734375" style="25" customWidth="1"/>
    <col min="19" max="19" width="28.21875" style="25" customWidth="1"/>
    <col min="20" max="20" width="24.44140625" style="25" customWidth="1"/>
    <col min="21" max="21" width="33.77734375" style="25" customWidth="1"/>
    <col min="22" max="22" width="19" style="25" customWidth="1"/>
    <col min="23" max="23" width="28.21875" style="25" customWidth="1"/>
    <col min="24" max="24" width="24.44140625" style="25" customWidth="1"/>
    <col min="25" max="25" width="33.77734375" customWidth="1"/>
    <col min="26" max="26" width="24.44140625" customWidth="1"/>
    <col min="27" max="27" width="34" customWidth="1"/>
    <col min="28" max="28" width="19" customWidth="1"/>
    <col min="29" max="29" width="28.21875" customWidth="1"/>
    <col min="30" max="30" width="24.44140625" customWidth="1"/>
    <col min="31" max="31" width="33.77734375" customWidth="1"/>
    <col min="32" max="32" width="30.77734375" customWidth="1"/>
    <col min="33" max="33" width="40.109375" customWidth="1"/>
    <col min="34" max="34" width="25.44140625" customWidth="1"/>
    <col min="35" max="35" width="34.77734375" customWidth="1"/>
    <col min="36" max="36" width="33.77734375" customWidth="1"/>
    <col min="37" max="37" width="33" customWidth="1"/>
    <col min="38" max="38" width="24.44140625" customWidth="1"/>
    <col min="39" max="39" width="34" customWidth="1"/>
    <col min="40" max="40" width="33.109375" customWidth="1"/>
    <col min="41" max="41" width="19" customWidth="1"/>
    <col min="42" max="42" width="28.21875" customWidth="1"/>
    <col min="43" max="43" width="27.44140625" customWidth="1"/>
    <col min="44" max="44" width="24.44140625" customWidth="1"/>
    <col min="45" max="45" width="33.77734375" customWidth="1"/>
    <col min="46" max="46" width="33" customWidth="1"/>
    <col min="47" max="47" width="30.77734375" customWidth="1"/>
    <col min="48" max="48" width="40.109375" customWidth="1"/>
    <col min="49" max="49" width="39.44140625" customWidth="1"/>
    <col min="50" max="50" width="25.44140625" customWidth="1"/>
    <col min="51" max="51" width="34.77734375" customWidth="1"/>
    <col min="52" max="52" width="34.109375" customWidth="1"/>
  </cols>
  <sheetData>
    <row r="1" spans="1:10" ht="127.2" customHeight="1"/>
    <row r="2" spans="1:10" ht="127.2" customHeight="1"/>
    <row r="3" spans="1:10" ht="11.4" customHeight="1"/>
    <row r="4" spans="1:10" ht="60" customHeight="1">
      <c r="A4" s="556" t="s">
        <v>691</v>
      </c>
      <c r="B4" s="547"/>
      <c r="C4" s="547"/>
      <c r="D4" s="547"/>
      <c r="E4" s="547"/>
      <c r="F4" s="547"/>
      <c r="G4" s="547"/>
      <c r="H4" s="547"/>
      <c r="I4" s="547"/>
      <c r="J4" s="547"/>
    </row>
    <row r="5" spans="1:10" ht="40.049999999999997" customHeight="1">
      <c r="A5" s="77" t="s">
        <v>1</v>
      </c>
      <c r="B5" s="557" t="s">
        <v>43</v>
      </c>
      <c r="C5" s="558"/>
      <c r="D5" s="559"/>
      <c r="E5" s="560" t="s">
        <v>44</v>
      </c>
      <c r="F5" s="561"/>
      <c r="G5" s="561"/>
      <c r="H5" s="562" t="s">
        <v>692</v>
      </c>
      <c r="I5" s="562"/>
      <c r="J5" s="65" t="s">
        <v>45</v>
      </c>
    </row>
    <row r="6" spans="1:10" ht="30" customHeight="1">
      <c r="A6" s="548">
        <f>B7+E7</f>
        <v>103</v>
      </c>
      <c r="B6" s="79" t="s">
        <v>1</v>
      </c>
      <c r="C6" s="80" t="s">
        <v>38</v>
      </c>
      <c r="D6" s="80" t="s">
        <v>693</v>
      </c>
      <c r="E6" s="81" t="s">
        <v>694</v>
      </c>
      <c r="F6" s="81" t="s">
        <v>38</v>
      </c>
      <c r="G6" s="78" t="s">
        <v>693</v>
      </c>
      <c r="H6" s="555">
        <f>D7+G7</f>
        <v>42</v>
      </c>
      <c r="I6" s="555"/>
      <c r="J6" s="554">
        <f>C7+F7</f>
        <v>61</v>
      </c>
    </row>
    <row r="7" spans="1:10" ht="30" customHeight="1">
      <c r="A7" s="548"/>
      <c r="B7" s="82">
        <v>81</v>
      </c>
      <c r="C7" s="82">
        <v>50</v>
      </c>
      <c r="D7" s="82">
        <v>31</v>
      </c>
      <c r="E7" s="83">
        <v>22</v>
      </c>
      <c r="F7" s="83">
        <v>11</v>
      </c>
      <c r="G7" s="84">
        <v>11</v>
      </c>
      <c r="H7" s="555"/>
      <c r="I7" s="555"/>
      <c r="J7" s="554"/>
    </row>
    <row r="8" spans="1:10" ht="30" customHeight="1">
      <c r="A8" s="85"/>
      <c r="B8" s="85"/>
      <c r="C8" s="85"/>
      <c r="D8" s="85"/>
      <c r="E8" s="85"/>
      <c r="F8" s="85"/>
      <c r="G8" s="85"/>
      <c r="H8" s="86"/>
      <c r="I8" s="86"/>
      <c r="J8" s="87"/>
    </row>
    <row r="9" spans="1:10" ht="30" customHeight="1">
      <c r="A9" s="85"/>
      <c r="B9" s="85"/>
      <c r="C9" s="85"/>
      <c r="D9" s="85"/>
      <c r="E9" s="85"/>
      <c r="F9" s="85"/>
      <c r="G9" s="85"/>
      <c r="H9" s="86"/>
      <c r="I9" s="86"/>
      <c r="J9" s="87"/>
    </row>
    <row r="10" spans="1:10" ht="40.799999999999997" customHeight="1">
      <c r="A10" s="563" t="s">
        <v>695</v>
      </c>
      <c r="B10" s="563"/>
      <c r="C10" s="563"/>
      <c r="D10" s="563"/>
      <c r="E10" s="563"/>
      <c r="F10" s="85"/>
      <c r="G10" s="85"/>
      <c r="H10" s="86"/>
      <c r="I10" s="86"/>
      <c r="J10" s="87"/>
    </row>
    <row r="11" spans="1:10" ht="30" customHeight="1">
      <c r="A11" s="549" t="s">
        <v>42</v>
      </c>
      <c r="B11" s="88" t="s">
        <v>43</v>
      </c>
      <c r="C11" s="89" t="s">
        <v>44</v>
      </c>
      <c r="D11" s="550" t="s">
        <v>45</v>
      </c>
      <c r="E11" s="552" t="s">
        <v>46</v>
      </c>
      <c r="F11" s="85"/>
      <c r="G11" s="85"/>
      <c r="H11" s="86"/>
      <c r="I11" s="86"/>
      <c r="J11" s="87"/>
    </row>
    <row r="12" spans="1:10" ht="30" customHeight="1">
      <c r="A12" s="549"/>
      <c r="B12" s="88" t="s">
        <v>38</v>
      </c>
      <c r="C12" s="89" t="s">
        <v>38</v>
      </c>
      <c r="D12" s="551"/>
      <c r="E12" s="553"/>
      <c r="F12" s="85"/>
      <c r="G12" s="85"/>
      <c r="H12" s="86"/>
      <c r="I12" s="86"/>
      <c r="J12" s="87"/>
    </row>
    <row r="13" spans="1:10" ht="30" customHeight="1">
      <c r="A13" s="90">
        <v>1</v>
      </c>
      <c r="B13" s="91">
        <f>COUNTIFS(งานซ่อม[เดือน],"เมษายน",งานซ่อม[สัปดาห์],1,งานซ่อม[สำเร็จ],"เสร็จสิ้น")</f>
        <v>3</v>
      </c>
      <c r="C13" s="92">
        <f>COUNTIFS(แจ้งซ่อมเพิ่มเติม[เดือน],"เมษายน",แจ้งซ่อมเพิ่มเติม[สัปดาห์],1,แจ้งซ่อมเพิ่มเติม[สถานะ],"เรียบร้อย")</f>
        <v>0</v>
      </c>
      <c r="D13" s="93">
        <f>B13+C13</f>
        <v>3</v>
      </c>
      <c r="E13" s="94"/>
      <c r="F13" s="85"/>
      <c r="G13" s="85"/>
      <c r="H13" s="86"/>
      <c r="I13" s="86"/>
      <c r="J13" s="87"/>
    </row>
    <row r="14" spans="1:10" ht="30" customHeight="1">
      <c r="A14" s="90">
        <v>2</v>
      </c>
      <c r="B14" s="91">
        <f>COUNTIFS(งานซ่อม[เดือน],"เมษายน",งานซ่อม[สัปดาห์],2,งานซ่อม[สำเร็จ],"เสร็จสิ้น")</f>
        <v>0</v>
      </c>
      <c r="C14" s="92">
        <f>COUNTIFS(แจ้งซ่อมเพิ่มเติม[เดือน],"เมษายน",แจ้งซ่อมเพิ่มเติม[สัปดาห์],2,แจ้งซ่อมเพิ่มเติม[สถานะ],"เรียบร้อย")</f>
        <v>0</v>
      </c>
      <c r="D14" s="93">
        <f t="shared" ref="D14:D17" si="0">B14+C14</f>
        <v>0</v>
      </c>
      <c r="E14" s="94"/>
      <c r="F14" s="85"/>
      <c r="G14" s="85"/>
      <c r="H14" s="86"/>
      <c r="I14" s="86"/>
      <c r="J14" s="87"/>
    </row>
    <row r="15" spans="1:10" ht="30" customHeight="1">
      <c r="A15" s="90">
        <v>3</v>
      </c>
      <c r="B15" s="91">
        <f>COUNTIFS(งานซ่อม[เดือน],"เมษายน",งานซ่อม[สัปดาห์],3,งานซ่อม[สำเร็จ],"เสร็จสิ้น")</f>
        <v>2</v>
      </c>
      <c r="C15" s="92">
        <f>COUNTIFS(แจ้งซ่อมเพิ่มเติม[เดือน],"เมษายน",แจ้งซ่อมเพิ่มเติม[สัปดาห์],3,แจ้งซ่อมเพิ่มเติม[สถานะ],"เรียบร้อย")</f>
        <v>0</v>
      </c>
      <c r="D15" s="93">
        <f t="shared" si="0"/>
        <v>2</v>
      </c>
      <c r="E15" s="94"/>
      <c r="F15" s="85"/>
      <c r="G15" s="85"/>
      <c r="H15" s="86"/>
      <c r="I15" s="86"/>
      <c r="J15" s="87"/>
    </row>
    <row r="16" spans="1:10" ht="30" customHeight="1">
      <c r="A16" s="90">
        <v>4</v>
      </c>
      <c r="B16" s="91">
        <f>COUNTIFS(งานซ่อม[เดือน],"เมษายน",งานซ่อม[สัปดาห์],4,งานซ่อม[สำเร็จ],"เสร็จสิ้น")</f>
        <v>1</v>
      </c>
      <c r="C16" s="92">
        <f>COUNTIFS(แจ้งซ่อมเพิ่มเติม[เดือน],"เมษายน",แจ้งซ่อมเพิ่มเติม[สัปดาห์],4,แจ้งซ่อมเพิ่มเติม[สถานะ],"เรียบร้อย")</f>
        <v>0</v>
      </c>
      <c r="D16" s="93">
        <f t="shared" si="0"/>
        <v>1</v>
      </c>
      <c r="E16" s="94"/>
      <c r="F16" s="85"/>
      <c r="G16" s="85"/>
      <c r="H16" s="86"/>
      <c r="I16" s="86"/>
      <c r="J16" s="87"/>
    </row>
    <row r="17" spans="1:55" ht="30" customHeight="1">
      <c r="A17" s="90">
        <v>5</v>
      </c>
      <c r="B17" s="91">
        <f>COUNTIFS(งานซ่อม[เดือน],"เมษายน",งานซ่อม[สัปดาห์],5,งานซ่อม[สำเร็จ],"เสร็จสิ้น")</f>
        <v>0</v>
      </c>
      <c r="C17" s="92">
        <f>COUNTIFS(แจ้งซ่อมเพิ่มเติม[เดือน],"เมษายน",แจ้งซ่อมเพิ่มเติม[สัปดาห์],5,แจ้งซ่อมเพิ่มเติม[สถานะ],"เรียบร้อย")</f>
        <v>0</v>
      </c>
      <c r="D17" s="93">
        <f t="shared" si="0"/>
        <v>0</v>
      </c>
      <c r="E17" s="94"/>
      <c r="F17" s="85"/>
      <c r="G17" s="85"/>
      <c r="H17" s="86"/>
      <c r="I17" s="86"/>
      <c r="J17" s="87"/>
    </row>
    <row r="18" spans="1:55" ht="30" customHeight="1">
      <c r="A18" s="95" t="s">
        <v>34</v>
      </c>
      <c r="B18" s="96">
        <f>SUM(B13:B17)</f>
        <v>6</v>
      </c>
      <c r="C18" s="97">
        <f>SUM(C13:C17)</f>
        <v>0</v>
      </c>
      <c r="D18" s="98">
        <f>SUM(D13:D17)</f>
        <v>6</v>
      </c>
      <c r="E18" s="99">
        <f>SUM(E13:E17)</f>
        <v>0</v>
      </c>
      <c r="F18" s="85"/>
      <c r="G18" s="85"/>
      <c r="H18" s="86"/>
      <c r="I18" s="86"/>
      <c r="J18" s="87"/>
    </row>
    <row r="19" spans="1:55" ht="38.4">
      <c r="A19" s="100"/>
      <c r="B19" s="100"/>
      <c r="C19" s="100"/>
      <c r="D19" s="100"/>
      <c r="E19" s="100"/>
      <c r="F19" s="100"/>
      <c r="G19" s="100"/>
      <c r="H19" s="101"/>
      <c r="I19" s="101"/>
      <c r="J19" s="102"/>
    </row>
    <row r="20" spans="1:55" ht="38.4">
      <c r="A20" s="100"/>
      <c r="B20" s="100"/>
      <c r="C20" s="100"/>
      <c r="D20" s="100"/>
      <c r="E20" s="100"/>
      <c r="F20" s="100"/>
      <c r="G20" s="100"/>
      <c r="H20" s="101"/>
      <c r="I20" s="101"/>
      <c r="J20" s="102"/>
    </row>
    <row r="21" spans="1:55" ht="67.2" customHeight="1">
      <c r="A21" s="100"/>
      <c r="B21" s="100"/>
      <c r="C21" s="100"/>
      <c r="D21" s="100"/>
      <c r="E21" s="100"/>
      <c r="F21" s="100"/>
      <c r="G21" s="100"/>
      <c r="H21" s="101"/>
      <c r="I21" s="101"/>
      <c r="J21" s="102"/>
    </row>
    <row r="22" spans="1:55" ht="75" customHeight="1">
      <c r="A22" s="100"/>
      <c r="B22" s="100"/>
      <c r="C22" s="100"/>
      <c r="D22" s="100"/>
      <c r="E22" s="100"/>
      <c r="F22" s="100"/>
      <c r="G22" s="100"/>
      <c r="H22" s="101"/>
      <c r="I22" s="101"/>
      <c r="J22" s="102"/>
    </row>
    <row r="23" spans="1:55" ht="66" customHeight="1">
      <c r="A23" s="100"/>
      <c r="B23" s="100"/>
      <c r="C23" s="100"/>
      <c r="D23" s="100"/>
      <c r="E23" s="100"/>
      <c r="F23" s="100"/>
      <c r="G23" s="100"/>
      <c r="H23" s="101"/>
      <c r="I23" s="101"/>
      <c r="J23" s="102"/>
    </row>
    <row r="24" spans="1:55" ht="66" customHeight="1">
      <c r="A24" s="100"/>
      <c r="B24" s="100"/>
      <c r="C24" s="100"/>
      <c r="D24" s="100"/>
      <c r="E24" s="100"/>
      <c r="F24" s="100"/>
      <c r="G24" s="100"/>
      <c r="H24" s="101"/>
      <c r="I24" s="101"/>
      <c r="J24" s="102"/>
    </row>
    <row r="25" spans="1:55" ht="66" customHeight="1">
      <c r="A25" s="100"/>
      <c r="B25" s="100"/>
      <c r="C25" s="100"/>
      <c r="D25" s="100"/>
      <c r="E25" s="100"/>
      <c r="F25" s="100"/>
      <c r="G25" s="100"/>
      <c r="H25" s="101"/>
      <c r="I25" s="101"/>
      <c r="J25" s="102"/>
    </row>
    <row r="26" spans="1:55" ht="66" customHeight="1">
      <c r="A26" s="100"/>
      <c r="B26" s="100"/>
      <c r="C26" s="100"/>
      <c r="D26" s="100"/>
      <c r="E26" s="100"/>
      <c r="F26" s="100"/>
      <c r="G26" s="100"/>
      <c r="H26" s="101"/>
      <c r="I26" s="101"/>
      <c r="J26" s="102"/>
    </row>
    <row r="27" spans="1:55" ht="82.8" customHeight="1"/>
    <row r="28" spans="1:55" ht="200.4" customHeight="1"/>
    <row r="29" spans="1:55" ht="66" customHeight="1">
      <c r="A29" s="547" t="s">
        <v>696</v>
      </c>
      <c r="B29" s="547"/>
      <c r="C29" s="547"/>
      <c r="D29" s="547"/>
      <c r="E29" s="547"/>
      <c r="F29" s="547"/>
      <c r="G29" s="547"/>
      <c r="H29" s="547"/>
      <c r="I29" s="547"/>
      <c r="J29" s="547"/>
    </row>
    <row r="30" spans="1:55" ht="23.4" customHeight="1">
      <c r="A30" s="103"/>
      <c r="B30" s="104"/>
      <c r="C30" s="104"/>
      <c r="D30" s="105"/>
      <c r="E30" s="104"/>
      <c r="F30" s="104"/>
      <c r="G30" s="104"/>
      <c r="H30" s="104"/>
      <c r="I30" s="104"/>
      <c r="J30" s="104"/>
      <c r="K30" s="104"/>
      <c r="L30" s="104"/>
      <c r="M30" s="434"/>
      <c r="N30" s="107"/>
      <c r="O30" s="107"/>
      <c r="P30" s="105"/>
    </row>
    <row r="31" spans="1:55" s="75" customFormat="1" ht="15.6">
      <c r="A31" s="464" t="s">
        <v>697</v>
      </c>
      <c r="B31" s="465" t="s">
        <v>815</v>
      </c>
      <c r="C31" s="466"/>
      <c r="D31" s="467"/>
      <c r="E31"/>
      <c r="F31" s="105"/>
      <c r="G31" s="464" t="s">
        <v>698</v>
      </c>
      <c r="H31" s="465" t="s">
        <v>815</v>
      </c>
      <c r="I31" s="466"/>
      <c r="J31" s="467"/>
      <c r="K31"/>
      <c r="L31" s="108"/>
      <c r="M31" s="479" t="e" vm="1">
        <v>#VALUE!</v>
      </c>
      <c r="N31"/>
      <c r="O31"/>
      <c r="P31" s="105"/>
      <c r="Q31" s="460"/>
      <c r="R31" s="461"/>
      <c r="S31" s="46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1:55" ht="16.2">
      <c r="A32" s="468" t="s">
        <v>699</v>
      </c>
      <c r="B32" s="469" t="s">
        <v>700</v>
      </c>
      <c r="C32" s="470" t="s">
        <v>85</v>
      </c>
      <c r="D32" s="471" t="s">
        <v>701</v>
      </c>
      <c r="E32"/>
      <c r="F32" s="109"/>
      <c r="G32" s="468" t="s">
        <v>97</v>
      </c>
      <c r="H32" s="469" t="s">
        <v>700</v>
      </c>
      <c r="I32" s="470" t="s">
        <v>85</v>
      </c>
      <c r="J32" s="471" t="s">
        <v>702</v>
      </c>
      <c r="K32"/>
      <c r="L32" s="110"/>
      <c r="N32"/>
      <c r="O32"/>
      <c r="P32" s="109"/>
      <c r="Q32" s="460"/>
      <c r="R32" s="461"/>
      <c r="S32" s="461"/>
      <c r="T32"/>
      <c r="U32"/>
      <c r="V32"/>
      <c r="W32"/>
      <c r="X32"/>
    </row>
    <row r="33" spans="1:55" ht="16.2">
      <c r="A33" s="472" t="s">
        <v>60</v>
      </c>
      <c r="B33" s="434">
        <v>10</v>
      </c>
      <c r="C33" s="434">
        <v>9</v>
      </c>
      <c r="D33" s="473">
        <v>19</v>
      </c>
      <c r="E33"/>
      <c r="F33" s="109"/>
      <c r="G33" s="472" t="s">
        <v>251</v>
      </c>
      <c r="H33" s="434">
        <v>18</v>
      </c>
      <c r="I33" s="434"/>
      <c r="J33" s="473">
        <v>18</v>
      </c>
      <c r="K33"/>
      <c r="L33" s="110"/>
      <c r="N33"/>
      <c r="O33"/>
      <c r="P33" s="109"/>
      <c r="Q33" s="462"/>
      <c r="R33" s="463"/>
      <c r="S33" s="463"/>
      <c r="T33"/>
      <c r="U33"/>
      <c r="V33"/>
      <c r="W33"/>
      <c r="X33"/>
    </row>
    <row r="34" spans="1:55" ht="16.2">
      <c r="A34" s="474" t="s">
        <v>251</v>
      </c>
      <c r="B34" s="434">
        <v>4</v>
      </c>
      <c r="C34" s="434"/>
      <c r="D34" s="473">
        <v>4</v>
      </c>
      <c r="E34"/>
      <c r="F34" s="109"/>
      <c r="G34" s="474" t="s">
        <v>60</v>
      </c>
      <c r="H34" s="434">
        <v>4</v>
      </c>
      <c r="I34" s="434"/>
      <c r="J34" s="473">
        <v>4</v>
      </c>
      <c r="K34"/>
      <c r="L34" s="110"/>
      <c r="N34"/>
      <c r="O34"/>
      <c r="P34" s="109"/>
      <c r="Q34" s="462"/>
      <c r="R34" s="463"/>
      <c r="S34" s="463"/>
      <c r="T34"/>
      <c r="U34"/>
      <c r="V34"/>
      <c r="W34"/>
      <c r="X34"/>
    </row>
    <row r="35" spans="1:55" ht="16.2">
      <c r="A35" s="474" t="s">
        <v>150</v>
      </c>
      <c r="B35" s="434">
        <v>2</v>
      </c>
      <c r="C35" s="434">
        <v>5</v>
      </c>
      <c r="D35" s="473">
        <v>7</v>
      </c>
      <c r="E35"/>
      <c r="F35" s="109"/>
      <c r="G35" s="474" t="s">
        <v>268</v>
      </c>
      <c r="H35" s="434">
        <v>1</v>
      </c>
      <c r="I35" s="434"/>
      <c r="J35" s="473">
        <v>1</v>
      </c>
      <c r="K35"/>
      <c r="L35" s="110"/>
      <c r="N35"/>
      <c r="O35"/>
      <c r="P35" s="109"/>
      <c r="Q35" s="462"/>
      <c r="R35" s="463"/>
      <c r="S35" s="463"/>
      <c r="T35"/>
      <c r="U35"/>
      <c r="V35"/>
      <c r="W35"/>
      <c r="X35"/>
    </row>
    <row r="36" spans="1:55" ht="16.2">
      <c r="A36" s="474" t="s">
        <v>165</v>
      </c>
      <c r="B36" s="434"/>
      <c r="C36" s="434">
        <v>1</v>
      </c>
      <c r="D36" s="473">
        <v>1</v>
      </c>
      <c r="E36"/>
      <c r="F36" s="109"/>
      <c r="G36" s="474" t="s">
        <v>252</v>
      </c>
      <c r="H36" s="434">
        <v>12</v>
      </c>
      <c r="I36" s="434"/>
      <c r="J36" s="473">
        <v>12</v>
      </c>
      <c r="K36"/>
      <c r="L36" s="110"/>
      <c r="N36"/>
      <c r="O36"/>
      <c r="P36" s="109"/>
      <c r="Q36" s="462"/>
      <c r="R36" s="463"/>
      <c r="S36" s="463"/>
      <c r="T36"/>
      <c r="U36"/>
      <c r="V36"/>
      <c r="W36"/>
      <c r="X36"/>
    </row>
    <row r="37" spans="1:55" s="76" customFormat="1" ht="16.2">
      <c r="A37" s="475" t="s">
        <v>187</v>
      </c>
      <c r="B37" s="434">
        <v>1</v>
      </c>
      <c r="C37" s="434"/>
      <c r="D37" s="473">
        <v>1</v>
      </c>
      <c r="E37"/>
      <c r="F37" s="109"/>
      <c r="G37" s="474" t="s">
        <v>67</v>
      </c>
      <c r="H37" s="434">
        <v>1</v>
      </c>
      <c r="I37" s="434"/>
      <c r="J37" s="473">
        <v>1</v>
      </c>
      <c r="K37"/>
      <c r="L37" s="111"/>
      <c r="M37"/>
      <c r="N37"/>
      <c r="O37"/>
      <c r="P37" s="109"/>
      <c r="Q37" s="462"/>
      <c r="R37" s="463"/>
      <c r="S37" s="463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1:55" ht="16.2">
      <c r="A38" s="474" t="s">
        <v>201</v>
      </c>
      <c r="B38" s="434">
        <v>1</v>
      </c>
      <c r="C38" s="434"/>
      <c r="D38" s="473">
        <v>1</v>
      </c>
      <c r="E38"/>
      <c r="F38" s="109"/>
      <c r="G38" s="476"/>
      <c r="H38" s="434"/>
      <c r="I38" s="434"/>
      <c r="J38" s="473"/>
      <c r="K38"/>
      <c r="L38" s="110"/>
      <c r="N38"/>
      <c r="O38"/>
      <c r="P38" s="109"/>
      <c r="Q38" s="462"/>
      <c r="R38" s="463"/>
      <c r="S38" s="463"/>
      <c r="T38"/>
      <c r="U38"/>
      <c r="V38"/>
      <c r="W38"/>
      <c r="X38"/>
    </row>
    <row r="39" spans="1:55" s="25" customFormat="1" ht="16.2">
      <c r="A39" s="474" t="s">
        <v>204</v>
      </c>
      <c r="B39" s="434"/>
      <c r="C39" s="434">
        <v>1</v>
      </c>
      <c r="D39" s="473">
        <v>1</v>
      </c>
      <c r="E39"/>
      <c r="F39" s="109"/>
      <c r="G39" s="476" t="s">
        <v>439</v>
      </c>
      <c r="H39" s="434">
        <v>1</v>
      </c>
      <c r="I39" s="434"/>
      <c r="J39" s="473">
        <v>1</v>
      </c>
      <c r="K39"/>
      <c r="L39" s="106"/>
      <c r="M39"/>
      <c r="N39"/>
      <c r="O39"/>
      <c r="P39" s="109"/>
      <c r="Q39" s="462"/>
      <c r="R39" s="463"/>
      <c r="S39" s="463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1:55" s="76" customFormat="1" ht="16.2">
      <c r="A40" s="474" t="s">
        <v>216</v>
      </c>
      <c r="B40" s="434"/>
      <c r="C40" s="434">
        <v>1</v>
      </c>
      <c r="D40" s="473">
        <v>1</v>
      </c>
      <c r="E40"/>
      <c r="F40" s="109"/>
      <c r="G40" s="475" t="s">
        <v>252</v>
      </c>
      <c r="H40" s="434">
        <v>1</v>
      </c>
      <c r="I40" s="434"/>
      <c r="J40" s="473">
        <v>1</v>
      </c>
      <c r="K40"/>
      <c r="L40" s="111"/>
      <c r="M40"/>
      <c r="N40"/>
      <c r="O40"/>
      <c r="P40" s="109"/>
      <c r="Q40" s="462"/>
      <c r="R40" s="463"/>
      <c r="S40" s="463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1:55" s="76" customFormat="1" ht="16.2">
      <c r="A41" s="474" t="s">
        <v>233</v>
      </c>
      <c r="B41" s="434"/>
      <c r="C41" s="434">
        <v>1</v>
      </c>
      <c r="D41" s="473">
        <v>1</v>
      </c>
      <c r="E41"/>
      <c r="F41" s="109"/>
      <c r="G41" s="476"/>
      <c r="H41" s="434"/>
      <c r="I41" s="434"/>
      <c r="J41" s="473"/>
      <c r="K41"/>
      <c r="L41" s="111"/>
      <c r="M41"/>
      <c r="N41"/>
      <c r="O41"/>
      <c r="P41" s="109"/>
      <c r="Q41" s="462"/>
      <c r="R41" s="463"/>
      <c r="S41" s="463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s="76" customFormat="1" ht="16.2">
      <c r="A42" s="474" t="s">
        <v>244</v>
      </c>
      <c r="B42" s="434">
        <v>2</v>
      </c>
      <c r="C42" s="434"/>
      <c r="D42" s="473">
        <v>2</v>
      </c>
      <c r="E42"/>
      <c r="F42" s="109"/>
      <c r="G42" s="472" t="s">
        <v>150</v>
      </c>
      <c r="H42" s="434">
        <v>7</v>
      </c>
      <c r="I42" s="434">
        <v>11</v>
      </c>
      <c r="J42" s="473">
        <v>18</v>
      </c>
      <c r="K42"/>
      <c r="L42" s="111"/>
      <c r="M42"/>
      <c r="N42"/>
      <c r="O42"/>
      <c r="P42" s="109"/>
      <c r="Q42" s="462"/>
      <c r="R42" s="463"/>
      <c r="S42" s="463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1:55" s="76" customFormat="1" ht="16.2">
      <c r="A43" s="476"/>
      <c r="B43" s="434"/>
      <c r="C43" s="434"/>
      <c r="D43" s="473"/>
      <c r="E43"/>
      <c r="F43" s="109"/>
      <c r="G43" s="474" t="s">
        <v>60</v>
      </c>
      <c r="H43" s="434">
        <v>2</v>
      </c>
      <c r="I43" s="434">
        <v>5</v>
      </c>
      <c r="J43" s="473">
        <v>7</v>
      </c>
      <c r="K43"/>
      <c r="L43" s="111"/>
      <c r="M43"/>
      <c r="N43"/>
      <c r="O43"/>
      <c r="P43" s="109"/>
      <c r="Q43" s="462"/>
      <c r="R43" s="463"/>
      <c r="S43" s="46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s="76" customFormat="1" ht="16.2">
      <c r="A44" s="472" t="s">
        <v>68</v>
      </c>
      <c r="B44" s="434">
        <v>2</v>
      </c>
      <c r="C44" s="434"/>
      <c r="D44" s="473">
        <v>2</v>
      </c>
      <c r="E44"/>
      <c r="F44" s="109"/>
      <c r="G44" s="474" t="s">
        <v>66</v>
      </c>
      <c r="H44" s="434">
        <v>1</v>
      </c>
      <c r="I44" s="434">
        <v>1</v>
      </c>
      <c r="J44" s="473">
        <v>2</v>
      </c>
      <c r="K44"/>
      <c r="L44" s="111"/>
      <c r="M44"/>
      <c r="N44"/>
      <c r="O44"/>
      <c r="P44" s="109"/>
      <c r="Q44" s="462"/>
      <c r="R44" s="463"/>
      <c r="S44" s="463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5" s="76" customFormat="1" ht="16.2">
      <c r="A45" s="474" t="s">
        <v>182</v>
      </c>
      <c r="B45" s="434">
        <v>1</v>
      </c>
      <c r="C45" s="434"/>
      <c r="D45" s="473">
        <v>1</v>
      </c>
      <c r="E45"/>
      <c r="F45" s="109"/>
      <c r="G45" s="475" t="s">
        <v>62</v>
      </c>
      <c r="H45" s="434"/>
      <c r="I45" s="434">
        <v>1</v>
      </c>
      <c r="J45" s="473">
        <v>1</v>
      </c>
      <c r="K45"/>
      <c r="L45" s="111"/>
      <c r="M45"/>
      <c r="N45"/>
      <c r="O45"/>
      <c r="P45" s="109"/>
      <c r="Q45" s="462"/>
      <c r="R45" s="463"/>
      <c r="S45" s="463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s="76" customFormat="1" ht="16.2">
      <c r="A46" s="474" t="s">
        <v>187</v>
      </c>
      <c r="B46" s="434">
        <v>1</v>
      </c>
      <c r="C46" s="434"/>
      <c r="D46" s="473">
        <v>1</v>
      </c>
      <c r="E46"/>
      <c r="F46" s="109"/>
      <c r="G46" s="474" t="s">
        <v>240</v>
      </c>
      <c r="H46" s="434">
        <v>1</v>
      </c>
      <c r="I46" s="434"/>
      <c r="J46" s="473">
        <v>1</v>
      </c>
      <c r="K46"/>
      <c r="L46" s="111"/>
      <c r="M46"/>
      <c r="N46"/>
      <c r="O46"/>
      <c r="P46" s="109"/>
      <c r="Q46" s="462"/>
      <c r="R46" s="463"/>
      <c r="S46" s="463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5" s="76" customFormat="1" ht="16.2">
      <c r="A47" s="476"/>
      <c r="B47" s="434"/>
      <c r="C47" s="434"/>
      <c r="D47" s="473"/>
      <c r="E47"/>
      <c r="F47" s="109"/>
      <c r="G47" s="474" t="s">
        <v>67</v>
      </c>
      <c r="H47" s="434">
        <v>3</v>
      </c>
      <c r="I47" s="434">
        <v>3</v>
      </c>
      <c r="J47" s="473">
        <v>6</v>
      </c>
      <c r="K47"/>
      <c r="L47" s="111"/>
      <c r="M47"/>
      <c r="N47"/>
      <c r="O47"/>
      <c r="P47" s="109"/>
      <c r="Q47" s="462"/>
      <c r="R47" s="463"/>
      <c r="S47" s="463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s="76" customFormat="1" ht="16.2">
      <c r="A48" s="472" t="s">
        <v>268</v>
      </c>
      <c r="B48" s="434">
        <v>1</v>
      </c>
      <c r="C48" s="434"/>
      <c r="D48" s="473">
        <v>1</v>
      </c>
      <c r="E48"/>
      <c r="F48" s="109"/>
      <c r="G48" s="475" t="s">
        <v>336</v>
      </c>
      <c r="H48" s="434"/>
      <c r="I48" s="434">
        <v>1</v>
      </c>
      <c r="J48" s="473">
        <v>1</v>
      </c>
      <c r="K48"/>
      <c r="L48" s="111"/>
      <c r="M48"/>
      <c r="N48"/>
      <c r="O48"/>
      <c r="P48" s="109"/>
      <c r="Q48" s="462"/>
      <c r="R48" s="463"/>
      <c r="S48" s="463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s="76" customFormat="1" ht="16.2">
      <c r="A49" s="474" t="s">
        <v>251</v>
      </c>
      <c r="B49" s="434">
        <v>1</v>
      </c>
      <c r="C49" s="434"/>
      <c r="D49" s="473">
        <v>1</v>
      </c>
      <c r="E49"/>
      <c r="F49" s="109"/>
      <c r="G49" s="476"/>
      <c r="H49" s="434"/>
      <c r="I49" s="434"/>
      <c r="J49" s="473"/>
      <c r="K49"/>
      <c r="L49" s="111"/>
      <c r="M49"/>
      <c r="N49"/>
      <c r="O49"/>
      <c r="P49" s="10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s="76" customFormat="1" ht="16.2">
      <c r="A50" s="476"/>
      <c r="B50" s="434"/>
      <c r="C50" s="434"/>
      <c r="D50" s="473"/>
      <c r="E50"/>
      <c r="F50" s="109"/>
      <c r="G50" s="472" t="s">
        <v>158</v>
      </c>
      <c r="H50" s="434">
        <v>3</v>
      </c>
      <c r="I50" s="434">
        <v>3</v>
      </c>
      <c r="J50" s="473">
        <v>6</v>
      </c>
      <c r="K50"/>
      <c r="L50" s="111"/>
      <c r="M50"/>
      <c r="N50"/>
      <c r="O50"/>
      <c r="P50" s="109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s="76" customFormat="1" ht="16.2">
      <c r="A51" s="472" t="s">
        <v>252</v>
      </c>
      <c r="B51" s="434">
        <v>13</v>
      </c>
      <c r="C51" s="434"/>
      <c r="D51" s="473">
        <v>13</v>
      </c>
      <c r="E51"/>
      <c r="F51" s="109"/>
      <c r="G51" s="475" t="s">
        <v>66</v>
      </c>
      <c r="H51" s="434">
        <v>1</v>
      </c>
      <c r="I51" s="434"/>
      <c r="J51" s="473">
        <v>1</v>
      </c>
      <c r="K51"/>
      <c r="L51" s="111"/>
      <c r="M51"/>
      <c r="N51"/>
      <c r="O51"/>
      <c r="P51" s="109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s="76" customFormat="1" ht="16.2">
      <c r="A52" s="474" t="s">
        <v>251</v>
      </c>
      <c r="B52" s="434">
        <v>12</v>
      </c>
      <c r="C52" s="434"/>
      <c r="D52" s="473">
        <v>12</v>
      </c>
      <c r="E52"/>
      <c r="F52" s="109"/>
      <c r="G52" s="474" t="s">
        <v>194</v>
      </c>
      <c r="H52" s="434"/>
      <c r="I52" s="434">
        <v>1</v>
      </c>
      <c r="J52" s="473">
        <v>1</v>
      </c>
      <c r="K52"/>
      <c r="L52" s="111"/>
      <c r="M52"/>
      <c r="N52"/>
      <c r="O52"/>
      <c r="P52" s="109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s="76" customFormat="1" ht="16.2">
      <c r="A53" s="475" t="s">
        <v>439</v>
      </c>
      <c r="B53" s="434">
        <v>1</v>
      </c>
      <c r="C53" s="434"/>
      <c r="D53" s="473">
        <v>1</v>
      </c>
      <c r="E53"/>
      <c r="F53" s="109"/>
      <c r="G53" s="474" t="s">
        <v>64</v>
      </c>
      <c r="H53" s="434">
        <v>1</v>
      </c>
      <c r="I53" s="434">
        <v>2</v>
      </c>
      <c r="J53" s="473">
        <v>3</v>
      </c>
      <c r="K53"/>
      <c r="L53" s="111"/>
      <c r="M53"/>
      <c r="N53"/>
      <c r="O53"/>
      <c r="P53" s="109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ht="16.2">
      <c r="A54" s="476"/>
      <c r="B54" s="434"/>
      <c r="C54" s="434"/>
      <c r="D54" s="473"/>
      <c r="E54"/>
      <c r="F54" s="109"/>
      <c r="G54" s="474" t="s">
        <v>61</v>
      </c>
      <c r="H54" s="434">
        <v>1</v>
      </c>
      <c r="I54" s="434"/>
      <c r="J54" s="473">
        <v>1</v>
      </c>
      <c r="K54"/>
      <c r="L54" s="110"/>
      <c r="N54"/>
      <c r="O54"/>
      <c r="P54" s="109"/>
      <c r="R54"/>
      <c r="S54"/>
      <c r="T54"/>
      <c r="U54"/>
      <c r="V54"/>
      <c r="W54"/>
      <c r="X54"/>
    </row>
    <row r="55" spans="1:52" ht="16.2">
      <c r="A55" s="472" t="s">
        <v>66</v>
      </c>
      <c r="B55" s="434">
        <v>39</v>
      </c>
      <c r="C55" s="434">
        <v>5</v>
      </c>
      <c r="D55" s="473">
        <v>44</v>
      </c>
      <c r="E55"/>
      <c r="F55" s="109"/>
      <c r="G55" s="476"/>
      <c r="H55" s="434"/>
      <c r="I55" s="434"/>
      <c r="J55" s="473"/>
      <c r="K55"/>
      <c r="L55" s="110"/>
      <c r="N55"/>
      <c r="O55"/>
      <c r="P55" s="109"/>
      <c r="R55"/>
      <c r="S55"/>
      <c r="T55"/>
      <c r="U55"/>
      <c r="V55"/>
      <c r="W55"/>
      <c r="X55"/>
    </row>
    <row r="56" spans="1:52" ht="16.2">
      <c r="A56" s="474" t="s">
        <v>150</v>
      </c>
      <c r="B56" s="434">
        <v>1</v>
      </c>
      <c r="C56" s="434">
        <v>1</v>
      </c>
      <c r="D56" s="473">
        <v>2</v>
      </c>
      <c r="E56"/>
      <c r="F56" s="109"/>
      <c r="G56" s="472" t="s">
        <v>165</v>
      </c>
      <c r="H56" s="434">
        <v>3</v>
      </c>
      <c r="I56" s="434">
        <v>6</v>
      </c>
      <c r="J56" s="473">
        <v>9</v>
      </c>
      <c r="K56"/>
      <c r="L56" s="110"/>
      <c r="N56"/>
      <c r="O56"/>
      <c r="P56" s="109"/>
      <c r="R56"/>
      <c r="S56"/>
      <c r="T56"/>
      <c r="U56"/>
      <c r="V56"/>
      <c r="W56"/>
      <c r="X56"/>
    </row>
    <row r="57" spans="1:52" ht="16.2">
      <c r="A57" s="475" t="s">
        <v>158</v>
      </c>
      <c r="B57" s="434">
        <v>1</v>
      </c>
      <c r="C57" s="434"/>
      <c r="D57" s="473">
        <v>1</v>
      </c>
      <c r="E57"/>
      <c r="F57" s="109"/>
      <c r="G57" s="474" t="s">
        <v>60</v>
      </c>
      <c r="H57" s="434"/>
      <c r="I57" s="434">
        <v>1</v>
      </c>
      <c r="J57" s="473">
        <v>1</v>
      </c>
      <c r="K57"/>
      <c r="L57" s="110"/>
      <c r="N57"/>
      <c r="O57"/>
      <c r="P57" s="109"/>
      <c r="R57"/>
      <c r="S57"/>
      <c r="T57"/>
      <c r="U57"/>
      <c r="V57"/>
      <c r="W57"/>
      <c r="X57"/>
    </row>
    <row r="58" spans="1:52" ht="16.2">
      <c r="A58" s="475" t="s">
        <v>165</v>
      </c>
      <c r="B58" s="434">
        <v>2</v>
      </c>
      <c r="C58" s="434"/>
      <c r="D58" s="473">
        <v>2</v>
      </c>
      <c r="E58"/>
      <c r="F58" s="109"/>
      <c r="G58" s="475" t="s">
        <v>66</v>
      </c>
      <c r="H58" s="434">
        <v>2</v>
      </c>
      <c r="I58" s="434"/>
      <c r="J58" s="473">
        <v>2</v>
      </c>
      <c r="K58"/>
      <c r="L58" s="109"/>
      <c r="N58"/>
      <c r="O58"/>
      <c r="P58" s="109"/>
      <c r="R58"/>
      <c r="S58"/>
      <c r="T58"/>
      <c r="U58"/>
      <c r="V58"/>
      <c r="W58"/>
      <c r="X58"/>
    </row>
    <row r="59" spans="1:52" ht="16.2">
      <c r="A59" s="475" t="s">
        <v>182</v>
      </c>
      <c r="B59" s="434">
        <v>2</v>
      </c>
      <c r="C59" s="434"/>
      <c r="D59" s="473">
        <v>2</v>
      </c>
      <c r="E59"/>
      <c r="F59" s="109"/>
      <c r="G59" s="474" t="s">
        <v>62</v>
      </c>
      <c r="H59" s="434"/>
      <c r="I59" s="434">
        <v>1</v>
      </c>
      <c r="J59" s="473">
        <v>1</v>
      </c>
      <c r="K59"/>
      <c r="L59" s="109"/>
      <c r="N59"/>
      <c r="O59"/>
      <c r="P59" s="109"/>
      <c r="R59"/>
      <c r="S59"/>
      <c r="T59"/>
      <c r="U59"/>
      <c r="V59"/>
      <c r="W59"/>
      <c r="X59"/>
    </row>
    <row r="60" spans="1:52" ht="16.2">
      <c r="A60" s="474" t="s">
        <v>187</v>
      </c>
      <c r="B60" s="434">
        <v>3</v>
      </c>
      <c r="C60" s="434">
        <v>2</v>
      </c>
      <c r="D60" s="473">
        <v>5</v>
      </c>
      <c r="E60"/>
      <c r="F60" s="109"/>
      <c r="G60" s="474" t="s">
        <v>194</v>
      </c>
      <c r="H60" s="434"/>
      <c r="I60" s="434">
        <v>2</v>
      </c>
      <c r="J60" s="473">
        <v>2</v>
      </c>
      <c r="K60"/>
      <c r="L60" s="109"/>
      <c r="N60"/>
      <c r="O60"/>
      <c r="P60" s="109"/>
      <c r="R60"/>
      <c r="S60"/>
      <c r="T60"/>
      <c r="U60"/>
      <c r="V60"/>
      <c r="W60"/>
      <c r="X60"/>
    </row>
    <row r="61" spans="1:52" ht="16.2">
      <c r="A61" s="475" t="s">
        <v>201</v>
      </c>
      <c r="B61" s="434">
        <v>3</v>
      </c>
      <c r="C61" s="434">
        <v>1</v>
      </c>
      <c r="D61" s="473">
        <v>4</v>
      </c>
      <c r="E61"/>
      <c r="F61" s="109"/>
      <c r="G61" s="474" t="s">
        <v>166</v>
      </c>
      <c r="H61" s="434"/>
      <c r="I61" s="434">
        <v>2</v>
      </c>
      <c r="J61" s="473">
        <v>2</v>
      </c>
      <c r="K61"/>
      <c r="L61" s="109"/>
      <c r="N61"/>
      <c r="O61"/>
      <c r="P61" s="109"/>
      <c r="R61"/>
      <c r="S61"/>
      <c r="T61"/>
      <c r="U61"/>
      <c r="V61"/>
      <c r="W61"/>
      <c r="X61"/>
    </row>
    <row r="62" spans="1:52" ht="16.2">
      <c r="A62" s="474" t="s">
        <v>204</v>
      </c>
      <c r="B62" s="434">
        <v>6</v>
      </c>
      <c r="C62" s="434"/>
      <c r="D62" s="473">
        <v>6</v>
      </c>
      <c r="E62"/>
      <c r="F62" s="109"/>
      <c r="G62" s="474" t="s">
        <v>61</v>
      </c>
      <c r="H62" s="434">
        <v>1</v>
      </c>
      <c r="I62" s="434"/>
      <c r="J62" s="473">
        <v>1</v>
      </c>
      <c r="K62"/>
      <c r="L62" s="109"/>
      <c r="N62"/>
      <c r="O62"/>
      <c r="P62" s="109"/>
      <c r="R62"/>
      <c r="S62"/>
      <c r="T62"/>
      <c r="U62"/>
      <c r="V62"/>
      <c r="W62"/>
      <c r="X62"/>
    </row>
    <row r="63" spans="1:52" ht="16.2">
      <c r="A63" s="474" t="s">
        <v>216</v>
      </c>
      <c r="B63" s="434">
        <v>6</v>
      </c>
      <c r="C63" s="434"/>
      <c r="D63" s="473">
        <v>6</v>
      </c>
      <c r="E63"/>
      <c r="F63" s="109"/>
      <c r="G63" s="476"/>
      <c r="H63" s="434"/>
      <c r="I63" s="434"/>
      <c r="J63" s="473"/>
      <c r="K63"/>
      <c r="L63" s="109"/>
      <c r="N63"/>
      <c r="O63"/>
      <c r="P63" s="109"/>
      <c r="R63"/>
      <c r="S63"/>
      <c r="T63"/>
      <c r="U63"/>
      <c r="V63"/>
      <c r="W63"/>
      <c r="X63"/>
    </row>
    <row r="64" spans="1:52" ht="16.2">
      <c r="A64" s="474" t="s">
        <v>222</v>
      </c>
      <c r="B64" s="434">
        <v>4</v>
      </c>
      <c r="C64" s="434"/>
      <c r="D64" s="473">
        <v>4</v>
      </c>
      <c r="E64"/>
      <c r="F64" s="109"/>
      <c r="G64" s="472" t="s">
        <v>182</v>
      </c>
      <c r="H64" s="434">
        <v>3</v>
      </c>
      <c r="I64" s="434"/>
      <c r="J64" s="473">
        <v>3</v>
      </c>
      <c r="K64"/>
      <c r="L64" s="109"/>
      <c r="N64"/>
      <c r="O64"/>
      <c r="P64" s="109"/>
      <c r="R64"/>
      <c r="S64"/>
      <c r="T64"/>
      <c r="U64"/>
      <c r="V64"/>
      <c r="W64"/>
      <c r="X64"/>
    </row>
    <row r="65" spans="1:24" ht="16.2">
      <c r="A65" s="475" t="s">
        <v>233</v>
      </c>
      <c r="B65" s="434">
        <v>2</v>
      </c>
      <c r="C65" s="434"/>
      <c r="D65" s="473">
        <v>2</v>
      </c>
      <c r="E65"/>
      <c r="F65" s="109"/>
      <c r="G65" s="474" t="s">
        <v>68</v>
      </c>
      <c r="H65" s="434">
        <v>1</v>
      </c>
      <c r="I65" s="434"/>
      <c r="J65" s="473">
        <v>1</v>
      </c>
      <c r="K65"/>
      <c r="L65" s="109"/>
      <c r="N65"/>
      <c r="O65"/>
      <c r="P65" s="109"/>
      <c r="R65"/>
      <c r="S65"/>
      <c r="T65"/>
      <c r="U65"/>
      <c r="V65"/>
      <c r="W65"/>
      <c r="X65"/>
    </row>
    <row r="66" spans="1:24" ht="16.2">
      <c r="A66" s="475" t="s">
        <v>244</v>
      </c>
      <c r="B66" s="434">
        <v>3</v>
      </c>
      <c r="C66" s="434"/>
      <c r="D66" s="473">
        <v>3</v>
      </c>
      <c r="E66"/>
      <c r="F66" s="109"/>
      <c r="G66" s="475" t="s">
        <v>66</v>
      </c>
      <c r="H66" s="434">
        <v>2</v>
      </c>
      <c r="I66" s="434"/>
      <c r="J66" s="473">
        <v>2</v>
      </c>
      <c r="K66"/>
      <c r="L66" s="109"/>
      <c r="N66"/>
      <c r="O66"/>
      <c r="P66" s="109"/>
      <c r="R66"/>
      <c r="S66"/>
      <c r="T66"/>
      <c r="U66"/>
      <c r="V66"/>
      <c r="W66"/>
      <c r="X66"/>
    </row>
    <row r="67" spans="1:24" ht="16.2">
      <c r="A67" s="475" t="s">
        <v>247</v>
      </c>
      <c r="B67" s="434">
        <v>5</v>
      </c>
      <c r="C67" s="434"/>
      <c r="D67" s="473">
        <v>5</v>
      </c>
      <c r="E67"/>
      <c r="F67" s="109"/>
      <c r="G67" s="476"/>
      <c r="H67" s="434"/>
      <c r="I67" s="434"/>
      <c r="J67" s="473"/>
      <c r="K67"/>
      <c r="L67" s="109"/>
      <c r="N67"/>
      <c r="O67"/>
      <c r="P67" s="109"/>
      <c r="R67"/>
      <c r="S67"/>
      <c r="T67"/>
      <c r="U67"/>
      <c r="V67"/>
      <c r="W67"/>
      <c r="X67"/>
    </row>
    <row r="68" spans="1:24" ht="16.2">
      <c r="A68" s="475" t="s">
        <v>427</v>
      </c>
      <c r="B68" s="434">
        <v>1</v>
      </c>
      <c r="C68" s="434">
        <v>1</v>
      </c>
      <c r="D68" s="473">
        <v>2</v>
      </c>
      <c r="E68"/>
      <c r="F68" s="109"/>
      <c r="G68" s="472" t="s">
        <v>187</v>
      </c>
      <c r="H68" s="434">
        <v>7</v>
      </c>
      <c r="I68" s="434">
        <v>3</v>
      </c>
      <c r="J68" s="473">
        <v>10</v>
      </c>
      <c r="K68"/>
      <c r="L68" s="109"/>
      <c r="N68"/>
      <c r="O68"/>
      <c r="P68" s="109"/>
      <c r="R68"/>
      <c r="S68"/>
      <c r="T68"/>
      <c r="U68"/>
      <c r="V68"/>
      <c r="W68"/>
      <c r="X68"/>
    </row>
    <row r="69" spans="1:24" ht="16.2">
      <c r="A69" s="476"/>
      <c r="B69" s="434"/>
      <c r="C69" s="434"/>
      <c r="D69" s="473"/>
      <c r="E69"/>
      <c r="F69" s="109"/>
      <c r="G69" s="475" t="s">
        <v>60</v>
      </c>
      <c r="H69" s="434">
        <v>1</v>
      </c>
      <c r="I69" s="434"/>
      <c r="J69" s="473">
        <v>1</v>
      </c>
      <c r="K69"/>
      <c r="L69" s="109"/>
      <c r="N69"/>
      <c r="O69"/>
      <c r="P69" s="109"/>
      <c r="R69"/>
      <c r="S69"/>
      <c r="T69"/>
      <c r="U69"/>
      <c r="V69"/>
      <c r="W69"/>
      <c r="X69"/>
    </row>
    <row r="70" spans="1:24" ht="16.2">
      <c r="A70" s="472" t="s">
        <v>62</v>
      </c>
      <c r="B70" s="434"/>
      <c r="C70" s="434">
        <v>3</v>
      </c>
      <c r="D70" s="473">
        <v>3</v>
      </c>
      <c r="E70"/>
      <c r="F70" s="109"/>
      <c r="G70" s="474" t="s">
        <v>68</v>
      </c>
      <c r="H70" s="434">
        <v>1</v>
      </c>
      <c r="I70" s="434"/>
      <c r="J70" s="473">
        <v>1</v>
      </c>
      <c r="K70"/>
      <c r="L70" s="109"/>
      <c r="N70"/>
      <c r="O70"/>
      <c r="P70" s="109"/>
      <c r="R70"/>
      <c r="S70"/>
      <c r="T70"/>
      <c r="U70"/>
      <c r="V70"/>
      <c r="W70"/>
      <c r="X70"/>
    </row>
    <row r="71" spans="1:24" ht="16.2">
      <c r="A71" s="475" t="s">
        <v>150</v>
      </c>
      <c r="B71" s="434"/>
      <c r="C71" s="434">
        <v>1</v>
      </c>
      <c r="D71" s="473">
        <v>1</v>
      </c>
      <c r="E71"/>
      <c r="F71" s="109"/>
      <c r="G71" s="474" t="s">
        <v>66</v>
      </c>
      <c r="H71" s="434">
        <v>3</v>
      </c>
      <c r="I71" s="434">
        <v>2</v>
      </c>
      <c r="J71" s="473">
        <v>5</v>
      </c>
      <c r="K71"/>
      <c r="L71" s="109"/>
      <c r="N71"/>
      <c r="O71"/>
      <c r="P71" s="109"/>
      <c r="R71"/>
      <c r="S71"/>
      <c r="T71"/>
      <c r="U71"/>
      <c r="V71"/>
      <c r="W71"/>
      <c r="X71"/>
    </row>
    <row r="72" spans="1:24" ht="16.2">
      <c r="A72" s="474" t="s">
        <v>165</v>
      </c>
      <c r="B72" s="434"/>
      <c r="C72" s="434">
        <v>1</v>
      </c>
      <c r="D72" s="473">
        <v>1</v>
      </c>
      <c r="E72"/>
      <c r="F72" s="109"/>
      <c r="G72" s="474" t="s">
        <v>194</v>
      </c>
      <c r="H72" s="434"/>
      <c r="I72" s="434">
        <v>1</v>
      </c>
      <c r="J72" s="473">
        <v>1</v>
      </c>
      <c r="K72"/>
      <c r="L72" s="109"/>
      <c r="N72"/>
      <c r="O72"/>
      <c r="P72" s="109"/>
      <c r="R72"/>
      <c r="S72"/>
      <c r="T72"/>
      <c r="U72"/>
      <c r="V72"/>
      <c r="W72"/>
      <c r="X72"/>
    </row>
    <row r="73" spans="1:24" ht="16.2">
      <c r="A73" s="475" t="s">
        <v>311</v>
      </c>
      <c r="B73" s="434"/>
      <c r="C73" s="434">
        <v>1</v>
      </c>
      <c r="D73" s="473">
        <v>1</v>
      </c>
      <c r="E73"/>
      <c r="F73" s="109"/>
      <c r="G73" s="474" t="s">
        <v>61</v>
      </c>
      <c r="H73" s="434">
        <v>2</v>
      </c>
      <c r="I73" s="434"/>
      <c r="J73" s="473">
        <v>2</v>
      </c>
      <c r="K73"/>
      <c r="L73" s="109"/>
      <c r="N73"/>
      <c r="O73"/>
      <c r="P73" s="109"/>
      <c r="R73"/>
      <c r="S73"/>
      <c r="T73"/>
      <c r="U73"/>
      <c r="V73"/>
      <c r="W73"/>
      <c r="X73"/>
    </row>
    <row r="74" spans="1:24" ht="16.2">
      <c r="A74" s="476"/>
      <c r="B74" s="434"/>
      <c r="C74" s="434"/>
      <c r="D74" s="473"/>
      <c r="E74"/>
      <c r="F74" s="109"/>
      <c r="G74" s="476"/>
      <c r="H74" s="434"/>
      <c r="I74" s="434"/>
      <c r="J74" s="473"/>
      <c r="K74"/>
      <c r="L74" s="109"/>
      <c r="N74"/>
      <c r="O74"/>
      <c r="P74" s="109"/>
      <c r="R74"/>
      <c r="S74"/>
      <c r="T74"/>
      <c r="U74"/>
      <c r="V74"/>
      <c r="W74"/>
      <c r="X74"/>
    </row>
    <row r="75" spans="1:24" ht="16.2">
      <c r="A75" s="472" t="s">
        <v>194</v>
      </c>
      <c r="B75" s="434">
        <v>1</v>
      </c>
      <c r="C75" s="434">
        <v>9</v>
      </c>
      <c r="D75" s="473">
        <v>10</v>
      </c>
      <c r="E75"/>
      <c r="F75" s="109"/>
      <c r="G75" s="472" t="s">
        <v>201</v>
      </c>
      <c r="H75" s="434">
        <v>6</v>
      </c>
      <c r="I75" s="434">
        <v>1</v>
      </c>
      <c r="J75" s="473">
        <v>7</v>
      </c>
      <c r="K75"/>
      <c r="L75" s="109"/>
      <c r="N75"/>
      <c r="O75"/>
      <c r="P75" s="109"/>
      <c r="R75"/>
      <c r="S75"/>
      <c r="T75"/>
      <c r="U75"/>
      <c r="V75"/>
      <c r="W75"/>
      <c r="X75"/>
    </row>
    <row r="76" spans="1:24" ht="16.2">
      <c r="A76" s="474" t="s">
        <v>158</v>
      </c>
      <c r="B76" s="434"/>
      <c r="C76" s="434">
        <v>1</v>
      </c>
      <c r="D76" s="473">
        <v>1</v>
      </c>
      <c r="E76"/>
      <c r="F76" s="109"/>
      <c r="G76" s="474" t="s">
        <v>60</v>
      </c>
      <c r="H76" s="434">
        <v>1</v>
      </c>
      <c r="I76" s="434"/>
      <c r="J76" s="473">
        <v>1</v>
      </c>
      <c r="K76"/>
      <c r="L76" s="109"/>
      <c r="N76"/>
      <c r="O76"/>
      <c r="P76" s="109"/>
      <c r="R76"/>
      <c r="S76"/>
      <c r="T76"/>
      <c r="U76"/>
      <c r="V76"/>
      <c r="W76"/>
      <c r="X76"/>
    </row>
    <row r="77" spans="1:24" ht="16.2">
      <c r="A77" s="474" t="s">
        <v>165</v>
      </c>
      <c r="B77" s="434"/>
      <c r="C77" s="434">
        <v>2</v>
      </c>
      <c r="D77" s="473">
        <v>2</v>
      </c>
      <c r="E77"/>
      <c r="F77" s="110"/>
      <c r="G77" s="475" t="s">
        <v>66</v>
      </c>
      <c r="H77" s="434">
        <v>3</v>
      </c>
      <c r="I77" s="434">
        <v>1</v>
      </c>
      <c r="J77" s="473">
        <v>4</v>
      </c>
      <c r="K77"/>
      <c r="L77" s="109"/>
      <c r="N77"/>
      <c r="O77"/>
      <c r="P77" s="109"/>
      <c r="R77"/>
      <c r="S77"/>
      <c r="T77"/>
      <c r="U77"/>
      <c r="V77"/>
      <c r="W77"/>
      <c r="X77"/>
    </row>
    <row r="78" spans="1:24" ht="16.2">
      <c r="A78" s="474" t="s">
        <v>187</v>
      </c>
      <c r="B78" s="434"/>
      <c r="C78" s="434">
        <v>1</v>
      </c>
      <c r="D78" s="473">
        <v>1</v>
      </c>
      <c r="E78"/>
      <c r="F78" s="110"/>
      <c r="G78" s="474" t="s">
        <v>194</v>
      </c>
      <c r="H78" s="434">
        <v>1</v>
      </c>
      <c r="I78" s="434"/>
      <c r="J78" s="473">
        <v>1</v>
      </c>
      <c r="K78"/>
      <c r="L78" s="109"/>
      <c r="N78"/>
      <c r="O78"/>
      <c r="P78" s="109"/>
      <c r="R78"/>
      <c r="S78"/>
      <c r="T78"/>
      <c r="U78"/>
      <c r="V78"/>
      <c r="W78"/>
      <c r="X78"/>
    </row>
    <row r="79" spans="1:24" ht="16.2">
      <c r="A79" s="474" t="s">
        <v>201</v>
      </c>
      <c r="B79" s="434">
        <v>1</v>
      </c>
      <c r="C79" s="434"/>
      <c r="D79" s="473">
        <v>1</v>
      </c>
      <c r="E79"/>
      <c r="F79" s="110"/>
      <c r="G79" s="474" t="s">
        <v>67</v>
      </c>
      <c r="H79" s="434">
        <v>1</v>
      </c>
      <c r="I79" s="434"/>
      <c r="J79" s="473">
        <v>1</v>
      </c>
      <c r="K79"/>
      <c r="L79" s="109"/>
      <c r="N79"/>
      <c r="O79"/>
      <c r="P79" s="109"/>
      <c r="R79"/>
      <c r="S79"/>
      <c r="T79"/>
      <c r="U79"/>
      <c r="V79"/>
      <c r="W79"/>
      <c r="X79"/>
    </row>
    <row r="80" spans="1:24" ht="16.2">
      <c r="A80" s="474" t="s">
        <v>204</v>
      </c>
      <c r="B80" s="434"/>
      <c r="C80" s="434">
        <v>1</v>
      </c>
      <c r="D80" s="473">
        <v>1</v>
      </c>
      <c r="E80"/>
      <c r="F80" s="110"/>
      <c r="G80" s="476"/>
      <c r="H80" s="434"/>
      <c r="I80" s="434"/>
      <c r="J80" s="473"/>
      <c r="K80"/>
      <c r="L80" s="109"/>
      <c r="N80"/>
      <c r="O80"/>
      <c r="P80" s="109"/>
      <c r="R80"/>
      <c r="S80"/>
      <c r="T80"/>
      <c r="U80"/>
      <c r="V80"/>
      <c r="W80"/>
      <c r="X80"/>
    </row>
    <row r="81" spans="1:24" ht="16.2">
      <c r="A81" s="474" t="s">
        <v>222</v>
      </c>
      <c r="B81" s="434"/>
      <c r="C81" s="434">
        <v>2</v>
      </c>
      <c r="D81" s="473">
        <v>2</v>
      </c>
      <c r="E81"/>
      <c r="F81" s="110"/>
      <c r="G81" s="472" t="s">
        <v>204</v>
      </c>
      <c r="H81" s="434">
        <v>9</v>
      </c>
      <c r="I81" s="434">
        <v>2</v>
      </c>
      <c r="J81" s="473">
        <v>11</v>
      </c>
      <c r="K81"/>
      <c r="L81" s="109"/>
      <c r="N81"/>
      <c r="O81"/>
      <c r="P81" s="109"/>
      <c r="R81"/>
      <c r="S81"/>
      <c r="T81"/>
      <c r="U81"/>
      <c r="V81"/>
      <c r="W81"/>
      <c r="X81"/>
    </row>
    <row r="82" spans="1:24" ht="16.2">
      <c r="A82" s="474" t="s">
        <v>244</v>
      </c>
      <c r="B82" s="434"/>
      <c r="C82" s="434">
        <v>1</v>
      </c>
      <c r="D82" s="473">
        <v>1</v>
      </c>
      <c r="E82"/>
      <c r="F82" s="110"/>
      <c r="G82" s="474" t="s">
        <v>60</v>
      </c>
      <c r="H82" s="434"/>
      <c r="I82" s="434">
        <v>1</v>
      </c>
      <c r="J82" s="473">
        <v>1</v>
      </c>
      <c r="K82"/>
      <c r="L82" s="109"/>
      <c r="N82"/>
      <c r="O82"/>
      <c r="P82" s="109"/>
      <c r="R82"/>
      <c r="S82"/>
      <c r="T82"/>
      <c r="U82"/>
      <c r="V82"/>
      <c r="W82"/>
      <c r="X82"/>
    </row>
    <row r="83" spans="1:24" ht="16.2">
      <c r="A83" s="474" t="s">
        <v>247</v>
      </c>
      <c r="B83" s="434"/>
      <c r="C83" s="434">
        <v>1</v>
      </c>
      <c r="D83" s="473">
        <v>1</v>
      </c>
      <c r="E83"/>
      <c r="F83" s="110"/>
      <c r="G83" s="474" t="s">
        <v>66</v>
      </c>
      <c r="H83" s="434">
        <v>6</v>
      </c>
      <c r="I83" s="434"/>
      <c r="J83" s="473">
        <v>6</v>
      </c>
      <c r="K83"/>
      <c r="L83" s="109"/>
      <c r="N83"/>
      <c r="O83"/>
      <c r="P83" s="109"/>
      <c r="R83"/>
      <c r="S83"/>
      <c r="T83"/>
      <c r="U83"/>
      <c r="V83"/>
      <c r="W83"/>
      <c r="X83"/>
    </row>
    <row r="84" spans="1:24" ht="16.2">
      <c r="A84" s="476"/>
      <c r="B84" s="434"/>
      <c r="C84" s="434"/>
      <c r="D84" s="473"/>
      <c r="E84"/>
      <c r="F84" s="110"/>
      <c r="G84" s="474" t="s">
        <v>194</v>
      </c>
      <c r="H84" s="434"/>
      <c r="I84" s="434">
        <v>1</v>
      </c>
      <c r="J84" s="473">
        <v>1</v>
      </c>
      <c r="K84"/>
      <c r="L84" s="109"/>
      <c r="N84"/>
      <c r="O84"/>
      <c r="P84" s="109"/>
      <c r="R84"/>
      <c r="S84"/>
      <c r="T84"/>
      <c r="U84"/>
      <c r="V84"/>
      <c r="W84"/>
      <c r="X84"/>
    </row>
    <row r="85" spans="1:24" ht="16.2">
      <c r="A85" s="472" t="s">
        <v>166</v>
      </c>
      <c r="B85" s="434"/>
      <c r="C85" s="434">
        <v>3</v>
      </c>
      <c r="D85" s="473">
        <v>3</v>
      </c>
      <c r="E85"/>
      <c r="F85" s="110"/>
      <c r="G85" s="474" t="s">
        <v>61</v>
      </c>
      <c r="H85" s="434">
        <v>2</v>
      </c>
      <c r="I85" s="434"/>
      <c r="J85" s="473">
        <v>2</v>
      </c>
      <c r="K85"/>
      <c r="L85" s="109"/>
      <c r="N85"/>
      <c r="O85"/>
      <c r="P85" s="109"/>
      <c r="R85"/>
      <c r="S85"/>
      <c r="T85"/>
      <c r="U85"/>
      <c r="V85"/>
      <c r="W85"/>
      <c r="X85"/>
    </row>
    <row r="86" spans="1:24" ht="16.2">
      <c r="A86" s="474" t="s">
        <v>165</v>
      </c>
      <c r="B86" s="434"/>
      <c r="C86" s="434">
        <v>2</v>
      </c>
      <c r="D86" s="473">
        <v>2</v>
      </c>
      <c r="E86"/>
      <c r="F86" s="110"/>
      <c r="G86" s="474" t="s">
        <v>67</v>
      </c>
      <c r="H86" s="434">
        <v>1</v>
      </c>
      <c r="I86" s="434"/>
      <c r="J86" s="473">
        <v>1</v>
      </c>
      <c r="K86"/>
      <c r="L86" s="109"/>
      <c r="N86"/>
      <c r="O86"/>
      <c r="P86" s="109"/>
      <c r="R86"/>
      <c r="S86"/>
      <c r="T86"/>
      <c r="U86"/>
      <c r="V86"/>
      <c r="W86"/>
      <c r="X86"/>
    </row>
    <row r="87" spans="1:24" ht="16.2">
      <c r="A87" s="474" t="s">
        <v>222</v>
      </c>
      <c r="B87" s="434"/>
      <c r="C87" s="434">
        <v>1</v>
      </c>
      <c r="D87" s="473">
        <v>1</v>
      </c>
      <c r="E87"/>
      <c r="F87" s="110"/>
      <c r="G87" s="476"/>
      <c r="H87" s="434"/>
      <c r="I87" s="434"/>
      <c r="J87" s="473"/>
      <c r="K87"/>
      <c r="L87" s="109"/>
      <c r="N87"/>
      <c r="O87"/>
      <c r="P87" s="109"/>
      <c r="R87"/>
      <c r="S87"/>
      <c r="T87"/>
      <c r="U87"/>
      <c r="V87"/>
      <c r="W87"/>
      <c r="X87"/>
    </row>
    <row r="88" spans="1:24" ht="16.2">
      <c r="A88" s="476"/>
      <c r="B88" s="434"/>
      <c r="C88" s="434"/>
      <c r="D88" s="473"/>
      <c r="E88"/>
      <c r="F88" s="110"/>
      <c r="G88" s="472" t="s">
        <v>216</v>
      </c>
      <c r="H88" s="434">
        <v>10</v>
      </c>
      <c r="I88" s="434">
        <v>1</v>
      </c>
      <c r="J88" s="473">
        <v>11</v>
      </c>
      <c r="K88"/>
      <c r="L88" s="109"/>
      <c r="N88"/>
      <c r="O88"/>
      <c r="P88" s="109"/>
      <c r="R88"/>
      <c r="S88"/>
      <c r="T88"/>
      <c r="U88"/>
      <c r="V88"/>
      <c r="W88"/>
      <c r="X88"/>
    </row>
    <row r="89" spans="1:24" ht="16.2">
      <c r="A89" s="472" t="s">
        <v>64</v>
      </c>
      <c r="B89" s="434">
        <v>1</v>
      </c>
      <c r="C89" s="434">
        <v>2</v>
      </c>
      <c r="D89" s="473">
        <v>3</v>
      </c>
      <c r="E89"/>
      <c r="F89" s="110"/>
      <c r="G89" s="474" t="s">
        <v>60</v>
      </c>
      <c r="H89" s="434"/>
      <c r="I89" s="434">
        <v>1</v>
      </c>
      <c r="J89" s="473">
        <v>1</v>
      </c>
      <c r="K89"/>
      <c r="L89" s="109"/>
      <c r="N89"/>
      <c r="O89"/>
      <c r="P89" s="109"/>
      <c r="R89"/>
      <c r="S89"/>
      <c r="T89"/>
      <c r="U89"/>
      <c r="V89"/>
      <c r="W89"/>
      <c r="X89"/>
    </row>
    <row r="90" spans="1:24" ht="16.2">
      <c r="A90" s="474" t="s">
        <v>158</v>
      </c>
      <c r="B90" s="434">
        <v>1</v>
      </c>
      <c r="C90" s="434">
        <v>2</v>
      </c>
      <c r="D90" s="473">
        <v>3</v>
      </c>
      <c r="E90"/>
      <c r="F90" s="110"/>
      <c r="G90" s="474" t="s">
        <v>66</v>
      </c>
      <c r="H90" s="434">
        <v>6</v>
      </c>
      <c r="I90" s="434"/>
      <c r="J90" s="473">
        <v>6</v>
      </c>
      <c r="K90"/>
      <c r="L90" s="109"/>
      <c r="N90"/>
      <c r="O90"/>
      <c r="P90" s="109"/>
      <c r="R90"/>
      <c r="S90"/>
      <c r="T90"/>
      <c r="U90"/>
      <c r="V90"/>
      <c r="W90"/>
      <c r="X90"/>
    </row>
    <row r="91" spans="1:24" ht="16.2">
      <c r="A91" s="476"/>
      <c r="B91" s="434"/>
      <c r="C91" s="434"/>
      <c r="D91" s="473"/>
      <c r="E91"/>
      <c r="F91" s="110"/>
      <c r="G91" s="474" t="s">
        <v>61</v>
      </c>
      <c r="H91" s="434">
        <v>3</v>
      </c>
      <c r="I91" s="434"/>
      <c r="J91" s="473">
        <v>3</v>
      </c>
      <c r="K91"/>
      <c r="L91" s="109"/>
      <c r="N91"/>
      <c r="O91"/>
      <c r="P91" s="109"/>
      <c r="R91"/>
      <c r="S91"/>
      <c r="T91"/>
      <c r="U91"/>
      <c r="V91"/>
      <c r="W91"/>
      <c r="X91"/>
    </row>
    <row r="92" spans="1:24" ht="16.2">
      <c r="A92" s="472" t="s">
        <v>240</v>
      </c>
      <c r="B92" s="434">
        <v>1</v>
      </c>
      <c r="C92" s="434"/>
      <c r="D92" s="473">
        <v>1</v>
      </c>
      <c r="E92"/>
      <c r="F92" s="110"/>
      <c r="G92" s="474" t="s">
        <v>67</v>
      </c>
      <c r="H92" s="434">
        <v>1</v>
      </c>
      <c r="I92" s="434"/>
      <c r="J92" s="473">
        <v>1</v>
      </c>
      <c r="K92"/>
      <c r="L92" s="109"/>
      <c r="N92"/>
      <c r="O92"/>
      <c r="P92" s="109"/>
      <c r="R92"/>
      <c r="S92"/>
      <c r="T92"/>
      <c r="U92"/>
      <c r="V92"/>
      <c r="W92"/>
      <c r="X92"/>
    </row>
    <row r="93" spans="1:24" ht="16.2">
      <c r="A93" s="474" t="s">
        <v>150</v>
      </c>
      <c r="B93" s="434">
        <v>1</v>
      </c>
      <c r="C93" s="434"/>
      <c r="D93" s="473">
        <v>1</v>
      </c>
      <c r="E93"/>
      <c r="F93" s="110"/>
      <c r="G93" s="476"/>
      <c r="H93" s="434"/>
      <c r="I93" s="434"/>
      <c r="J93" s="473"/>
      <c r="K93"/>
      <c r="L93" s="109"/>
      <c r="N93"/>
      <c r="O93"/>
      <c r="P93" s="109"/>
      <c r="R93"/>
      <c r="S93"/>
      <c r="T93"/>
      <c r="U93"/>
      <c r="V93"/>
      <c r="W93"/>
      <c r="X93"/>
    </row>
    <row r="94" spans="1:24" ht="16.2">
      <c r="A94" s="476"/>
      <c r="B94" s="434"/>
      <c r="C94" s="434"/>
      <c r="D94" s="473"/>
      <c r="E94"/>
      <c r="F94" s="110"/>
      <c r="G94" s="472" t="s">
        <v>222</v>
      </c>
      <c r="H94" s="434">
        <v>5</v>
      </c>
      <c r="I94" s="434">
        <v>4</v>
      </c>
      <c r="J94" s="473">
        <v>9</v>
      </c>
      <c r="K94"/>
      <c r="L94" s="109"/>
      <c r="N94"/>
      <c r="O94"/>
      <c r="P94" s="109"/>
      <c r="R94"/>
      <c r="S94"/>
      <c r="T94"/>
      <c r="U94"/>
      <c r="V94"/>
      <c r="W94"/>
      <c r="X94"/>
    </row>
    <row r="95" spans="1:24" ht="16.2">
      <c r="A95" s="472" t="s">
        <v>61</v>
      </c>
      <c r="B95" s="434">
        <v>13</v>
      </c>
      <c r="C95" s="434">
        <v>1</v>
      </c>
      <c r="D95" s="473">
        <v>14</v>
      </c>
      <c r="E95"/>
      <c r="F95" s="110"/>
      <c r="G95" s="474" t="s">
        <v>66</v>
      </c>
      <c r="H95" s="434">
        <v>4</v>
      </c>
      <c r="I95" s="434"/>
      <c r="J95" s="473">
        <v>4</v>
      </c>
      <c r="K95"/>
      <c r="L95" s="109"/>
      <c r="N95"/>
      <c r="O95"/>
      <c r="P95" s="109"/>
      <c r="R95"/>
      <c r="S95"/>
      <c r="T95"/>
      <c r="U95"/>
      <c r="V95"/>
      <c r="W95"/>
      <c r="X95"/>
    </row>
    <row r="96" spans="1:24" ht="16.2">
      <c r="A96" s="474" t="s">
        <v>158</v>
      </c>
      <c r="B96" s="434">
        <v>1</v>
      </c>
      <c r="C96" s="434"/>
      <c r="D96" s="473">
        <v>1</v>
      </c>
      <c r="E96"/>
      <c r="F96" s="110"/>
      <c r="G96" s="474" t="s">
        <v>194</v>
      </c>
      <c r="H96" s="434"/>
      <c r="I96" s="434">
        <v>2</v>
      </c>
      <c r="J96" s="473">
        <v>2</v>
      </c>
      <c r="K96"/>
      <c r="L96" s="109"/>
      <c r="N96"/>
      <c r="O96"/>
      <c r="P96" s="109"/>
      <c r="R96"/>
      <c r="S96"/>
      <c r="T96"/>
      <c r="U96"/>
      <c r="V96"/>
      <c r="W96"/>
      <c r="X96"/>
    </row>
    <row r="97" spans="1:24" ht="16.2">
      <c r="A97" s="474" t="s">
        <v>165</v>
      </c>
      <c r="B97" s="434">
        <v>1</v>
      </c>
      <c r="C97" s="434"/>
      <c r="D97" s="473">
        <v>1</v>
      </c>
      <c r="E97"/>
      <c r="F97" s="110"/>
      <c r="G97" s="474" t="s">
        <v>166</v>
      </c>
      <c r="H97" s="434"/>
      <c r="I97" s="434">
        <v>1</v>
      </c>
      <c r="J97" s="473">
        <v>1</v>
      </c>
      <c r="K97"/>
      <c r="L97" s="109"/>
      <c r="N97"/>
      <c r="O97"/>
      <c r="P97" s="109"/>
      <c r="R97"/>
      <c r="S97"/>
      <c r="T97"/>
      <c r="U97"/>
      <c r="V97"/>
      <c r="W97"/>
      <c r="X97"/>
    </row>
    <row r="98" spans="1:24" ht="16.2">
      <c r="A98" s="474" t="s">
        <v>187</v>
      </c>
      <c r="B98" s="434">
        <v>2</v>
      </c>
      <c r="C98" s="434"/>
      <c r="D98" s="473">
        <v>2</v>
      </c>
      <c r="E98"/>
      <c r="F98" s="110"/>
      <c r="G98" s="474" t="s">
        <v>61</v>
      </c>
      <c r="H98" s="434">
        <v>1</v>
      </c>
      <c r="I98" s="434">
        <v>1</v>
      </c>
      <c r="J98" s="473">
        <v>2</v>
      </c>
      <c r="K98"/>
      <c r="L98" s="109"/>
      <c r="N98"/>
      <c r="O98"/>
      <c r="P98" s="109"/>
      <c r="R98"/>
      <c r="S98"/>
      <c r="T98"/>
      <c r="U98"/>
      <c r="V98"/>
      <c r="W98"/>
      <c r="X98"/>
    </row>
    <row r="99" spans="1:24" ht="16.2">
      <c r="A99" s="474" t="s">
        <v>204</v>
      </c>
      <c r="B99" s="434">
        <v>2</v>
      </c>
      <c r="C99" s="434"/>
      <c r="D99" s="473">
        <v>2</v>
      </c>
      <c r="E99"/>
      <c r="F99" s="110"/>
      <c r="G99" s="476"/>
      <c r="H99" s="434"/>
      <c r="I99" s="434"/>
      <c r="J99" s="473"/>
      <c r="K99"/>
      <c r="L99" s="109"/>
      <c r="N99"/>
      <c r="O99"/>
      <c r="P99" s="109"/>
      <c r="R99"/>
      <c r="S99"/>
      <c r="T99"/>
      <c r="U99"/>
      <c r="V99"/>
      <c r="W99"/>
      <c r="X99"/>
    </row>
    <row r="100" spans="1:24" ht="16.2">
      <c r="A100" s="474" t="s">
        <v>216</v>
      </c>
      <c r="B100" s="434">
        <v>3</v>
      </c>
      <c r="C100" s="434"/>
      <c r="D100" s="473">
        <v>3</v>
      </c>
      <c r="E100"/>
      <c r="F100" s="110"/>
      <c r="G100" s="472" t="s">
        <v>233</v>
      </c>
      <c r="H100" s="434">
        <v>4</v>
      </c>
      <c r="I100" s="434">
        <v>1</v>
      </c>
      <c r="J100" s="473">
        <v>5</v>
      </c>
      <c r="K100"/>
      <c r="L100" s="109"/>
      <c r="N100"/>
      <c r="O100"/>
      <c r="P100" s="109"/>
      <c r="R100"/>
      <c r="S100"/>
      <c r="T100"/>
      <c r="U100"/>
      <c r="V100"/>
      <c r="W100"/>
      <c r="X100"/>
    </row>
    <row r="101" spans="1:24" ht="16.2">
      <c r="A101" s="474" t="s">
        <v>222</v>
      </c>
      <c r="B101" s="434">
        <v>1</v>
      </c>
      <c r="C101" s="434">
        <v>1</v>
      </c>
      <c r="D101" s="473">
        <v>2</v>
      </c>
      <c r="E101"/>
      <c r="F101" s="110"/>
      <c r="G101" s="474" t="s">
        <v>60</v>
      </c>
      <c r="H101" s="434"/>
      <c r="I101" s="434">
        <v>1</v>
      </c>
      <c r="J101" s="473">
        <v>1</v>
      </c>
      <c r="K101"/>
      <c r="L101" s="109"/>
      <c r="N101"/>
      <c r="O101"/>
      <c r="P101" s="109"/>
      <c r="R101"/>
      <c r="S101"/>
      <c r="T101"/>
      <c r="U101"/>
      <c r="V101"/>
      <c r="W101"/>
      <c r="X101"/>
    </row>
    <row r="102" spans="1:24" ht="16.2">
      <c r="A102" s="474" t="s">
        <v>233</v>
      </c>
      <c r="B102" s="434">
        <v>2</v>
      </c>
      <c r="C102" s="434"/>
      <c r="D102" s="473">
        <v>2</v>
      </c>
      <c r="E102"/>
      <c r="F102" s="110"/>
      <c r="G102" s="475" t="s">
        <v>66</v>
      </c>
      <c r="H102" s="434">
        <v>2</v>
      </c>
      <c r="I102" s="434"/>
      <c r="J102" s="473">
        <v>2</v>
      </c>
      <c r="K102"/>
      <c r="L102" s="109"/>
      <c r="N102"/>
      <c r="O102"/>
      <c r="P102" s="109"/>
      <c r="R102"/>
      <c r="S102"/>
      <c r="T102"/>
      <c r="U102"/>
      <c r="V102"/>
      <c r="W102"/>
      <c r="X102"/>
    </row>
    <row r="103" spans="1:24" ht="16.2">
      <c r="A103" s="474" t="s">
        <v>247</v>
      </c>
      <c r="B103" s="434">
        <v>1</v>
      </c>
      <c r="C103" s="434"/>
      <c r="D103" s="473">
        <v>1</v>
      </c>
      <c r="E103"/>
      <c r="F103" s="109"/>
      <c r="G103" s="474" t="s">
        <v>61</v>
      </c>
      <c r="H103" s="434">
        <v>2</v>
      </c>
      <c r="I103" s="434"/>
      <c r="J103" s="473">
        <v>2</v>
      </c>
      <c r="K103"/>
      <c r="L103" s="109"/>
      <c r="M103" s="109"/>
      <c r="N103" s="109"/>
      <c r="O103" s="109"/>
      <c r="P103" s="109"/>
      <c r="R103"/>
      <c r="S103"/>
      <c r="T103"/>
      <c r="U103"/>
      <c r="V103"/>
      <c r="W103"/>
      <c r="X103"/>
    </row>
    <row r="104" spans="1:24" ht="16.2">
      <c r="A104" s="476"/>
      <c r="B104" s="434"/>
      <c r="C104" s="434"/>
      <c r="D104" s="473"/>
      <c r="E104"/>
      <c r="F104" s="109"/>
      <c r="G104" s="476"/>
      <c r="H104" s="434"/>
      <c r="I104" s="434"/>
      <c r="J104" s="473"/>
      <c r="K104"/>
      <c r="L104" s="109"/>
      <c r="M104" s="109"/>
      <c r="N104" s="109"/>
      <c r="O104" s="109"/>
      <c r="P104" s="109"/>
      <c r="R104"/>
      <c r="S104"/>
      <c r="T104"/>
      <c r="U104"/>
      <c r="V104"/>
      <c r="W104"/>
      <c r="X104"/>
    </row>
    <row r="105" spans="1:24" ht="16.2">
      <c r="A105" s="472" t="s">
        <v>67</v>
      </c>
      <c r="B105" s="434">
        <v>7</v>
      </c>
      <c r="C105" s="434">
        <v>3</v>
      </c>
      <c r="D105" s="473">
        <v>10</v>
      </c>
      <c r="E105"/>
      <c r="F105" s="109"/>
      <c r="G105" s="472" t="s">
        <v>244</v>
      </c>
      <c r="H105" s="434">
        <v>5</v>
      </c>
      <c r="I105" s="434">
        <v>1</v>
      </c>
      <c r="J105" s="473">
        <v>6</v>
      </c>
      <c r="K105"/>
      <c r="L105" s="109"/>
      <c r="M105" s="109"/>
      <c r="N105" s="109"/>
      <c r="O105" s="109"/>
      <c r="P105" s="109"/>
      <c r="R105"/>
      <c r="S105"/>
      <c r="T105"/>
      <c r="U105"/>
      <c r="V105"/>
      <c r="W105"/>
      <c r="X105"/>
    </row>
    <row r="106" spans="1:24" ht="16.2">
      <c r="A106" s="474" t="s">
        <v>251</v>
      </c>
      <c r="B106" s="434">
        <v>1</v>
      </c>
      <c r="C106" s="434"/>
      <c r="D106" s="473">
        <v>1</v>
      </c>
      <c r="E106"/>
      <c r="F106" s="109"/>
      <c r="G106" s="474" t="s">
        <v>60</v>
      </c>
      <c r="H106" s="434">
        <v>2</v>
      </c>
      <c r="I106" s="434"/>
      <c r="J106" s="473">
        <v>2</v>
      </c>
      <c r="K106"/>
      <c r="L106" s="109"/>
      <c r="M106" s="109"/>
      <c r="N106" s="109"/>
      <c r="O106" s="109"/>
      <c r="P106" s="109"/>
      <c r="R106"/>
      <c r="S106"/>
      <c r="T106"/>
      <c r="U106"/>
      <c r="V106"/>
      <c r="W106"/>
      <c r="X106"/>
    </row>
    <row r="107" spans="1:24" ht="16.2">
      <c r="A107" s="474" t="s">
        <v>150</v>
      </c>
      <c r="B107" s="434">
        <v>3</v>
      </c>
      <c r="C107" s="434">
        <v>3</v>
      </c>
      <c r="D107" s="473">
        <v>6</v>
      </c>
      <c r="E107"/>
      <c r="F107" s="109"/>
      <c r="G107" s="475" t="s">
        <v>66</v>
      </c>
      <c r="H107" s="434">
        <v>3</v>
      </c>
      <c r="I107" s="434"/>
      <c r="J107" s="473">
        <v>3</v>
      </c>
      <c r="K107"/>
      <c r="L107" s="109"/>
      <c r="M107" s="109"/>
      <c r="N107" s="109"/>
      <c r="O107" s="109"/>
      <c r="P107" s="109"/>
      <c r="R107"/>
      <c r="S107"/>
      <c r="T107"/>
      <c r="U107"/>
      <c r="V107"/>
      <c r="W107"/>
      <c r="X107"/>
    </row>
    <row r="108" spans="1:24" ht="16.2">
      <c r="A108" s="474" t="s">
        <v>201</v>
      </c>
      <c r="B108" s="434">
        <v>1</v>
      </c>
      <c r="C108" s="434"/>
      <c r="D108" s="473">
        <v>1</v>
      </c>
      <c r="E108"/>
      <c r="F108" s="109"/>
      <c r="G108" s="474" t="s">
        <v>194</v>
      </c>
      <c r="H108" s="434"/>
      <c r="I108" s="434">
        <v>1</v>
      </c>
      <c r="J108" s="473">
        <v>1</v>
      </c>
      <c r="K108"/>
      <c r="L108" s="109"/>
      <c r="M108" s="109"/>
      <c r="N108" s="109"/>
      <c r="O108" s="109"/>
      <c r="P108" s="109"/>
    </row>
    <row r="109" spans="1:24" ht="16.2">
      <c r="A109" s="474" t="s">
        <v>204</v>
      </c>
      <c r="B109" s="434">
        <v>1</v>
      </c>
      <c r="C109" s="434"/>
      <c r="D109" s="473">
        <v>1</v>
      </c>
      <c r="E109"/>
      <c r="F109" s="109"/>
      <c r="G109" s="476"/>
      <c r="H109" s="434"/>
      <c r="I109" s="434"/>
      <c r="J109" s="473"/>
      <c r="K109"/>
      <c r="L109" s="109"/>
      <c r="M109" s="109"/>
      <c r="N109" s="109"/>
      <c r="O109" s="109"/>
      <c r="P109" s="109"/>
    </row>
    <row r="110" spans="1:24" ht="16.2">
      <c r="A110" s="474" t="s">
        <v>216</v>
      </c>
      <c r="B110" s="434">
        <v>1</v>
      </c>
      <c r="C110" s="434"/>
      <c r="D110" s="473">
        <v>1</v>
      </c>
      <c r="E110"/>
      <c r="F110" s="109"/>
      <c r="G110" s="472" t="s">
        <v>247</v>
      </c>
      <c r="H110" s="434">
        <v>6</v>
      </c>
      <c r="I110" s="434">
        <v>1</v>
      </c>
      <c r="J110" s="473">
        <v>7</v>
      </c>
      <c r="K110"/>
      <c r="L110" s="109"/>
      <c r="M110" s="109"/>
      <c r="N110" s="109"/>
      <c r="O110" s="109"/>
      <c r="P110" s="109"/>
    </row>
    <row r="111" spans="1:24" ht="16.2">
      <c r="A111" s="476"/>
      <c r="B111" s="434"/>
      <c r="C111" s="434"/>
      <c r="D111" s="473"/>
      <c r="E111"/>
      <c r="F111" s="109"/>
      <c r="G111" s="475" t="s">
        <v>66</v>
      </c>
      <c r="H111" s="434">
        <v>5</v>
      </c>
      <c r="I111" s="434"/>
      <c r="J111" s="473">
        <v>5</v>
      </c>
      <c r="K111"/>
      <c r="L111" s="109"/>
      <c r="M111" s="109"/>
      <c r="N111" s="109"/>
      <c r="O111" s="109"/>
      <c r="P111" s="109"/>
    </row>
    <row r="112" spans="1:24" ht="16.2">
      <c r="A112" s="476" t="s">
        <v>336</v>
      </c>
      <c r="B112" s="434"/>
      <c r="C112" s="434">
        <v>1</v>
      </c>
      <c r="D112" s="473">
        <v>1</v>
      </c>
      <c r="E112"/>
      <c r="F112" s="109"/>
      <c r="G112" s="474" t="s">
        <v>194</v>
      </c>
      <c r="H112" s="434"/>
      <c r="I112" s="434">
        <v>1</v>
      </c>
      <c r="J112" s="473">
        <v>1</v>
      </c>
      <c r="K112"/>
      <c r="L112" s="109"/>
      <c r="M112" s="109"/>
      <c r="N112" s="109"/>
      <c r="O112" s="109"/>
      <c r="P112" s="109"/>
    </row>
    <row r="113" spans="1:16" ht="16.2">
      <c r="A113" s="475" t="s">
        <v>150</v>
      </c>
      <c r="B113" s="434"/>
      <c r="C113" s="434">
        <v>1</v>
      </c>
      <c r="D113" s="473">
        <v>1</v>
      </c>
      <c r="E113"/>
      <c r="F113" s="109"/>
      <c r="G113" s="474" t="s">
        <v>61</v>
      </c>
      <c r="H113" s="434">
        <v>1</v>
      </c>
      <c r="I113" s="434"/>
      <c r="J113" s="473">
        <v>1</v>
      </c>
      <c r="K113"/>
      <c r="L113" s="109"/>
      <c r="M113" s="109"/>
      <c r="N113" s="109"/>
      <c r="O113" s="109"/>
      <c r="P113" s="109"/>
    </row>
    <row r="114" spans="1:16" ht="16.2">
      <c r="A114" s="476"/>
      <c r="B114" s="434"/>
      <c r="C114" s="434"/>
      <c r="D114" s="473"/>
      <c r="E114"/>
      <c r="F114" s="109"/>
      <c r="G114" s="476"/>
      <c r="H114" s="434"/>
      <c r="I114" s="434"/>
      <c r="J114" s="473"/>
      <c r="K114"/>
      <c r="L114" s="109"/>
      <c r="M114" s="109"/>
      <c r="N114" s="109"/>
      <c r="O114" s="109"/>
      <c r="P114" s="109"/>
    </row>
    <row r="115" spans="1:16" ht="16.2">
      <c r="A115" s="477" t="s">
        <v>701</v>
      </c>
      <c r="B115" s="434">
        <v>88</v>
      </c>
      <c r="C115" s="434">
        <v>36</v>
      </c>
      <c r="D115" s="473">
        <v>124</v>
      </c>
      <c r="E115" s="109"/>
      <c r="F115" s="109"/>
      <c r="G115" s="476" t="s">
        <v>311</v>
      </c>
      <c r="H115" s="434"/>
      <c r="I115" s="434">
        <v>1</v>
      </c>
      <c r="J115" s="473">
        <v>1</v>
      </c>
      <c r="K115"/>
      <c r="L115" s="109"/>
      <c r="M115" s="109"/>
      <c r="N115" s="109"/>
      <c r="O115" s="109"/>
      <c r="P115" s="109"/>
    </row>
    <row r="116" spans="1:16" ht="16.2">
      <c r="A116" s="109"/>
      <c r="B116" s="109"/>
      <c r="C116" s="109"/>
      <c r="D116" s="109"/>
      <c r="E116" s="109"/>
      <c r="F116" s="109"/>
      <c r="G116" s="475" t="s">
        <v>62</v>
      </c>
      <c r="H116" s="434"/>
      <c r="I116" s="434">
        <v>1</v>
      </c>
      <c r="J116" s="473">
        <v>1</v>
      </c>
      <c r="K116"/>
      <c r="L116" s="109"/>
      <c r="M116" s="109"/>
      <c r="N116" s="109"/>
      <c r="O116" s="109"/>
      <c r="P116" s="109"/>
    </row>
    <row r="117" spans="1:16" ht="16.2">
      <c r="A117" s="109"/>
      <c r="B117" s="109"/>
      <c r="C117" s="109"/>
      <c r="D117" s="109"/>
      <c r="E117" s="109"/>
      <c r="F117" s="109"/>
      <c r="G117" s="476"/>
      <c r="H117" s="434"/>
      <c r="I117" s="434"/>
      <c r="J117" s="473"/>
      <c r="K117"/>
      <c r="L117" s="109"/>
      <c r="M117" s="109"/>
      <c r="N117" s="109"/>
      <c r="O117" s="109"/>
      <c r="P117" s="109"/>
    </row>
    <row r="118" spans="1:16" ht="16.2">
      <c r="A118" s="109"/>
      <c r="B118" s="109"/>
      <c r="C118" s="109"/>
      <c r="D118" s="109"/>
      <c r="E118" s="109"/>
      <c r="F118" s="109"/>
      <c r="G118" s="476" t="s">
        <v>427</v>
      </c>
      <c r="H118" s="434">
        <v>1</v>
      </c>
      <c r="I118" s="434">
        <v>1</v>
      </c>
      <c r="J118" s="473">
        <v>2</v>
      </c>
      <c r="K118"/>
      <c r="L118" s="109"/>
      <c r="M118" s="109"/>
      <c r="N118" s="109"/>
      <c r="O118" s="109"/>
      <c r="P118" s="109"/>
    </row>
    <row r="119" spans="1:16" ht="16.2">
      <c r="A119" s="109"/>
      <c r="B119" s="109"/>
      <c r="C119" s="109"/>
      <c r="D119" s="109"/>
      <c r="E119" s="109"/>
      <c r="F119" s="109"/>
      <c r="G119" s="475" t="s">
        <v>66</v>
      </c>
      <c r="H119" s="434">
        <v>1</v>
      </c>
      <c r="I119" s="434">
        <v>1</v>
      </c>
      <c r="J119" s="473">
        <v>2</v>
      </c>
      <c r="K119"/>
      <c r="L119" s="109"/>
      <c r="M119" s="109"/>
      <c r="N119" s="109"/>
      <c r="O119" s="109"/>
      <c r="P119" s="109"/>
    </row>
    <row r="120" spans="1:16" ht="16.2">
      <c r="A120" s="109"/>
      <c r="B120" s="109"/>
      <c r="C120" s="109"/>
      <c r="D120" s="109"/>
      <c r="E120" s="109"/>
      <c r="F120" s="109"/>
      <c r="G120" s="476"/>
      <c r="H120" s="434"/>
      <c r="I120" s="434"/>
      <c r="J120" s="473"/>
      <c r="K120"/>
      <c r="L120" s="109"/>
      <c r="M120" s="109"/>
      <c r="N120" s="109"/>
      <c r="O120" s="109"/>
      <c r="P120" s="109"/>
    </row>
    <row r="121" spans="1:16" ht="16.2">
      <c r="A121" s="109"/>
      <c r="B121" s="109"/>
      <c r="C121" s="109"/>
      <c r="D121" s="109"/>
      <c r="E121" s="109"/>
      <c r="F121" s="109"/>
      <c r="G121" s="477" t="s">
        <v>702</v>
      </c>
      <c r="H121" s="434">
        <v>88</v>
      </c>
      <c r="I121" s="434">
        <v>36</v>
      </c>
      <c r="J121" s="473">
        <v>124</v>
      </c>
      <c r="K121" s="109"/>
      <c r="L121" s="109"/>
      <c r="M121" s="109"/>
      <c r="N121" s="109"/>
      <c r="O121" s="109"/>
      <c r="P121" s="109"/>
    </row>
    <row r="122" spans="1:16" ht="16.2">
      <c r="A122" s="109"/>
      <c r="B122" s="10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</row>
    <row r="123" spans="1:16" ht="16.2">
      <c r="A123" s="109"/>
      <c r="B123" s="10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</row>
    <row r="124" spans="1:16" ht="16.2">
      <c r="A124" s="109"/>
      <c r="B124" s="10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</row>
    <row r="125" spans="1:16" ht="16.2">
      <c r="A125" s="109"/>
      <c r="B125" s="10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</row>
    <row r="126" spans="1:16" ht="16.2">
      <c r="A126" s="109"/>
      <c r="B126" s="10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</row>
    <row r="127" spans="1:16" ht="16.2">
      <c r="A127" s="109"/>
      <c r="B127" s="10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</row>
    <row r="128" spans="1:16" ht="16.2">
      <c r="A128" s="109"/>
      <c r="B128" s="10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</row>
    <row r="129" spans="1:16" ht="16.2">
      <c r="A129" s="109"/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</row>
    <row r="130" spans="1:16" ht="16.2">
      <c r="A130" s="109"/>
      <c r="B130" s="10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</row>
    <row r="131" spans="1:16" ht="16.2">
      <c r="A131" s="109"/>
      <c r="B131" s="109"/>
      <c r="C131" s="109"/>
      <c r="D131" s="109"/>
      <c r="E131" s="110"/>
      <c r="F131" s="109"/>
      <c r="G131" s="109"/>
      <c r="H131" s="110"/>
      <c r="I131" s="110"/>
      <c r="J131" s="110"/>
      <c r="K131" s="109"/>
      <c r="L131" s="109"/>
      <c r="M131" s="109"/>
      <c r="N131" s="109"/>
      <c r="O131" s="109"/>
      <c r="P131" s="109"/>
    </row>
    <row r="132" spans="1:16" ht="16.2">
      <c r="A132" s="109"/>
      <c r="B132" s="109"/>
      <c r="C132" s="109"/>
      <c r="D132" s="109"/>
      <c r="E132" s="110"/>
      <c r="F132" s="109"/>
      <c r="G132" s="109"/>
      <c r="H132" s="110"/>
      <c r="I132" s="110"/>
      <c r="J132" s="110"/>
      <c r="K132" s="109"/>
      <c r="L132" s="109"/>
      <c r="M132" s="109"/>
      <c r="N132" s="106"/>
      <c r="O132" s="106"/>
      <c r="P132" s="109"/>
    </row>
    <row r="133" spans="1:16" ht="16.2">
      <c r="A133" s="109"/>
      <c r="B133" s="109"/>
      <c r="C133" s="109"/>
      <c r="D133" s="109"/>
      <c r="E133" s="110"/>
      <c r="F133" s="109"/>
      <c r="G133" s="109"/>
      <c r="H133" s="110"/>
      <c r="I133" s="110"/>
      <c r="J133" s="110"/>
      <c r="K133" s="109"/>
      <c r="L133" s="109"/>
      <c r="M133" s="109"/>
      <c r="N133" s="106"/>
      <c r="O133" s="106"/>
      <c r="P133" s="109"/>
    </row>
    <row r="134" spans="1:16" ht="16.2">
      <c r="A134" s="109"/>
      <c r="B134" s="109"/>
      <c r="C134" s="109"/>
      <c r="D134" s="109"/>
      <c r="E134" s="110"/>
      <c r="F134" s="109"/>
      <c r="G134" s="109"/>
      <c r="H134" s="110"/>
      <c r="I134" s="110"/>
      <c r="J134" s="110"/>
      <c r="K134" s="109"/>
      <c r="L134" s="109"/>
      <c r="M134" s="109"/>
      <c r="N134" s="106"/>
      <c r="O134" s="106"/>
      <c r="P134" s="109"/>
    </row>
    <row r="135" spans="1:16" ht="16.2">
      <c r="A135" s="109"/>
      <c r="B135" s="109"/>
      <c r="C135" s="109"/>
      <c r="D135" s="109"/>
      <c r="E135" s="110"/>
      <c r="F135" s="109"/>
      <c r="G135" s="109"/>
      <c r="H135" s="110"/>
      <c r="I135" s="110"/>
      <c r="J135" s="110"/>
      <c r="K135" s="110"/>
      <c r="L135" s="110"/>
      <c r="M135" s="109"/>
      <c r="N135" s="106"/>
      <c r="O135" s="106"/>
      <c r="P135" s="109"/>
    </row>
    <row r="136" spans="1:16" ht="16.2">
      <c r="A136" s="109"/>
      <c r="B136" s="109"/>
      <c r="C136" s="109"/>
      <c r="D136" s="109"/>
      <c r="E136" s="110"/>
      <c r="F136" s="109"/>
      <c r="G136" s="109"/>
      <c r="H136" s="110"/>
      <c r="I136" s="110"/>
      <c r="J136" s="110"/>
      <c r="K136" s="110"/>
      <c r="L136" s="110"/>
      <c r="M136" s="109"/>
      <c r="N136" s="106"/>
      <c r="O136" s="106"/>
      <c r="P136" s="109"/>
    </row>
    <row r="137" spans="1:16" ht="16.2">
      <c r="A137" s="109"/>
      <c r="B137" s="109"/>
      <c r="C137" s="109"/>
      <c r="D137" s="109"/>
      <c r="E137" s="110"/>
      <c r="F137" s="109"/>
      <c r="G137" s="109"/>
      <c r="H137" s="110"/>
      <c r="I137" s="110"/>
      <c r="J137" s="110"/>
      <c r="K137" s="110"/>
      <c r="L137" s="110"/>
      <c r="M137" s="109"/>
      <c r="N137" s="106"/>
      <c r="O137" s="106"/>
      <c r="P137" s="109"/>
    </row>
    <row r="138" spans="1:16" ht="16.2">
      <c r="A138" s="109"/>
      <c r="B138" s="109"/>
      <c r="C138" s="109"/>
      <c r="D138" s="109"/>
      <c r="E138" s="110"/>
      <c r="F138" s="109"/>
      <c r="G138" s="109"/>
      <c r="H138" s="110"/>
      <c r="I138" s="110"/>
      <c r="J138" s="110"/>
      <c r="K138" s="110"/>
      <c r="L138" s="110"/>
      <c r="M138" s="109"/>
      <c r="N138" s="106"/>
      <c r="O138" s="106"/>
      <c r="P138" s="109"/>
    </row>
    <row r="139" spans="1:16" ht="16.2">
      <c r="A139" s="109"/>
      <c r="B139" s="109"/>
      <c r="C139" s="109"/>
      <c r="D139" s="109"/>
      <c r="E139" s="110"/>
      <c r="F139" s="109"/>
      <c r="G139" s="109"/>
      <c r="H139" s="110"/>
      <c r="I139" s="110"/>
      <c r="J139" s="110"/>
      <c r="K139" s="110"/>
      <c r="L139" s="110"/>
      <c r="M139" s="109"/>
      <c r="N139" s="106"/>
      <c r="O139" s="106"/>
      <c r="P139" s="109"/>
    </row>
    <row r="140" spans="1:16" ht="16.2">
      <c r="A140" s="109"/>
      <c r="B140" s="109"/>
      <c r="C140" s="109"/>
      <c r="D140" s="109"/>
      <c r="E140" s="110"/>
      <c r="F140" s="109"/>
      <c r="G140" s="109"/>
      <c r="H140" s="110"/>
      <c r="I140" s="110"/>
      <c r="J140" s="110"/>
      <c r="K140" s="110"/>
      <c r="L140" s="110"/>
      <c r="M140" s="109"/>
      <c r="N140" s="106"/>
      <c r="O140" s="106"/>
      <c r="P140" s="109"/>
    </row>
    <row r="141" spans="1:16" ht="16.2">
      <c r="A141" s="109"/>
      <c r="B141" s="109"/>
      <c r="C141" s="109"/>
      <c r="D141" s="109"/>
      <c r="E141" s="110"/>
      <c r="F141" s="109"/>
      <c r="G141" s="109"/>
      <c r="H141" s="110"/>
      <c r="I141" s="110"/>
      <c r="J141" s="110"/>
      <c r="K141" s="110"/>
      <c r="L141" s="110"/>
      <c r="M141" s="109"/>
      <c r="N141" s="106"/>
      <c r="O141" s="106"/>
      <c r="P141" s="109"/>
    </row>
    <row r="142" spans="1:16" ht="16.2">
      <c r="A142" s="109"/>
      <c r="B142" s="109"/>
      <c r="C142" s="109"/>
      <c r="D142" s="109"/>
      <c r="E142" s="110"/>
      <c r="F142" s="109"/>
      <c r="G142" s="109"/>
      <c r="H142" s="110"/>
      <c r="I142" s="110"/>
      <c r="J142" s="110"/>
      <c r="K142" s="110"/>
      <c r="L142" s="110"/>
      <c r="M142" s="109"/>
      <c r="N142" s="106"/>
      <c r="O142" s="106"/>
      <c r="P142" s="109"/>
    </row>
    <row r="143" spans="1:16" ht="16.2">
      <c r="A143" s="109"/>
      <c r="B143" s="109"/>
      <c r="C143" s="109"/>
      <c r="D143" s="109"/>
      <c r="E143" s="110"/>
      <c r="F143" s="109"/>
      <c r="G143" s="109"/>
      <c r="H143" s="110"/>
      <c r="I143" s="110"/>
      <c r="J143" s="110"/>
      <c r="K143" s="110"/>
      <c r="L143" s="110"/>
      <c r="M143" s="109"/>
      <c r="N143" s="106"/>
      <c r="O143" s="106"/>
      <c r="P143" s="109"/>
    </row>
    <row r="144" spans="1:16" ht="16.2">
      <c r="A144" s="109"/>
      <c r="B144" s="109"/>
      <c r="C144" s="109"/>
      <c r="D144" s="109"/>
      <c r="E144" s="110"/>
      <c r="F144" s="109"/>
      <c r="G144" s="109"/>
      <c r="H144" s="110"/>
      <c r="I144" s="110"/>
      <c r="J144" s="110"/>
      <c r="K144" s="110"/>
      <c r="L144" s="110"/>
      <c r="M144" s="109"/>
      <c r="N144" s="106"/>
      <c r="O144" s="106"/>
      <c r="P144" s="109"/>
    </row>
    <row r="145" spans="1:16" ht="16.2">
      <c r="A145" s="109"/>
      <c r="B145" s="109"/>
      <c r="C145" s="109"/>
      <c r="D145" s="109"/>
      <c r="E145" s="110"/>
      <c r="F145" s="109"/>
      <c r="G145" s="109"/>
      <c r="H145" s="110"/>
      <c r="I145" s="110"/>
      <c r="J145" s="110"/>
      <c r="K145" s="110"/>
      <c r="L145" s="110"/>
      <c r="M145" s="109"/>
      <c r="N145" s="106"/>
      <c r="O145" s="106"/>
      <c r="P145" s="109"/>
    </row>
    <row r="146" spans="1:16" ht="16.2">
      <c r="A146" s="109"/>
      <c r="B146" s="109"/>
      <c r="C146" s="109"/>
      <c r="D146" s="109"/>
      <c r="E146" s="110"/>
      <c r="F146" s="109"/>
      <c r="G146" s="109"/>
      <c r="H146" s="110"/>
      <c r="I146" s="110"/>
      <c r="J146" s="110"/>
      <c r="K146" s="110"/>
      <c r="L146" s="110"/>
      <c r="M146" s="109"/>
      <c r="N146" s="106"/>
      <c r="O146" s="106"/>
      <c r="P146" s="109"/>
    </row>
    <row r="147" spans="1:16" ht="16.2">
      <c r="A147" s="109"/>
      <c r="B147" s="109"/>
      <c r="C147" s="109"/>
      <c r="D147" s="109"/>
      <c r="E147" s="110"/>
      <c r="F147" s="109"/>
      <c r="G147" s="109"/>
      <c r="H147" s="110"/>
      <c r="I147" s="110"/>
      <c r="J147" s="110"/>
      <c r="K147" s="110"/>
      <c r="L147" s="110"/>
      <c r="M147" s="109"/>
      <c r="N147" s="106"/>
      <c r="O147" s="106"/>
      <c r="P147" s="109"/>
    </row>
    <row r="148" spans="1:16" ht="16.2">
      <c r="A148" s="109"/>
      <c r="B148" s="109"/>
      <c r="C148" s="109"/>
      <c r="D148" s="109"/>
      <c r="E148" s="110"/>
      <c r="F148" s="109"/>
      <c r="G148" s="109"/>
      <c r="H148" s="110"/>
      <c r="I148" s="110"/>
      <c r="J148" s="110"/>
      <c r="K148" s="110"/>
      <c r="L148" s="110"/>
      <c r="M148" s="109"/>
      <c r="N148" s="106"/>
      <c r="O148" s="106"/>
      <c r="P148" s="109"/>
    </row>
    <row r="149" spans="1:16" ht="16.2">
      <c r="A149" s="109"/>
      <c r="B149" s="109"/>
      <c r="C149" s="109"/>
      <c r="D149" s="109"/>
      <c r="E149" s="110"/>
      <c r="F149" s="109"/>
      <c r="G149" s="109"/>
      <c r="H149" s="110"/>
      <c r="I149" s="110"/>
      <c r="J149" s="110"/>
      <c r="K149" s="110"/>
      <c r="L149" s="110"/>
      <c r="M149" s="109"/>
      <c r="N149" s="106"/>
      <c r="O149" s="106"/>
      <c r="P149" s="109"/>
    </row>
    <row r="150" spans="1:16" ht="16.2">
      <c r="A150" s="109"/>
      <c r="B150" s="109"/>
      <c r="C150" s="109"/>
      <c r="D150" s="109"/>
      <c r="E150" s="110"/>
      <c r="F150" s="109"/>
      <c r="G150" s="109"/>
      <c r="H150" s="110"/>
      <c r="I150" s="110"/>
      <c r="J150" s="110"/>
      <c r="K150" s="110"/>
      <c r="L150" s="110"/>
      <c r="M150" s="109"/>
      <c r="N150" s="106"/>
      <c r="O150" s="106"/>
      <c r="P150" s="109"/>
    </row>
    <row r="151" spans="1:16" ht="16.2">
      <c r="A151" s="109"/>
      <c r="B151" s="109"/>
      <c r="C151" s="109"/>
      <c r="D151" s="109"/>
      <c r="E151" s="110"/>
      <c r="F151" s="109"/>
      <c r="G151" s="109"/>
      <c r="H151" s="110"/>
      <c r="I151" s="110"/>
      <c r="J151" s="110"/>
      <c r="K151" s="110"/>
      <c r="L151" s="110"/>
      <c r="M151" s="109"/>
      <c r="N151" s="106"/>
      <c r="O151" s="106"/>
      <c r="P151" s="109"/>
    </row>
    <row r="152" spans="1:16" ht="16.2">
      <c r="A152" s="109"/>
      <c r="B152" s="109"/>
      <c r="C152" s="109"/>
      <c r="D152" s="109"/>
      <c r="E152" s="110"/>
      <c r="F152" s="109"/>
      <c r="G152" s="109"/>
      <c r="H152" s="110"/>
      <c r="I152" s="110"/>
      <c r="J152" s="110"/>
      <c r="K152" s="110"/>
      <c r="L152" s="110"/>
      <c r="M152" s="109"/>
      <c r="N152" s="106"/>
      <c r="O152" s="106"/>
      <c r="P152" s="109"/>
    </row>
    <row r="153" spans="1:16" ht="16.2">
      <c r="A153" s="109"/>
      <c r="B153" s="109"/>
      <c r="C153" s="109"/>
      <c r="D153" s="109"/>
      <c r="E153" s="110"/>
      <c r="F153" s="109"/>
      <c r="G153" s="109"/>
      <c r="H153" s="110"/>
      <c r="I153" s="110"/>
      <c r="J153" s="110"/>
      <c r="K153" s="110"/>
      <c r="L153" s="110"/>
      <c r="M153" s="109"/>
      <c r="N153" s="106"/>
      <c r="O153" s="106"/>
      <c r="P153" s="109"/>
    </row>
    <row r="154" spans="1:16" ht="16.2">
      <c r="A154" s="109"/>
      <c r="B154" s="109"/>
      <c r="C154" s="109"/>
      <c r="D154" s="109"/>
      <c r="E154" s="110"/>
      <c r="F154" s="109"/>
      <c r="G154" s="109"/>
      <c r="H154" s="110"/>
      <c r="I154" s="110"/>
      <c r="J154" s="110"/>
      <c r="K154" s="110"/>
      <c r="L154" s="110"/>
      <c r="M154" s="109"/>
      <c r="N154" s="106"/>
      <c r="O154" s="106"/>
      <c r="P154" s="109"/>
    </row>
    <row r="155" spans="1:16" ht="16.2">
      <c r="A155" s="109"/>
      <c r="B155" s="109"/>
      <c r="C155" s="109"/>
      <c r="D155" s="109"/>
      <c r="E155" s="110"/>
      <c r="F155" s="109"/>
      <c r="G155" s="109"/>
      <c r="H155" s="110"/>
      <c r="I155" s="110"/>
      <c r="J155" s="110"/>
      <c r="K155" s="110"/>
      <c r="L155" s="110"/>
      <c r="M155" s="109"/>
      <c r="N155" s="106"/>
      <c r="O155" s="106"/>
      <c r="P155" s="109"/>
    </row>
    <row r="156" spans="1:16" ht="16.2">
      <c r="A156" s="109"/>
      <c r="B156" s="109"/>
      <c r="C156" s="109"/>
      <c r="D156" s="109"/>
      <c r="E156" s="110"/>
      <c r="F156" s="109"/>
      <c r="G156" s="109"/>
      <c r="H156" s="110"/>
      <c r="I156" s="110"/>
      <c r="J156" s="110"/>
      <c r="K156" s="110"/>
      <c r="L156" s="110"/>
      <c r="M156" s="109"/>
      <c r="N156" s="106"/>
      <c r="O156" s="106"/>
      <c r="P156" s="109"/>
    </row>
    <row r="157" spans="1:16" ht="16.2">
      <c r="A157" s="109"/>
      <c r="B157" s="109"/>
      <c r="C157" s="109"/>
      <c r="D157" s="109"/>
      <c r="E157" s="110"/>
      <c r="F157" s="109"/>
      <c r="G157" s="109"/>
      <c r="H157" s="110"/>
      <c r="I157" s="110"/>
      <c r="J157" s="110"/>
      <c r="K157" s="110"/>
      <c r="L157" s="110"/>
      <c r="M157" s="109"/>
      <c r="N157" s="106"/>
      <c r="O157" s="106"/>
      <c r="P157" s="109"/>
    </row>
    <row r="158" spans="1:16" ht="16.2">
      <c r="A158" s="109"/>
      <c r="B158" s="109"/>
      <c r="C158" s="109"/>
      <c r="D158" s="109"/>
      <c r="E158" s="110"/>
      <c r="F158" s="109"/>
      <c r="G158" s="109"/>
      <c r="H158" s="110"/>
      <c r="I158" s="110"/>
      <c r="J158" s="110"/>
      <c r="K158" s="110"/>
      <c r="L158" s="110"/>
      <c r="M158" s="109"/>
      <c r="N158" s="106"/>
      <c r="O158" s="106"/>
      <c r="P158" s="109"/>
    </row>
    <row r="159" spans="1:16" ht="16.2">
      <c r="A159" s="109"/>
      <c r="B159" s="109"/>
      <c r="C159" s="109"/>
      <c r="D159" s="109"/>
      <c r="E159" s="110"/>
      <c r="F159" s="109"/>
      <c r="G159" s="109"/>
      <c r="H159" s="110"/>
      <c r="I159" s="110"/>
      <c r="J159" s="110"/>
      <c r="K159" s="110"/>
      <c r="L159" s="110"/>
      <c r="M159" s="109"/>
      <c r="N159" s="106"/>
      <c r="O159" s="106"/>
      <c r="P159" s="109"/>
    </row>
    <row r="160" spans="1:16" ht="16.2">
      <c r="A160" s="109"/>
      <c r="B160" s="109"/>
      <c r="C160" s="109"/>
      <c r="D160" s="109"/>
      <c r="E160" s="110"/>
      <c r="F160" s="109"/>
      <c r="G160" s="109"/>
      <c r="H160" s="110"/>
      <c r="I160" s="110"/>
      <c r="J160" s="110"/>
      <c r="K160" s="110"/>
      <c r="L160" s="110"/>
      <c r="M160" s="109"/>
      <c r="N160" s="106"/>
      <c r="O160" s="106"/>
      <c r="P160" s="109"/>
    </row>
    <row r="161" spans="1:16" ht="16.2">
      <c r="A161" s="109"/>
      <c r="B161" s="109"/>
      <c r="C161" s="109"/>
      <c r="D161" s="109"/>
      <c r="E161" s="110"/>
      <c r="F161" s="109"/>
      <c r="G161" s="109"/>
      <c r="H161" s="110"/>
      <c r="I161" s="110"/>
      <c r="J161" s="110"/>
      <c r="K161" s="110"/>
      <c r="L161" s="110"/>
      <c r="M161" s="109"/>
      <c r="N161" s="106"/>
      <c r="O161" s="106"/>
      <c r="P161" s="109"/>
    </row>
    <row r="162" spans="1:16" ht="16.2">
      <c r="A162" s="109"/>
      <c r="B162" s="109"/>
      <c r="C162" s="109"/>
      <c r="D162" s="109"/>
      <c r="E162" s="110"/>
      <c r="F162" s="109"/>
      <c r="G162" s="109"/>
      <c r="H162" s="110"/>
      <c r="I162" s="110"/>
      <c r="J162" s="110"/>
      <c r="K162" s="110"/>
      <c r="L162" s="110"/>
      <c r="M162" s="109"/>
      <c r="N162" s="106"/>
      <c r="O162" s="106"/>
      <c r="P162" s="109"/>
    </row>
    <row r="163" spans="1:16" ht="16.2">
      <c r="A163" s="109"/>
      <c r="B163" s="109"/>
      <c r="C163" s="109"/>
      <c r="D163" s="109"/>
      <c r="E163" s="110"/>
      <c r="F163" s="109"/>
      <c r="G163" s="109"/>
      <c r="H163" s="110"/>
      <c r="I163" s="110"/>
      <c r="J163" s="110"/>
      <c r="K163" s="110"/>
      <c r="L163" s="110"/>
      <c r="M163" s="109"/>
      <c r="N163" s="106"/>
      <c r="O163" s="106"/>
      <c r="P163" s="109"/>
    </row>
    <row r="164" spans="1:16" ht="16.2">
      <c r="A164" s="109"/>
      <c r="B164" s="109"/>
      <c r="C164" s="109"/>
      <c r="D164" s="109"/>
      <c r="E164" s="110"/>
      <c r="F164" s="109"/>
      <c r="G164" s="109"/>
      <c r="H164" s="110"/>
      <c r="I164" s="110"/>
      <c r="J164" s="110"/>
      <c r="K164" s="110"/>
      <c r="L164" s="110"/>
      <c r="M164" s="109"/>
      <c r="N164" s="106"/>
      <c r="O164" s="106"/>
      <c r="P164" s="109"/>
    </row>
    <row r="165" spans="1:16" ht="16.2">
      <c r="A165" s="109"/>
      <c r="B165" s="109"/>
      <c r="C165" s="109"/>
      <c r="D165" s="109"/>
      <c r="E165" s="110"/>
      <c r="F165" s="109"/>
      <c r="G165" s="109"/>
      <c r="H165" s="110"/>
      <c r="I165" s="110"/>
      <c r="J165" s="110"/>
      <c r="K165" s="110"/>
      <c r="L165" s="110"/>
      <c r="M165" s="109"/>
      <c r="N165" s="106"/>
      <c r="O165" s="106"/>
      <c r="P165" s="109"/>
    </row>
    <row r="166" spans="1:16" ht="16.2">
      <c r="A166" s="109"/>
      <c r="B166" s="109"/>
      <c r="C166" s="109"/>
      <c r="D166" s="109"/>
      <c r="E166" s="110"/>
      <c r="F166" s="109"/>
      <c r="G166" s="109"/>
      <c r="H166" s="110"/>
      <c r="I166" s="110"/>
      <c r="J166" s="110"/>
      <c r="K166" s="110"/>
      <c r="L166" s="110"/>
      <c r="M166" s="109"/>
      <c r="N166" s="106"/>
      <c r="O166" s="106"/>
      <c r="P166" s="109"/>
    </row>
    <row r="167" spans="1:16" ht="16.2">
      <c r="A167" s="109"/>
      <c r="B167" s="109"/>
      <c r="C167" s="109"/>
      <c r="D167" s="109"/>
      <c r="E167" s="110"/>
      <c r="F167" s="109"/>
      <c r="G167" s="109"/>
      <c r="H167" s="110"/>
      <c r="I167" s="110"/>
      <c r="J167" s="110"/>
      <c r="K167" s="110"/>
      <c r="L167" s="110"/>
      <c r="M167" s="109"/>
      <c r="N167" s="106"/>
      <c r="O167" s="106"/>
      <c r="P167" s="109"/>
    </row>
    <row r="168" spans="1:16" ht="16.2">
      <c r="A168" s="109"/>
      <c r="B168" s="109"/>
      <c r="C168" s="109"/>
      <c r="D168" s="109"/>
      <c r="E168" s="110"/>
      <c r="F168" s="109"/>
      <c r="G168" s="109"/>
      <c r="H168" s="110"/>
      <c r="I168" s="110"/>
      <c r="J168" s="110"/>
      <c r="K168" s="110"/>
      <c r="L168" s="110"/>
      <c r="M168" s="109"/>
      <c r="N168" s="106"/>
      <c r="O168" s="106"/>
      <c r="P168" s="109"/>
    </row>
    <row r="169" spans="1:16" ht="16.2">
      <c r="A169" s="109"/>
      <c r="B169" s="109"/>
      <c r="C169" s="109"/>
      <c r="D169" s="109"/>
      <c r="E169" s="110"/>
      <c r="F169" s="109"/>
      <c r="G169" s="109"/>
      <c r="H169" s="110"/>
      <c r="I169" s="110"/>
      <c r="J169" s="110"/>
      <c r="K169" s="110"/>
      <c r="L169" s="110"/>
      <c r="M169" s="109"/>
      <c r="N169" s="106"/>
      <c r="O169" s="106"/>
      <c r="P169" s="109"/>
    </row>
    <row r="170" spans="1:16" ht="16.2">
      <c r="A170" s="109"/>
      <c r="B170" s="109"/>
      <c r="C170" s="109"/>
      <c r="D170" s="109"/>
      <c r="E170" s="110"/>
      <c r="F170" s="109"/>
      <c r="G170" s="109"/>
      <c r="H170" s="110"/>
      <c r="I170" s="110"/>
      <c r="J170" s="110"/>
      <c r="K170" s="110"/>
      <c r="L170" s="110"/>
      <c r="M170" s="109"/>
      <c r="N170" s="106"/>
      <c r="O170" s="106"/>
      <c r="P170" s="109"/>
    </row>
    <row r="171" spans="1:16" ht="16.2">
      <c r="A171" s="109"/>
      <c r="B171" s="109"/>
      <c r="C171" s="109"/>
      <c r="D171" s="109"/>
      <c r="E171" s="110"/>
      <c r="F171" s="109"/>
      <c r="G171" s="109"/>
      <c r="H171" s="110"/>
      <c r="I171" s="110"/>
      <c r="J171" s="110"/>
      <c r="K171" s="110"/>
      <c r="L171" s="110"/>
      <c r="M171" s="109"/>
      <c r="N171" s="106"/>
      <c r="O171" s="106"/>
      <c r="P171" s="109"/>
    </row>
    <row r="172" spans="1:16" ht="16.2">
      <c r="A172" s="109"/>
      <c r="B172" s="109"/>
      <c r="C172" s="109"/>
      <c r="D172" s="109"/>
      <c r="E172" s="110"/>
      <c r="F172" s="109"/>
      <c r="G172" s="109"/>
      <c r="H172" s="110"/>
      <c r="I172" s="110"/>
      <c r="J172" s="110"/>
      <c r="K172" s="110"/>
      <c r="L172" s="110"/>
      <c r="M172" s="109"/>
      <c r="N172" s="106"/>
      <c r="O172" s="106"/>
      <c r="P172" s="109"/>
    </row>
    <row r="173" spans="1:16" ht="16.2">
      <c r="A173" s="109"/>
      <c r="B173" s="109"/>
      <c r="C173" s="109"/>
      <c r="D173" s="109"/>
      <c r="E173" s="110"/>
      <c r="F173" s="109"/>
      <c r="G173" s="109"/>
      <c r="H173" s="110"/>
      <c r="I173" s="110"/>
      <c r="J173" s="110"/>
      <c r="K173" s="110"/>
      <c r="L173" s="110"/>
      <c r="M173" s="109"/>
      <c r="N173" s="106"/>
      <c r="O173" s="106"/>
      <c r="P173" s="109"/>
    </row>
    <row r="174" spans="1:16" ht="16.2">
      <c r="A174" s="109"/>
      <c r="B174" s="109"/>
      <c r="C174" s="109"/>
      <c r="D174" s="109"/>
      <c r="E174" s="110"/>
      <c r="F174" s="109"/>
      <c r="G174" s="109"/>
      <c r="H174" s="110"/>
      <c r="I174" s="110"/>
      <c r="J174" s="110"/>
      <c r="K174" s="110"/>
      <c r="L174" s="110"/>
      <c r="M174" s="109"/>
      <c r="N174" s="106"/>
      <c r="O174" s="106"/>
      <c r="P174" s="109"/>
    </row>
    <row r="175" spans="1:16" ht="16.2">
      <c r="A175" s="109"/>
      <c r="B175" s="109"/>
      <c r="C175" s="109"/>
      <c r="D175" s="109"/>
      <c r="E175" s="110"/>
      <c r="F175" s="109"/>
      <c r="G175" s="109"/>
      <c r="H175" s="110"/>
      <c r="I175" s="110"/>
      <c r="J175" s="110"/>
      <c r="K175" s="110"/>
      <c r="L175" s="110"/>
      <c r="M175" s="109"/>
      <c r="N175" s="106"/>
      <c r="O175" s="106"/>
      <c r="P175" s="109"/>
    </row>
    <row r="176" spans="1:16" ht="16.2">
      <c r="A176" s="109"/>
      <c r="B176" s="109"/>
      <c r="C176" s="109"/>
      <c r="D176" s="109"/>
      <c r="E176" s="110"/>
      <c r="F176" s="109"/>
      <c r="G176" s="109"/>
      <c r="H176" s="110"/>
      <c r="I176" s="110"/>
      <c r="J176" s="110"/>
      <c r="K176" s="110"/>
      <c r="L176" s="110"/>
      <c r="M176" s="109"/>
      <c r="N176" s="106"/>
      <c r="O176" s="106"/>
      <c r="P176" s="109"/>
    </row>
    <row r="177" spans="1:16" ht="16.2">
      <c r="A177" s="109"/>
      <c r="B177" s="109"/>
      <c r="C177" s="109"/>
      <c r="D177" s="109"/>
      <c r="E177" s="110"/>
      <c r="F177" s="109"/>
      <c r="G177" s="109"/>
      <c r="H177" s="110"/>
      <c r="I177" s="110"/>
      <c r="J177" s="110"/>
      <c r="K177" s="110"/>
      <c r="L177" s="110"/>
      <c r="M177" s="109"/>
      <c r="N177" s="106"/>
      <c r="O177" s="106"/>
      <c r="P177" s="109"/>
    </row>
    <row r="178" spans="1:16" ht="16.2">
      <c r="A178" s="109"/>
      <c r="B178" s="110"/>
      <c r="C178" s="109"/>
      <c r="D178" s="109"/>
      <c r="E178" s="110"/>
      <c r="F178" s="109"/>
      <c r="G178" s="109"/>
      <c r="H178" s="110"/>
      <c r="I178" s="110"/>
      <c r="J178" s="110"/>
      <c r="K178" s="110"/>
      <c r="L178" s="110"/>
      <c r="M178" s="109"/>
      <c r="N178" s="106"/>
      <c r="O178" s="106"/>
      <c r="P178" s="109"/>
    </row>
    <row r="179" spans="1:16" ht="16.2">
      <c r="A179" s="109"/>
      <c r="B179" s="110"/>
      <c r="C179" s="109"/>
      <c r="D179" s="109"/>
      <c r="E179" s="110"/>
      <c r="F179" s="109"/>
      <c r="G179" s="109"/>
      <c r="H179" s="110"/>
      <c r="I179" s="110"/>
      <c r="J179" s="110"/>
      <c r="K179" s="110"/>
      <c r="L179" s="110"/>
      <c r="M179" s="109"/>
      <c r="N179" s="106"/>
      <c r="O179" s="106"/>
      <c r="P179" s="109"/>
    </row>
    <row r="180" spans="1:16" ht="16.2">
      <c r="A180" s="109"/>
      <c r="B180" s="110"/>
      <c r="C180" s="109"/>
      <c r="D180" s="109"/>
      <c r="E180" s="110"/>
      <c r="F180" s="109"/>
      <c r="G180" s="109"/>
      <c r="H180" s="110"/>
      <c r="I180" s="110"/>
      <c r="J180" s="110"/>
      <c r="K180" s="110"/>
      <c r="L180" s="110"/>
      <c r="M180" s="109"/>
      <c r="N180" s="106"/>
      <c r="O180" s="106"/>
      <c r="P180" s="109"/>
    </row>
    <row r="181" spans="1:16">
      <c r="A181"/>
      <c r="C181"/>
      <c r="F181"/>
      <c r="G181"/>
    </row>
    <row r="182" spans="1:16">
      <c r="A182"/>
      <c r="C182"/>
      <c r="F182"/>
      <c r="G182"/>
    </row>
    <row r="183" spans="1:16">
      <c r="A183"/>
      <c r="C183"/>
    </row>
    <row r="184" spans="1:16">
      <c r="A184"/>
      <c r="C184"/>
    </row>
    <row r="185" spans="1:16">
      <c r="A185"/>
      <c r="C185"/>
    </row>
    <row r="186" spans="1:16">
      <c r="A186"/>
      <c r="C186"/>
    </row>
    <row r="187" spans="1:16">
      <c r="A187"/>
      <c r="C187"/>
    </row>
    <row r="188" spans="1:16">
      <c r="A188"/>
      <c r="C188"/>
    </row>
    <row r="189" spans="1:16">
      <c r="A189"/>
      <c r="C189"/>
    </row>
    <row r="190" spans="1:16">
      <c r="A190"/>
      <c r="C190"/>
    </row>
    <row r="191" spans="1:16">
      <c r="A191"/>
      <c r="C191"/>
    </row>
    <row r="192" spans="1:16">
      <c r="A192"/>
      <c r="C192"/>
    </row>
    <row r="193" spans="1:3">
      <c r="A193"/>
      <c r="C193"/>
    </row>
    <row r="194" spans="1:3">
      <c r="A194"/>
      <c r="C194"/>
    </row>
    <row r="195" spans="1:3">
      <c r="A195"/>
      <c r="C195"/>
    </row>
    <row r="196" spans="1:3">
      <c r="A196"/>
      <c r="C196"/>
    </row>
    <row r="197" spans="1:3">
      <c r="A197"/>
      <c r="C197"/>
    </row>
    <row r="198" spans="1:3">
      <c r="A198"/>
      <c r="C198"/>
    </row>
    <row r="199" spans="1:3">
      <c r="A199"/>
      <c r="C199"/>
    </row>
    <row r="200" spans="1:3">
      <c r="A200"/>
      <c r="C200"/>
    </row>
    <row r="201" spans="1:3">
      <c r="A201"/>
      <c r="C201"/>
    </row>
    <row r="202" spans="1:3">
      <c r="A202"/>
      <c r="C202"/>
    </row>
    <row r="203" spans="1:3">
      <c r="A203"/>
      <c r="C203"/>
    </row>
    <row r="204" spans="1:3">
      <c r="A204"/>
      <c r="C204"/>
    </row>
    <row r="205" spans="1:3">
      <c r="A205"/>
      <c r="C205"/>
    </row>
    <row r="206" spans="1:3">
      <c r="A206"/>
      <c r="C206"/>
    </row>
    <row r="207" spans="1:3">
      <c r="A207"/>
      <c r="C207"/>
    </row>
    <row r="208" spans="1:3">
      <c r="A208"/>
      <c r="C208"/>
    </row>
    <row r="209" spans="1:3">
      <c r="A209"/>
      <c r="C209"/>
    </row>
    <row r="210" spans="1:3">
      <c r="A210"/>
      <c r="C210"/>
    </row>
    <row r="211" spans="1:3">
      <c r="A211"/>
      <c r="C211"/>
    </row>
    <row r="212" spans="1:3">
      <c r="A212"/>
      <c r="C212"/>
    </row>
    <row r="213" spans="1:3">
      <c r="A213"/>
      <c r="C213"/>
    </row>
    <row r="214" spans="1:3">
      <c r="A214"/>
      <c r="C214"/>
    </row>
    <row r="215" spans="1:3">
      <c r="A215"/>
      <c r="C215"/>
    </row>
    <row r="216" spans="1:3">
      <c r="A216"/>
      <c r="C216"/>
    </row>
    <row r="217" spans="1:3">
      <c r="A217"/>
      <c r="C217"/>
    </row>
    <row r="218" spans="1:3">
      <c r="A218"/>
      <c r="C218"/>
    </row>
    <row r="219" spans="1:3">
      <c r="A219"/>
      <c r="C219"/>
    </row>
    <row r="220" spans="1:3">
      <c r="A220"/>
      <c r="C220"/>
    </row>
    <row r="221" spans="1:3">
      <c r="A221"/>
      <c r="C221"/>
    </row>
    <row r="222" spans="1:3">
      <c r="A222"/>
      <c r="C222"/>
    </row>
    <row r="223" spans="1:3">
      <c r="A223"/>
      <c r="C223"/>
    </row>
    <row r="224" spans="1:3">
      <c r="A224"/>
      <c r="C224"/>
    </row>
    <row r="225" spans="1:3">
      <c r="A225"/>
      <c r="C225"/>
    </row>
    <row r="226" spans="1:3">
      <c r="A226"/>
      <c r="C226"/>
    </row>
    <row r="227" spans="1:3">
      <c r="A227"/>
      <c r="C227"/>
    </row>
    <row r="228" spans="1:3">
      <c r="A228"/>
      <c r="C228"/>
    </row>
    <row r="229" spans="1:3">
      <c r="A229"/>
      <c r="C229"/>
    </row>
    <row r="230" spans="1:3">
      <c r="A230"/>
      <c r="C230"/>
    </row>
    <row r="231" spans="1:3">
      <c r="A231"/>
      <c r="C231"/>
    </row>
    <row r="232" spans="1:3">
      <c r="A232"/>
      <c r="C232"/>
    </row>
    <row r="233" spans="1:3">
      <c r="A233"/>
      <c r="C233"/>
    </row>
    <row r="234" spans="1:3">
      <c r="A234"/>
      <c r="C234"/>
    </row>
    <row r="235" spans="1:3">
      <c r="A235"/>
      <c r="C235"/>
    </row>
    <row r="236" spans="1:3">
      <c r="A236"/>
      <c r="C236"/>
    </row>
    <row r="237" spans="1:3">
      <c r="A237"/>
      <c r="C237"/>
    </row>
    <row r="238" spans="1:3">
      <c r="A238"/>
      <c r="C238"/>
    </row>
    <row r="239" spans="1:3">
      <c r="A239"/>
      <c r="C239"/>
    </row>
    <row r="240" spans="1:3">
      <c r="A240"/>
      <c r="C240"/>
    </row>
    <row r="241" spans="1:3">
      <c r="A241"/>
      <c r="C241"/>
    </row>
    <row r="242" spans="1:3">
      <c r="A242"/>
      <c r="C242"/>
    </row>
    <row r="243" spans="1:3">
      <c r="A243"/>
      <c r="C243"/>
    </row>
    <row r="244" spans="1:3">
      <c r="A244"/>
      <c r="C244"/>
    </row>
    <row r="245" spans="1:3">
      <c r="A245"/>
      <c r="C245"/>
    </row>
    <row r="246" spans="1:3">
      <c r="A246"/>
      <c r="C246"/>
    </row>
    <row r="247" spans="1:3">
      <c r="A247"/>
      <c r="C247"/>
    </row>
    <row r="248" spans="1:3">
      <c r="A248"/>
      <c r="C248"/>
    </row>
    <row r="249" spans="1:3">
      <c r="A249"/>
      <c r="C249"/>
    </row>
    <row r="250" spans="1:3">
      <c r="A250"/>
      <c r="C250"/>
    </row>
    <row r="251" spans="1:3">
      <c r="A251"/>
      <c r="C251"/>
    </row>
    <row r="252" spans="1:3">
      <c r="A252"/>
      <c r="C252"/>
    </row>
    <row r="253" spans="1:3">
      <c r="A253"/>
      <c r="C253"/>
    </row>
    <row r="254" spans="1:3">
      <c r="A254"/>
      <c r="C254"/>
    </row>
    <row r="255" spans="1:3">
      <c r="A255"/>
      <c r="C255"/>
    </row>
    <row r="256" spans="1:3">
      <c r="A256"/>
      <c r="C256"/>
    </row>
    <row r="257" spans="1:3">
      <c r="A257"/>
      <c r="C257"/>
    </row>
    <row r="258" spans="1:3">
      <c r="A258"/>
      <c r="C258"/>
    </row>
    <row r="259" spans="1:3">
      <c r="A259"/>
      <c r="C259"/>
    </row>
  </sheetData>
  <mergeCells count="12">
    <mergeCell ref="A4:J4"/>
    <mergeCell ref="B5:D5"/>
    <mergeCell ref="E5:G5"/>
    <mergeCell ref="H5:I5"/>
    <mergeCell ref="A10:E10"/>
    <mergeCell ref="A29:J29"/>
    <mergeCell ref="A6:A7"/>
    <mergeCell ref="A11:A12"/>
    <mergeCell ref="D11:D12"/>
    <mergeCell ref="E11:E12"/>
    <mergeCell ref="J6:J7"/>
    <mergeCell ref="H6:I7"/>
  </mergeCells>
  <pageMargins left="0.7" right="0.7" top="0.75" bottom="0.75" header="0.3" footer="0.3"/>
  <pageSetup paperSize="9" scale="20"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8BE1FF"/>
  </sheetPr>
  <dimension ref="A1:J14"/>
  <sheetViews>
    <sheetView zoomScale="70" zoomScaleNormal="70" workbookViewId="0">
      <selection activeCell="U39" sqref="U39"/>
    </sheetView>
  </sheetViews>
  <sheetFormatPr defaultColWidth="9" defaultRowHeight="14.4"/>
  <cols>
    <col min="1" max="1" width="15.44140625" customWidth="1"/>
    <col min="2" max="2" width="14.88671875" customWidth="1"/>
    <col min="3" max="3" width="7" customWidth="1"/>
    <col min="4" max="4" width="10.109375" customWidth="1"/>
    <col min="5" max="5" width="22.109375" customWidth="1"/>
    <col min="6" max="6" width="10.33203125" customWidth="1"/>
    <col min="7" max="7" width="9.5546875" customWidth="1"/>
    <col min="8" max="9" width="8.77734375" customWidth="1"/>
    <col min="10" max="10" width="19.44140625" customWidth="1"/>
  </cols>
  <sheetData>
    <row r="1" spans="1:10" ht="71.400000000000006" customHeight="1">
      <c r="A1" s="564" t="s">
        <v>691</v>
      </c>
      <c r="B1" s="565"/>
      <c r="C1" s="565"/>
      <c r="D1" s="565"/>
      <c r="E1" s="565"/>
      <c r="F1" s="565"/>
      <c r="G1" s="565"/>
      <c r="H1" s="565"/>
      <c r="I1" s="565"/>
      <c r="J1" s="565"/>
    </row>
    <row r="2" spans="1:10" ht="61.2" customHeight="1">
      <c r="A2" s="63" t="s">
        <v>1</v>
      </c>
      <c r="B2" s="566" t="s">
        <v>43</v>
      </c>
      <c r="C2" s="567"/>
      <c r="D2" s="568"/>
      <c r="E2" s="569" t="s">
        <v>44</v>
      </c>
      <c r="F2" s="570"/>
      <c r="G2" s="570"/>
      <c r="H2" s="562" t="s">
        <v>692</v>
      </c>
      <c r="I2" s="562"/>
      <c r="J2" s="65" t="s">
        <v>45</v>
      </c>
    </row>
    <row r="3" spans="1:10" ht="42.6" customHeight="1">
      <c r="A3" s="571">
        <v>103</v>
      </c>
      <c r="B3" s="66" t="s">
        <v>1</v>
      </c>
      <c r="C3" s="67" t="s">
        <v>38</v>
      </c>
      <c r="D3" s="67" t="s">
        <v>693</v>
      </c>
      <c r="E3" s="68" t="s">
        <v>694</v>
      </c>
      <c r="F3" s="69" t="s">
        <v>38</v>
      </c>
      <c r="G3" s="64" t="s">
        <v>693</v>
      </c>
      <c r="H3" s="555">
        <f>D4+G4</f>
        <v>42</v>
      </c>
      <c r="I3" s="555"/>
      <c r="J3" s="572">
        <v>61</v>
      </c>
    </row>
    <row r="4" spans="1:10" ht="57" customHeight="1">
      <c r="A4" s="571"/>
      <c r="B4" s="70">
        <v>81</v>
      </c>
      <c r="C4" s="70">
        <v>50</v>
      </c>
      <c r="D4" s="70">
        <v>31</v>
      </c>
      <c r="E4" s="71">
        <v>22</v>
      </c>
      <c r="F4" s="72">
        <v>11</v>
      </c>
      <c r="G4" s="73">
        <v>11</v>
      </c>
      <c r="H4" s="555"/>
      <c r="I4" s="555"/>
      <c r="J4" s="572"/>
    </row>
    <row r="5" spans="1:10" ht="30.6" customHeight="1">
      <c r="A5" s="74"/>
    </row>
    <row r="6" spans="1:10" ht="32.4" customHeight="1"/>
    <row r="7" spans="1:10" ht="32.4" customHeight="1"/>
    <row r="8" spans="1:10" ht="32.4" customHeight="1"/>
    <row r="9" spans="1:10" ht="32.4" customHeight="1"/>
    <row r="10" spans="1:10" ht="32.4" customHeight="1"/>
    <row r="11" spans="1:10" ht="32.4" customHeight="1"/>
    <row r="12" spans="1:10" ht="32.4" customHeight="1"/>
    <row r="13" spans="1:10" ht="32.4" customHeight="1"/>
    <row r="14" spans="1:10" ht="39" customHeight="1"/>
  </sheetData>
  <mergeCells count="7">
    <mergeCell ref="A1:J1"/>
    <mergeCell ref="B2:D2"/>
    <mergeCell ref="E2:G2"/>
    <mergeCell ref="H2:I2"/>
    <mergeCell ref="A3:A4"/>
    <mergeCell ref="J3:J4"/>
    <mergeCell ref="H3:I4"/>
  </mergeCells>
  <pageMargins left="0.7" right="0.7" top="0.75" bottom="0.75" header="0.3" footer="0.3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theme="5" tint="0.59999389629810485"/>
  </sheetPr>
  <dimension ref="A1:N74"/>
  <sheetViews>
    <sheetView topLeftCell="A8" zoomScale="115" zoomScaleNormal="115" zoomScaleSheetLayoutView="85" workbookViewId="0">
      <selection activeCell="E46" sqref="E46"/>
    </sheetView>
  </sheetViews>
  <sheetFormatPr defaultColWidth="9" defaultRowHeight="14.4"/>
  <cols>
    <col min="1" max="1" width="7.44140625" customWidth="1"/>
    <col min="2" max="2" width="18.6640625" customWidth="1"/>
    <col min="3" max="3" width="14.44140625" customWidth="1"/>
    <col min="4" max="4" width="14.21875" style="25" customWidth="1"/>
    <col min="5" max="5" width="42.109375" customWidth="1"/>
    <col min="6" max="6" width="5.6640625" customWidth="1"/>
    <col min="7" max="7" width="13.5546875" customWidth="1"/>
    <col min="8" max="8" width="33.6640625" customWidth="1"/>
    <col min="9" max="9" width="12.6640625" style="29" customWidth="1"/>
    <col min="10" max="10" width="13.44140625" style="29" customWidth="1"/>
    <col min="11" max="11" width="12.44140625" customWidth="1"/>
    <col min="12" max="12" width="14" customWidth="1"/>
    <col min="13" max="13" width="11.44140625" customWidth="1"/>
    <col min="14" max="14" width="15.5546875" style="25" customWidth="1"/>
    <col min="15" max="15" width="16.44140625" customWidth="1"/>
  </cols>
  <sheetData>
    <row r="1" spans="1:14" ht="25.2" customHeight="1">
      <c r="A1" s="576"/>
      <c r="B1" s="573" t="s">
        <v>455</v>
      </c>
      <c r="C1" s="574"/>
      <c r="D1" s="574"/>
      <c r="E1" s="574"/>
      <c r="F1" s="574"/>
      <c r="G1" s="574"/>
      <c r="H1" s="574"/>
      <c r="I1" s="574"/>
      <c r="J1" s="574"/>
      <c r="K1" s="574"/>
      <c r="L1" s="575"/>
    </row>
    <row r="2" spans="1:14" ht="18" customHeight="1">
      <c r="A2" s="577"/>
      <c r="B2" s="573" t="s">
        <v>456</v>
      </c>
      <c r="C2" s="574"/>
      <c r="D2" s="574"/>
      <c r="E2" s="574"/>
      <c r="F2" s="574"/>
      <c r="G2" s="574"/>
      <c r="H2" s="574"/>
      <c r="I2" s="574"/>
      <c r="J2" s="574"/>
      <c r="K2" s="574"/>
      <c r="L2" s="575"/>
    </row>
    <row r="3" spans="1:14">
      <c r="A3" s="30" t="s">
        <v>92</v>
      </c>
      <c r="B3" s="31" t="s">
        <v>457</v>
      </c>
      <c r="C3" s="31" t="s">
        <v>459</v>
      </c>
      <c r="D3" s="32" t="s">
        <v>96</v>
      </c>
      <c r="E3" s="33" t="s">
        <v>460</v>
      </c>
      <c r="F3" s="32" t="s">
        <v>97</v>
      </c>
      <c r="G3" s="33" t="s">
        <v>461</v>
      </c>
      <c r="H3" s="33" t="s">
        <v>139</v>
      </c>
      <c r="I3" s="33" t="s">
        <v>143</v>
      </c>
      <c r="J3" s="33" t="s">
        <v>101</v>
      </c>
      <c r="K3" s="33" t="s">
        <v>462</v>
      </c>
      <c r="L3" s="34" t="s">
        <v>144</v>
      </c>
      <c r="M3" s="33" t="s">
        <v>0</v>
      </c>
      <c r="N3" s="32" t="s">
        <v>42</v>
      </c>
    </row>
    <row r="4" spans="1:14">
      <c r="A4" s="35">
        <v>1</v>
      </c>
      <c r="B4" s="36" t="s">
        <v>703</v>
      </c>
      <c r="C4" s="37" t="s">
        <v>463</v>
      </c>
      <c r="D4" s="38" t="s">
        <v>704</v>
      </c>
      <c r="E4" s="36" t="s">
        <v>464</v>
      </c>
      <c r="F4" s="38" t="s">
        <v>113</v>
      </c>
      <c r="G4" s="39">
        <v>244456</v>
      </c>
      <c r="H4" s="36" t="s">
        <v>179</v>
      </c>
      <c r="I4" s="38" t="s">
        <v>155</v>
      </c>
      <c r="J4" s="38" t="s">
        <v>104</v>
      </c>
      <c r="K4" s="38" t="s">
        <v>83</v>
      </c>
      <c r="L4" s="40">
        <v>244456</v>
      </c>
      <c r="M4" s="41" t="s">
        <v>12</v>
      </c>
      <c r="N4" s="42">
        <v>3</v>
      </c>
    </row>
    <row r="5" spans="1:14">
      <c r="A5" s="35">
        <v>2</v>
      </c>
      <c r="B5" s="36" t="s">
        <v>102</v>
      </c>
      <c r="C5" s="36" t="s">
        <v>465</v>
      </c>
      <c r="D5" s="38" t="s">
        <v>705</v>
      </c>
      <c r="E5" s="36" t="s">
        <v>103</v>
      </c>
      <c r="F5" s="38">
        <v>9</v>
      </c>
      <c r="G5" s="39">
        <v>244455</v>
      </c>
      <c r="H5" s="36" t="s">
        <v>466</v>
      </c>
      <c r="I5" s="38" t="s">
        <v>155</v>
      </c>
      <c r="J5" s="38" t="s">
        <v>104</v>
      </c>
      <c r="K5" s="38" t="s">
        <v>3</v>
      </c>
      <c r="L5" s="40"/>
      <c r="M5" s="41" t="s">
        <v>12</v>
      </c>
      <c r="N5" s="43"/>
    </row>
    <row r="6" spans="1:14">
      <c r="A6" s="35">
        <v>3</v>
      </c>
      <c r="B6" s="36" t="s">
        <v>102</v>
      </c>
      <c r="C6" s="36" t="s">
        <v>465</v>
      </c>
      <c r="D6" s="38" t="s">
        <v>705</v>
      </c>
      <c r="E6" s="36" t="s">
        <v>105</v>
      </c>
      <c r="F6" s="38">
        <v>6</v>
      </c>
      <c r="G6" s="39">
        <v>244455</v>
      </c>
      <c r="H6" s="36" t="s">
        <v>281</v>
      </c>
      <c r="I6" s="38" t="s">
        <v>155</v>
      </c>
      <c r="J6" s="38" t="s">
        <v>104</v>
      </c>
      <c r="K6" s="38" t="s">
        <v>84</v>
      </c>
      <c r="L6" s="40"/>
      <c r="M6" s="41" t="s">
        <v>12</v>
      </c>
      <c r="N6" s="43"/>
    </row>
    <row r="7" spans="1:14">
      <c r="A7" s="35">
        <v>4</v>
      </c>
      <c r="B7" s="36" t="s">
        <v>703</v>
      </c>
      <c r="C7" s="36" t="s">
        <v>465</v>
      </c>
      <c r="D7" s="38" t="s">
        <v>704</v>
      </c>
      <c r="E7" s="36" t="s">
        <v>108</v>
      </c>
      <c r="F7" s="38" t="s">
        <v>439</v>
      </c>
      <c r="G7" s="39">
        <v>244456</v>
      </c>
      <c r="H7" s="36" t="s">
        <v>107</v>
      </c>
      <c r="I7" s="38" t="s">
        <v>155</v>
      </c>
      <c r="J7" s="38" t="s">
        <v>109</v>
      </c>
      <c r="K7" s="38" t="s">
        <v>3</v>
      </c>
      <c r="L7" s="40"/>
      <c r="M7" s="41" t="s">
        <v>12</v>
      </c>
      <c r="N7" s="43"/>
    </row>
    <row r="8" spans="1:14">
      <c r="A8" s="35">
        <v>5</v>
      </c>
      <c r="B8" s="36" t="s">
        <v>467</v>
      </c>
      <c r="C8" s="36" t="s">
        <v>463</v>
      </c>
      <c r="D8" s="38" t="s">
        <v>73</v>
      </c>
      <c r="E8" s="36" t="s">
        <v>468</v>
      </c>
      <c r="F8" s="38">
        <v>8</v>
      </c>
      <c r="G8" s="39">
        <v>244456</v>
      </c>
      <c r="H8" s="36" t="s">
        <v>179</v>
      </c>
      <c r="I8" s="38" t="s">
        <v>155</v>
      </c>
      <c r="J8" s="38" t="s">
        <v>104</v>
      </c>
      <c r="K8" s="38" t="s">
        <v>83</v>
      </c>
      <c r="L8" s="40">
        <v>244457</v>
      </c>
      <c r="M8" s="41" t="s">
        <v>12</v>
      </c>
      <c r="N8" s="43">
        <v>3</v>
      </c>
    </row>
    <row r="9" spans="1:14">
      <c r="A9" s="35">
        <v>6</v>
      </c>
      <c r="B9" s="36" t="s">
        <v>71</v>
      </c>
      <c r="C9" s="36" t="s">
        <v>465</v>
      </c>
      <c r="D9" s="38" t="s">
        <v>71</v>
      </c>
      <c r="E9" s="44" t="s">
        <v>469</v>
      </c>
      <c r="F9" s="38">
        <v>10</v>
      </c>
      <c r="G9" s="39">
        <v>244457</v>
      </c>
      <c r="H9" s="36" t="s">
        <v>179</v>
      </c>
      <c r="I9" s="38" t="s">
        <v>155</v>
      </c>
      <c r="J9" s="38" t="s">
        <v>104</v>
      </c>
      <c r="K9" s="38" t="s">
        <v>83</v>
      </c>
      <c r="L9" s="40">
        <v>244457</v>
      </c>
      <c r="M9" s="41" t="s">
        <v>12</v>
      </c>
      <c r="N9" s="43">
        <v>3</v>
      </c>
    </row>
    <row r="10" spans="1:14">
      <c r="A10" s="35">
        <v>7</v>
      </c>
      <c r="B10" s="36" t="s">
        <v>706</v>
      </c>
      <c r="C10" s="36" t="s">
        <v>463</v>
      </c>
      <c r="D10" s="38" t="s">
        <v>704</v>
      </c>
      <c r="E10" s="36" t="s">
        <v>470</v>
      </c>
      <c r="F10" s="38">
        <v>12</v>
      </c>
      <c r="G10" s="39">
        <v>244459</v>
      </c>
      <c r="H10" s="36" t="s">
        <v>471</v>
      </c>
      <c r="I10" s="38" t="s">
        <v>155</v>
      </c>
      <c r="J10" s="38" t="s">
        <v>109</v>
      </c>
      <c r="K10" s="38" t="s">
        <v>3</v>
      </c>
      <c r="L10" s="40"/>
      <c r="M10" s="41" t="s">
        <v>12</v>
      </c>
      <c r="N10" s="43"/>
    </row>
    <row r="11" spans="1:14">
      <c r="A11" s="35">
        <v>8</v>
      </c>
      <c r="B11" s="36" t="s">
        <v>706</v>
      </c>
      <c r="C11" s="36" t="s">
        <v>463</v>
      </c>
      <c r="D11" s="38" t="s">
        <v>704</v>
      </c>
      <c r="E11" s="36" t="s">
        <v>472</v>
      </c>
      <c r="F11" s="38">
        <v>12</v>
      </c>
      <c r="G11" s="39">
        <v>244459</v>
      </c>
      <c r="H11" s="36" t="s">
        <v>473</v>
      </c>
      <c r="I11" s="38" t="s">
        <v>155</v>
      </c>
      <c r="J11" s="38" t="s">
        <v>109</v>
      </c>
      <c r="K11" s="38" t="s">
        <v>3</v>
      </c>
      <c r="L11" s="40"/>
      <c r="M11" s="41" t="s">
        <v>12</v>
      </c>
      <c r="N11" s="43"/>
    </row>
    <row r="12" spans="1:14">
      <c r="A12" s="35">
        <v>9</v>
      </c>
      <c r="B12" s="36" t="s">
        <v>128</v>
      </c>
      <c r="C12" s="36" t="s">
        <v>475</v>
      </c>
      <c r="D12" s="38" t="s">
        <v>704</v>
      </c>
      <c r="E12" s="36" t="s">
        <v>476</v>
      </c>
      <c r="F12" s="38">
        <v>15</v>
      </c>
      <c r="G12" s="39">
        <v>244459</v>
      </c>
      <c r="H12" s="36" t="s">
        <v>477</v>
      </c>
      <c r="I12" s="38" t="s">
        <v>155</v>
      </c>
      <c r="J12" s="38" t="s">
        <v>109</v>
      </c>
      <c r="K12" s="38" t="s">
        <v>83</v>
      </c>
      <c r="L12" s="40">
        <v>244460</v>
      </c>
      <c r="M12" s="41" t="s">
        <v>12</v>
      </c>
      <c r="N12" s="43">
        <v>4</v>
      </c>
    </row>
    <row r="13" spans="1:14">
      <c r="A13" s="35">
        <v>10</v>
      </c>
      <c r="B13" s="36" t="s">
        <v>707</v>
      </c>
      <c r="C13" s="36" t="s">
        <v>465</v>
      </c>
      <c r="D13" s="38" t="s">
        <v>704</v>
      </c>
      <c r="E13" s="36" t="s">
        <v>479</v>
      </c>
      <c r="F13" s="38" t="s">
        <v>113</v>
      </c>
      <c r="G13" s="39">
        <v>244460</v>
      </c>
      <c r="H13" s="36" t="s">
        <v>480</v>
      </c>
      <c r="I13" s="38" t="s">
        <v>155</v>
      </c>
      <c r="J13" s="38" t="s">
        <v>104</v>
      </c>
      <c r="K13" s="38" t="s">
        <v>83</v>
      </c>
      <c r="L13" s="40">
        <v>244460</v>
      </c>
      <c r="M13" s="41" t="s">
        <v>12</v>
      </c>
      <c r="N13" s="43">
        <v>4</v>
      </c>
    </row>
    <row r="14" spans="1:14">
      <c r="A14" s="35">
        <v>11</v>
      </c>
      <c r="B14" s="36" t="s">
        <v>707</v>
      </c>
      <c r="C14" s="36" t="s">
        <v>465</v>
      </c>
      <c r="D14" s="38" t="s">
        <v>704</v>
      </c>
      <c r="E14" s="36" t="s">
        <v>481</v>
      </c>
      <c r="F14" s="38" t="s">
        <v>113</v>
      </c>
      <c r="G14" s="39">
        <v>244460</v>
      </c>
      <c r="H14" s="36" t="s">
        <v>482</v>
      </c>
      <c r="I14" s="38" t="s">
        <v>155</v>
      </c>
      <c r="J14" s="38" t="s">
        <v>104</v>
      </c>
      <c r="K14" s="38" t="s">
        <v>83</v>
      </c>
      <c r="L14" s="40">
        <v>244460</v>
      </c>
      <c r="M14" s="41" t="s">
        <v>12</v>
      </c>
      <c r="N14" s="43">
        <v>4</v>
      </c>
    </row>
    <row r="15" spans="1:14">
      <c r="A15" s="35">
        <v>12</v>
      </c>
      <c r="B15" s="36" t="s">
        <v>707</v>
      </c>
      <c r="C15" s="36" t="s">
        <v>465</v>
      </c>
      <c r="D15" s="38" t="s">
        <v>704</v>
      </c>
      <c r="E15" s="36" t="s">
        <v>483</v>
      </c>
      <c r="F15" s="38">
        <v>4</v>
      </c>
      <c r="G15" s="39">
        <v>244460</v>
      </c>
      <c r="H15" s="36" t="s">
        <v>484</v>
      </c>
      <c r="I15" s="38" t="s">
        <v>155</v>
      </c>
      <c r="J15" s="38" t="s">
        <v>109</v>
      </c>
      <c r="K15" s="38" t="s">
        <v>83</v>
      </c>
      <c r="L15" s="40">
        <v>244460</v>
      </c>
      <c r="M15" s="41" t="s">
        <v>12</v>
      </c>
      <c r="N15" s="43">
        <v>4</v>
      </c>
    </row>
    <row r="16" spans="1:14">
      <c r="A16" s="35">
        <v>13</v>
      </c>
      <c r="B16" s="36" t="s">
        <v>532</v>
      </c>
      <c r="C16" s="36" t="s">
        <v>463</v>
      </c>
      <c r="D16" s="38" t="s">
        <v>704</v>
      </c>
      <c r="E16" s="36" t="s">
        <v>114</v>
      </c>
      <c r="F16" s="38" t="s">
        <v>113</v>
      </c>
      <c r="G16" s="39">
        <v>244460</v>
      </c>
      <c r="H16" s="36" t="s">
        <v>485</v>
      </c>
      <c r="I16" s="38" t="s">
        <v>155</v>
      </c>
      <c r="J16" s="38" t="s">
        <v>109</v>
      </c>
      <c r="K16" s="38" t="s">
        <v>84</v>
      </c>
      <c r="L16" s="40"/>
      <c r="M16" s="41" t="s">
        <v>12</v>
      </c>
      <c r="N16" s="43"/>
    </row>
    <row r="17" spans="1:14">
      <c r="A17" s="35">
        <v>14</v>
      </c>
      <c r="B17" s="36" t="s">
        <v>708</v>
      </c>
      <c r="C17" s="36" t="s">
        <v>463</v>
      </c>
      <c r="D17" s="38" t="s">
        <v>704</v>
      </c>
      <c r="E17" s="36" t="s">
        <v>487</v>
      </c>
      <c r="F17" s="38" t="s">
        <v>113</v>
      </c>
      <c r="G17" s="39">
        <v>244464</v>
      </c>
      <c r="H17" s="36" t="s">
        <v>488</v>
      </c>
      <c r="I17" s="38" t="s">
        <v>155</v>
      </c>
      <c r="J17" s="38" t="s">
        <v>104</v>
      </c>
      <c r="K17" s="38" t="s">
        <v>83</v>
      </c>
      <c r="L17" s="40">
        <v>244481</v>
      </c>
      <c r="M17" s="41" t="s">
        <v>12</v>
      </c>
      <c r="N17" s="43">
        <v>3</v>
      </c>
    </row>
    <row r="18" spans="1:14">
      <c r="A18" s="35">
        <v>15</v>
      </c>
      <c r="B18" s="36" t="s">
        <v>522</v>
      </c>
      <c r="C18" s="36" t="s">
        <v>465</v>
      </c>
      <c r="D18" s="38" t="s">
        <v>704</v>
      </c>
      <c r="E18" s="36" t="s">
        <v>490</v>
      </c>
      <c r="F18" s="38">
        <v>8</v>
      </c>
      <c r="G18" s="39">
        <v>244455</v>
      </c>
      <c r="H18" s="36" t="s">
        <v>229</v>
      </c>
      <c r="I18" s="38" t="s">
        <v>155</v>
      </c>
      <c r="J18" s="38" t="s">
        <v>104</v>
      </c>
      <c r="K18" s="38" t="s">
        <v>83</v>
      </c>
      <c r="L18" s="40">
        <v>244465</v>
      </c>
      <c r="M18" s="41" t="s">
        <v>12</v>
      </c>
      <c r="N18" s="43">
        <v>4</v>
      </c>
    </row>
    <row r="19" spans="1:14">
      <c r="A19" s="45">
        <v>16</v>
      </c>
      <c r="B19" s="46" t="s">
        <v>71</v>
      </c>
      <c r="C19" s="46" t="s">
        <v>465</v>
      </c>
      <c r="D19" s="38" t="s">
        <v>71</v>
      </c>
      <c r="E19" s="46" t="s">
        <v>491</v>
      </c>
      <c r="F19" s="38" t="s">
        <v>113</v>
      </c>
      <c r="G19" s="47">
        <v>244466</v>
      </c>
      <c r="H19" s="46" t="s">
        <v>229</v>
      </c>
      <c r="I19" s="48" t="s">
        <v>155</v>
      </c>
      <c r="J19" s="48" t="s">
        <v>104</v>
      </c>
      <c r="K19" s="38" t="s">
        <v>83</v>
      </c>
      <c r="L19" s="49">
        <v>244467</v>
      </c>
      <c r="M19" s="41" t="s">
        <v>12</v>
      </c>
      <c r="N19" s="43">
        <v>4</v>
      </c>
    </row>
    <row r="20" spans="1:14">
      <c r="A20" s="45">
        <v>17</v>
      </c>
      <c r="B20" s="46" t="s">
        <v>709</v>
      </c>
      <c r="C20" s="46" t="s">
        <v>463</v>
      </c>
      <c r="D20" s="38" t="s">
        <v>704</v>
      </c>
      <c r="E20" s="46" t="s">
        <v>116</v>
      </c>
      <c r="F20" s="38">
        <v>4</v>
      </c>
      <c r="G20" s="47">
        <v>244467</v>
      </c>
      <c r="H20" s="46" t="s">
        <v>492</v>
      </c>
      <c r="I20" s="48" t="s">
        <v>155</v>
      </c>
      <c r="J20" s="48" t="s">
        <v>109</v>
      </c>
      <c r="K20" s="38" t="s">
        <v>84</v>
      </c>
      <c r="L20" s="49"/>
      <c r="M20" s="41" t="s">
        <v>12</v>
      </c>
      <c r="N20" s="43"/>
    </row>
    <row r="21" spans="1:14">
      <c r="A21" s="45">
        <v>18</v>
      </c>
      <c r="B21" s="46" t="s">
        <v>577</v>
      </c>
      <c r="C21" s="46" t="s">
        <v>465</v>
      </c>
      <c r="D21" s="38" t="s">
        <v>704</v>
      </c>
      <c r="E21" s="46" t="s">
        <v>493</v>
      </c>
      <c r="F21" s="38">
        <v>2</v>
      </c>
      <c r="G21" s="47">
        <v>244468</v>
      </c>
      <c r="H21" s="46" t="s">
        <v>494</v>
      </c>
      <c r="I21" s="48" t="s">
        <v>155</v>
      </c>
      <c r="J21" s="48" t="s">
        <v>104</v>
      </c>
      <c r="K21" s="38" t="s">
        <v>83</v>
      </c>
      <c r="L21" s="49">
        <v>244481</v>
      </c>
      <c r="M21" s="41" t="s">
        <v>12</v>
      </c>
      <c r="N21" s="43">
        <v>5</v>
      </c>
    </row>
    <row r="22" spans="1:14">
      <c r="A22" s="45">
        <v>19</v>
      </c>
      <c r="B22" s="46" t="s">
        <v>710</v>
      </c>
      <c r="C22" s="46" t="s">
        <v>463</v>
      </c>
      <c r="D22" s="38" t="s">
        <v>704</v>
      </c>
      <c r="E22" s="46" t="s">
        <v>496</v>
      </c>
      <c r="F22" s="38" t="s">
        <v>113</v>
      </c>
      <c r="G22" s="47">
        <v>244465</v>
      </c>
      <c r="H22" s="46" t="s">
        <v>497</v>
      </c>
      <c r="I22" s="48" t="s">
        <v>155</v>
      </c>
      <c r="J22" s="48" t="s">
        <v>104</v>
      </c>
      <c r="K22" s="38" t="s">
        <v>83</v>
      </c>
      <c r="L22" s="49">
        <v>244477</v>
      </c>
      <c r="M22" s="41" t="s">
        <v>12</v>
      </c>
      <c r="N22" s="43"/>
    </row>
    <row r="23" spans="1:14">
      <c r="A23" s="45">
        <v>20</v>
      </c>
      <c r="B23" s="46" t="s">
        <v>711</v>
      </c>
      <c r="C23" s="46" t="s">
        <v>463</v>
      </c>
      <c r="D23" s="38" t="s">
        <v>712</v>
      </c>
      <c r="E23" s="46" t="s">
        <v>499</v>
      </c>
      <c r="F23" s="38">
        <v>10</v>
      </c>
      <c r="G23" s="47">
        <v>244464</v>
      </c>
      <c r="H23" s="46" t="s">
        <v>500</v>
      </c>
      <c r="I23" s="48" t="s">
        <v>155</v>
      </c>
      <c r="J23" s="48" t="s">
        <v>104</v>
      </c>
      <c r="K23" s="38" t="s">
        <v>83</v>
      </c>
      <c r="L23" s="49">
        <v>244466</v>
      </c>
      <c r="M23" s="41" t="s">
        <v>12</v>
      </c>
      <c r="N23" s="43"/>
    </row>
    <row r="24" spans="1:14">
      <c r="A24" s="45">
        <v>21</v>
      </c>
      <c r="B24" s="46" t="s">
        <v>71</v>
      </c>
      <c r="C24" s="46" t="s">
        <v>465</v>
      </c>
      <c r="D24" s="38" t="s">
        <v>71</v>
      </c>
      <c r="E24" s="46" t="s">
        <v>501</v>
      </c>
      <c r="F24" s="38" t="s">
        <v>113</v>
      </c>
      <c r="G24" s="47">
        <v>244466</v>
      </c>
      <c r="H24" s="46" t="s">
        <v>502</v>
      </c>
      <c r="I24" s="48" t="s">
        <v>155</v>
      </c>
      <c r="J24" s="48" t="s">
        <v>104</v>
      </c>
      <c r="K24" s="38" t="s">
        <v>83</v>
      </c>
      <c r="L24" s="49">
        <v>244466</v>
      </c>
      <c r="M24" s="41" t="s">
        <v>12</v>
      </c>
      <c r="N24" s="43"/>
    </row>
    <row r="25" spans="1:14">
      <c r="A25" s="50">
        <v>22</v>
      </c>
      <c r="B25" s="51" t="s">
        <v>577</v>
      </c>
      <c r="C25" s="51" t="s">
        <v>463</v>
      </c>
      <c r="D25" s="52" t="s">
        <v>704</v>
      </c>
      <c r="E25" s="51" t="s">
        <v>503</v>
      </c>
      <c r="F25" s="52">
        <v>5</v>
      </c>
      <c r="G25" s="53">
        <v>244466</v>
      </c>
      <c r="H25" s="51" t="s">
        <v>118</v>
      </c>
      <c r="I25" s="54" t="s">
        <v>155</v>
      </c>
      <c r="J25" s="54" t="s">
        <v>109</v>
      </c>
      <c r="K25" s="52" t="s">
        <v>3</v>
      </c>
      <c r="L25" s="55"/>
      <c r="M25" s="41" t="s">
        <v>12</v>
      </c>
      <c r="N25" s="56"/>
    </row>
    <row r="26" spans="1:14" ht="25.2" customHeight="1">
      <c r="A26" s="578"/>
      <c r="B26" s="573" t="s">
        <v>455</v>
      </c>
      <c r="C26" s="574"/>
      <c r="D26" s="574"/>
      <c r="E26" s="574"/>
      <c r="F26" s="574"/>
      <c r="G26" s="574"/>
      <c r="H26" s="574"/>
      <c r="I26" s="574"/>
      <c r="J26" s="574"/>
      <c r="K26" s="574"/>
      <c r="L26" s="575"/>
    </row>
    <row r="27" spans="1:14" ht="18" customHeight="1">
      <c r="A27" s="577"/>
      <c r="B27" s="573" t="s">
        <v>504</v>
      </c>
      <c r="C27" s="574"/>
      <c r="D27" s="574"/>
      <c r="E27" s="574"/>
      <c r="F27" s="574"/>
      <c r="G27" s="574"/>
      <c r="H27" s="574"/>
      <c r="I27" s="574"/>
      <c r="J27" s="574"/>
      <c r="K27" s="574"/>
      <c r="L27" s="575"/>
    </row>
    <row r="28" spans="1:14">
      <c r="A28" s="30" t="s">
        <v>92</v>
      </c>
      <c r="B28" s="31" t="s">
        <v>457</v>
      </c>
      <c r="C28" s="31" t="s">
        <v>459</v>
      </c>
      <c r="D28" s="32" t="s">
        <v>96</v>
      </c>
      <c r="E28" s="33" t="s">
        <v>460</v>
      </c>
      <c r="F28" s="32" t="s">
        <v>97</v>
      </c>
      <c r="G28" s="33" t="s">
        <v>461</v>
      </c>
      <c r="H28" s="33" t="s">
        <v>139</v>
      </c>
      <c r="I28" s="33" t="s">
        <v>143</v>
      </c>
      <c r="J28" s="33" t="s">
        <v>101</v>
      </c>
      <c r="K28" s="33" t="s">
        <v>462</v>
      </c>
      <c r="L28" s="34" t="s">
        <v>144</v>
      </c>
      <c r="M28" s="33" t="s">
        <v>0</v>
      </c>
      <c r="N28" s="32" t="s">
        <v>42</v>
      </c>
    </row>
    <row r="29" spans="1:14">
      <c r="A29" s="35">
        <v>1</v>
      </c>
      <c r="B29" s="36" t="s">
        <v>574</v>
      </c>
      <c r="C29" s="37" t="s">
        <v>463</v>
      </c>
      <c r="D29" s="38" t="s">
        <v>704</v>
      </c>
      <c r="E29" s="36" t="s">
        <v>120</v>
      </c>
      <c r="F29" s="38" t="s">
        <v>113</v>
      </c>
      <c r="G29" s="39">
        <v>244469</v>
      </c>
      <c r="H29" s="36"/>
      <c r="I29" s="38" t="s">
        <v>155</v>
      </c>
      <c r="J29" s="38" t="s">
        <v>109</v>
      </c>
      <c r="K29" s="38" t="s">
        <v>3</v>
      </c>
      <c r="L29" s="40"/>
      <c r="M29" s="41" t="s">
        <v>13</v>
      </c>
      <c r="N29" s="42"/>
    </row>
    <row r="30" spans="1:14">
      <c r="A30" s="35">
        <v>2</v>
      </c>
      <c r="B30" s="36" t="s">
        <v>574</v>
      </c>
      <c r="C30" s="36" t="s">
        <v>463</v>
      </c>
      <c r="D30" s="38" t="s">
        <v>704</v>
      </c>
      <c r="E30" s="36" t="s">
        <v>506</v>
      </c>
      <c r="F30" s="38" t="s">
        <v>113</v>
      </c>
      <c r="G30" s="39">
        <v>244469</v>
      </c>
      <c r="H30" s="36"/>
      <c r="I30" s="38" t="s">
        <v>155</v>
      </c>
      <c r="J30" s="38" t="s">
        <v>109</v>
      </c>
      <c r="K30" s="38" t="s">
        <v>3</v>
      </c>
      <c r="L30" s="40"/>
      <c r="M30" s="41" t="s">
        <v>13</v>
      </c>
      <c r="N30" s="43"/>
    </row>
    <row r="31" spans="1:14">
      <c r="A31" s="35">
        <v>3</v>
      </c>
      <c r="B31" s="36" t="s">
        <v>577</v>
      </c>
      <c r="C31" s="37" t="s">
        <v>463</v>
      </c>
      <c r="D31" s="38" t="s">
        <v>704</v>
      </c>
      <c r="E31" s="36" t="s">
        <v>121</v>
      </c>
      <c r="F31" s="38">
        <v>3</v>
      </c>
      <c r="G31" s="39">
        <v>244473</v>
      </c>
      <c r="H31" s="36"/>
      <c r="I31" s="38" t="s">
        <v>155</v>
      </c>
      <c r="J31" s="38" t="s">
        <v>104</v>
      </c>
      <c r="K31" s="38" t="s">
        <v>84</v>
      </c>
      <c r="L31" s="40"/>
      <c r="M31" s="41" t="s">
        <v>13</v>
      </c>
      <c r="N31" s="43"/>
    </row>
    <row r="32" spans="1:14">
      <c r="A32" s="35">
        <v>4</v>
      </c>
      <c r="B32" s="36" t="s">
        <v>514</v>
      </c>
      <c r="C32" s="36" t="s">
        <v>465</v>
      </c>
      <c r="D32" s="38" t="s">
        <v>71</v>
      </c>
      <c r="E32" s="36" t="s">
        <v>515</v>
      </c>
      <c r="F32" s="38">
        <v>12</v>
      </c>
      <c r="G32" s="39">
        <v>244475</v>
      </c>
      <c r="H32" s="36"/>
      <c r="I32" s="38" t="s">
        <v>155</v>
      </c>
      <c r="J32" s="38" t="s">
        <v>104</v>
      </c>
      <c r="K32" s="38" t="s">
        <v>3</v>
      </c>
      <c r="L32" s="40"/>
      <c r="M32" s="41" t="s">
        <v>13</v>
      </c>
      <c r="N32" s="43"/>
    </row>
    <row r="33" spans="1:14">
      <c r="A33" s="35">
        <v>5</v>
      </c>
      <c r="B33" s="36" t="s">
        <v>577</v>
      </c>
      <c r="C33" s="37" t="s">
        <v>463</v>
      </c>
      <c r="D33" s="38" t="s">
        <v>704</v>
      </c>
      <c r="E33" s="36" t="s">
        <v>507</v>
      </c>
      <c r="F33" s="38">
        <v>5</v>
      </c>
      <c r="G33" s="39">
        <v>244475</v>
      </c>
      <c r="H33" s="36"/>
      <c r="I33" s="38" t="s">
        <v>155</v>
      </c>
      <c r="J33" s="38" t="s">
        <v>109</v>
      </c>
      <c r="K33" s="38" t="s">
        <v>3</v>
      </c>
      <c r="L33" s="40"/>
      <c r="M33" s="41" t="s">
        <v>13</v>
      </c>
      <c r="N33" s="43"/>
    </row>
    <row r="34" spans="1:14">
      <c r="A34" s="35">
        <v>6</v>
      </c>
      <c r="B34" s="36" t="s">
        <v>713</v>
      </c>
      <c r="C34" s="36" t="s">
        <v>463</v>
      </c>
      <c r="D34" s="38" t="s">
        <v>704</v>
      </c>
      <c r="E34" s="36" t="s">
        <v>509</v>
      </c>
      <c r="F34" s="38" t="s">
        <v>113</v>
      </c>
      <c r="G34" s="39">
        <v>244475</v>
      </c>
      <c r="H34" s="36"/>
      <c r="I34" s="38" t="s">
        <v>155</v>
      </c>
      <c r="J34" s="38" t="s">
        <v>104</v>
      </c>
      <c r="K34" s="38" t="s">
        <v>83</v>
      </c>
      <c r="L34" s="40">
        <v>244476</v>
      </c>
      <c r="M34" s="41" t="s">
        <v>13</v>
      </c>
      <c r="N34" s="43"/>
    </row>
    <row r="35" spans="1:14">
      <c r="A35" s="35">
        <v>7</v>
      </c>
      <c r="B35" s="36" t="s">
        <v>577</v>
      </c>
      <c r="C35" s="37" t="s">
        <v>463</v>
      </c>
      <c r="D35" s="38" t="s">
        <v>704</v>
      </c>
      <c r="E35" s="36" t="s">
        <v>510</v>
      </c>
      <c r="F35" s="38">
        <v>11</v>
      </c>
      <c r="G35" s="39">
        <v>244475</v>
      </c>
      <c r="H35" s="36" t="s">
        <v>293</v>
      </c>
      <c r="I35" s="38" t="s">
        <v>155</v>
      </c>
      <c r="J35" s="38" t="s">
        <v>104</v>
      </c>
      <c r="K35" s="38" t="s">
        <v>83</v>
      </c>
      <c r="L35" s="40">
        <v>244476</v>
      </c>
      <c r="M35" s="41" t="s">
        <v>13</v>
      </c>
      <c r="N35" s="43"/>
    </row>
    <row r="36" spans="1:14">
      <c r="A36" s="35">
        <v>8</v>
      </c>
      <c r="B36" s="36" t="s">
        <v>703</v>
      </c>
      <c r="C36" s="36" t="s">
        <v>463</v>
      </c>
      <c r="D36" s="38" t="s">
        <v>704</v>
      </c>
      <c r="E36" s="36" t="s">
        <v>512</v>
      </c>
      <c r="F36" s="38" t="s">
        <v>113</v>
      </c>
      <c r="G36" s="39">
        <v>244476</v>
      </c>
      <c r="H36" s="36"/>
      <c r="I36" s="38" t="s">
        <v>155</v>
      </c>
      <c r="J36" s="38" t="s">
        <v>104</v>
      </c>
      <c r="K36" s="38" t="s">
        <v>83</v>
      </c>
      <c r="L36" s="40">
        <v>244476</v>
      </c>
      <c r="M36" s="41" t="s">
        <v>13</v>
      </c>
      <c r="N36" s="43"/>
    </row>
    <row r="37" spans="1:14">
      <c r="A37" s="35">
        <v>9</v>
      </c>
      <c r="B37" s="36" t="s">
        <v>713</v>
      </c>
      <c r="C37" s="37" t="s">
        <v>463</v>
      </c>
      <c r="D37" s="38" t="s">
        <v>704</v>
      </c>
      <c r="E37" s="36" t="s">
        <v>714</v>
      </c>
      <c r="F37" s="38" t="s">
        <v>113</v>
      </c>
      <c r="G37" s="39">
        <v>244476</v>
      </c>
      <c r="H37" s="36"/>
      <c r="I37" s="38" t="s">
        <v>155</v>
      </c>
      <c r="J37" s="38" t="s">
        <v>109</v>
      </c>
      <c r="K37" s="38" t="s">
        <v>3</v>
      </c>
      <c r="L37" s="40"/>
      <c r="M37" s="41" t="s">
        <v>13</v>
      </c>
      <c r="N37" s="43"/>
    </row>
    <row r="38" spans="1:14">
      <c r="A38" s="35">
        <v>10</v>
      </c>
      <c r="B38" s="36" t="s">
        <v>514</v>
      </c>
      <c r="C38" s="36" t="s">
        <v>465</v>
      </c>
      <c r="D38" s="38"/>
      <c r="E38" s="36" t="s">
        <v>510</v>
      </c>
      <c r="F38" s="38">
        <v>12</v>
      </c>
      <c r="G38" s="39">
        <v>244477</v>
      </c>
      <c r="H38" s="36" t="s">
        <v>293</v>
      </c>
      <c r="I38" s="38" t="s">
        <v>155</v>
      </c>
      <c r="J38" s="38" t="s">
        <v>104</v>
      </c>
      <c r="K38" s="38" t="s">
        <v>83</v>
      </c>
      <c r="L38" s="40">
        <v>244477</v>
      </c>
      <c r="M38" s="41" t="s">
        <v>13</v>
      </c>
      <c r="N38" s="43"/>
    </row>
    <row r="39" spans="1:14">
      <c r="A39" s="35">
        <v>11</v>
      </c>
      <c r="B39" s="46" t="s">
        <v>710</v>
      </c>
      <c r="C39" s="46" t="s">
        <v>463</v>
      </c>
      <c r="D39" s="38" t="s">
        <v>704</v>
      </c>
      <c r="E39" s="46" t="s">
        <v>496</v>
      </c>
      <c r="F39" s="38" t="s">
        <v>113</v>
      </c>
      <c r="G39" s="47">
        <v>244465</v>
      </c>
      <c r="H39" s="46" t="s">
        <v>497</v>
      </c>
      <c r="I39" s="38" t="s">
        <v>155</v>
      </c>
      <c r="J39" s="38" t="s">
        <v>104</v>
      </c>
      <c r="K39" s="38" t="s">
        <v>83</v>
      </c>
      <c r="L39" s="40">
        <v>244477</v>
      </c>
      <c r="M39" s="41" t="s">
        <v>13</v>
      </c>
      <c r="N39" s="43"/>
    </row>
    <row r="40" spans="1:14">
      <c r="A40" s="35">
        <v>12</v>
      </c>
      <c r="B40" s="36" t="s">
        <v>715</v>
      </c>
      <c r="C40" s="36" t="s">
        <v>465</v>
      </c>
      <c r="D40" s="38" t="s">
        <v>704</v>
      </c>
      <c r="E40" s="36" t="s">
        <v>716</v>
      </c>
      <c r="F40" s="38" t="s">
        <v>717</v>
      </c>
      <c r="G40" s="39">
        <v>244479</v>
      </c>
      <c r="H40" s="36" t="s">
        <v>717</v>
      </c>
      <c r="I40" s="38" t="s">
        <v>155</v>
      </c>
      <c r="J40" s="38" t="s">
        <v>104</v>
      </c>
      <c r="K40" s="38" t="s">
        <v>84</v>
      </c>
      <c r="L40" s="40"/>
      <c r="M40" s="41" t="s">
        <v>13</v>
      </c>
      <c r="N40" s="43"/>
    </row>
    <row r="41" spans="1:14">
      <c r="A41" s="35">
        <v>13</v>
      </c>
      <c r="B41" s="36" t="s">
        <v>708</v>
      </c>
      <c r="C41" s="36" t="s">
        <v>463</v>
      </c>
      <c r="D41" s="38" t="s">
        <v>704</v>
      </c>
      <c r="E41" s="36" t="s">
        <v>487</v>
      </c>
      <c r="F41" s="38" t="s">
        <v>113</v>
      </c>
      <c r="G41" s="39">
        <v>244464</v>
      </c>
      <c r="H41" s="36" t="s">
        <v>488</v>
      </c>
      <c r="I41" s="38" t="s">
        <v>155</v>
      </c>
      <c r="J41" s="38" t="s">
        <v>104</v>
      </c>
      <c r="K41" s="38" t="s">
        <v>83</v>
      </c>
      <c r="L41" s="40">
        <v>244481</v>
      </c>
      <c r="M41" s="41" t="s">
        <v>13</v>
      </c>
      <c r="N41" s="43"/>
    </row>
    <row r="42" spans="1:14">
      <c r="A42" s="35">
        <v>14</v>
      </c>
      <c r="B42" s="36" t="s">
        <v>128</v>
      </c>
      <c r="C42" s="36" t="s">
        <v>465</v>
      </c>
      <c r="D42" s="38" t="s">
        <v>704</v>
      </c>
      <c r="E42" s="36" t="s">
        <v>718</v>
      </c>
      <c r="F42" s="38">
        <v>2</v>
      </c>
      <c r="G42" s="39">
        <v>244481</v>
      </c>
      <c r="H42" s="36" t="s">
        <v>719</v>
      </c>
      <c r="I42" s="38" t="s">
        <v>155</v>
      </c>
      <c r="J42" s="38" t="s">
        <v>109</v>
      </c>
      <c r="K42" s="38" t="s">
        <v>83</v>
      </c>
      <c r="L42" s="40">
        <v>244481</v>
      </c>
      <c r="M42" s="41" t="s">
        <v>13</v>
      </c>
      <c r="N42" s="43"/>
    </row>
    <row r="43" spans="1:14">
      <c r="A43" s="35">
        <v>15</v>
      </c>
      <c r="B43" s="36" t="s">
        <v>514</v>
      </c>
      <c r="C43" s="36" t="s">
        <v>465</v>
      </c>
      <c r="D43" s="38"/>
      <c r="E43" s="36" t="s">
        <v>720</v>
      </c>
      <c r="F43" s="38">
        <v>7</v>
      </c>
      <c r="G43" s="39">
        <v>244477</v>
      </c>
      <c r="H43" s="36" t="s">
        <v>721</v>
      </c>
      <c r="I43" s="38" t="s">
        <v>155</v>
      </c>
      <c r="J43" s="38" t="s">
        <v>104</v>
      </c>
      <c r="K43" s="38" t="s">
        <v>83</v>
      </c>
      <c r="L43" s="40">
        <v>244482</v>
      </c>
      <c r="M43" s="41" t="s">
        <v>13</v>
      </c>
      <c r="N43" s="43"/>
    </row>
    <row r="44" spans="1:14">
      <c r="A44" s="35">
        <v>16</v>
      </c>
      <c r="B44" s="36" t="s">
        <v>577</v>
      </c>
      <c r="C44" s="36" t="s">
        <v>463</v>
      </c>
      <c r="D44" s="38" t="s">
        <v>704</v>
      </c>
      <c r="E44" s="36" t="s">
        <v>722</v>
      </c>
      <c r="F44" s="38">
        <v>5</v>
      </c>
      <c r="G44" s="39">
        <v>244479</v>
      </c>
      <c r="H44" s="36" t="s">
        <v>723</v>
      </c>
      <c r="I44" s="48" t="s">
        <v>155</v>
      </c>
      <c r="J44" s="48" t="s">
        <v>104</v>
      </c>
      <c r="K44" s="38" t="s">
        <v>3</v>
      </c>
      <c r="L44" s="40"/>
      <c r="M44" s="41" t="s">
        <v>13</v>
      </c>
      <c r="N44" s="43"/>
    </row>
    <row r="45" spans="1:14">
      <c r="A45" s="35">
        <v>17</v>
      </c>
      <c r="B45" s="36" t="s">
        <v>577</v>
      </c>
      <c r="C45" s="36" t="s">
        <v>463</v>
      </c>
      <c r="D45" s="38" t="s">
        <v>704</v>
      </c>
      <c r="E45" s="36" t="s">
        <v>724</v>
      </c>
      <c r="F45" s="38">
        <v>14</v>
      </c>
      <c r="G45" s="39">
        <v>244479</v>
      </c>
      <c r="H45" s="36" t="s">
        <v>725</v>
      </c>
      <c r="I45" s="48" t="s">
        <v>155</v>
      </c>
      <c r="J45" s="48" t="s">
        <v>109</v>
      </c>
      <c r="K45" s="38" t="s">
        <v>3</v>
      </c>
      <c r="L45" s="40"/>
      <c r="M45" s="41" t="s">
        <v>13</v>
      </c>
      <c r="N45" s="43"/>
    </row>
    <row r="46" spans="1:14">
      <c r="A46" s="35">
        <v>18</v>
      </c>
      <c r="B46" s="36" t="s">
        <v>726</v>
      </c>
      <c r="C46" s="36" t="s">
        <v>463</v>
      </c>
      <c r="D46" s="38" t="s">
        <v>727</v>
      </c>
      <c r="E46" s="36" t="s">
        <v>728</v>
      </c>
      <c r="F46" s="38"/>
      <c r="G46" s="39"/>
      <c r="H46" s="36"/>
      <c r="I46" s="48"/>
      <c r="J46" s="48"/>
      <c r="K46" s="38"/>
      <c r="L46" s="40"/>
      <c r="M46" s="41" t="s">
        <v>13</v>
      </c>
      <c r="N46" s="43"/>
    </row>
    <row r="47" spans="1:14">
      <c r="A47" s="35">
        <v>19</v>
      </c>
      <c r="B47" s="36"/>
      <c r="C47" s="37"/>
      <c r="D47" s="38"/>
      <c r="E47" s="36"/>
      <c r="F47" s="38"/>
      <c r="G47" s="39"/>
      <c r="H47" s="36"/>
      <c r="I47" s="48"/>
      <c r="J47" s="48"/>
      <c r="K47" s="38"/>
      <c r="L47" s="40"/>
      <c r="M47" s="41" t="s">
        <v>13</v>
      </c>
      <c r="N47" s="43"/>
    </row>
    <row r="48" spans="1:14">
      <c r="A48" s="35">
        <v>20</v>
      </c>
      <c r="B48" s="36"/>
      <c r="C48" s="36"/>
      <c r="D48" s="38"/>
      <c r="E48" s="36"/>
      <c r="F48" s="38"/>
      <c r="G48" s="39"/>
      <c r="H48" s="36"/>
      <c r="I48" s="48"/>
      <c r="J48" s="48"/>
      <c r="K48" s="38"/>
      <c r="L48" s="40"/>
      <c r="M48" s="41" t="s">
        <v>13</v>
      </c>
      <c r="N48" s="43"/>
    </row>
    <row r="49" spans="1:14">
      <c r="A49" s="57">
        <v>21</v>
      </c>
      <c r="B49" s="58"/>
      <c r="C49" s="59"/>
      <c r="D49" s="52"/>
      <c r="E49" s="58"/>
      <c r="F49" s="52"/>
      <c r="G49" s="60"/>
      <c r="H49" s="58"/>
      <c r="I49" s="54"/>
      <c r="J49" s="54"/>
      <c r="K49" s="52"/>
      <c r="L49" s="61"/>
      <c r="M49" s="41" t="s">
        <v>13</v>
      </c>
      <c r="N49" s="56"/>
    </row>
    <row r="50" spans="1:14">
      <c r="I50" s="48"/>
      <c r="J50" s="48"/>
    </row>
    <row r="54" spans="1:14" ht="23.4">
      <c r="E54" s="62"/>
    </row>
    <row r="56" spans="1:14" ht="23.4">
      <c r="E56" s="62"/>
    </row>
    <row r="58" spans="1:14" ht="23.4">
      <c r="E58" s="62"/>
    </row>
    <row r="60" spans="1:14" ht="23.4">
      <c r="E60" s="62"/>
    </row>
    <row r="62" spans="1:14" ht="23.4">
      <c r="E62" s="62"/>
    </row>
    <row r="64" spans="1:14" ht="23.4">
      <c r="E64" s="62"/>
    </row>
    <row r="66" spans="5:5" ht="23.4">
      <c r="E66" s="62"/>
    </row>
    <row r="68" spans="5:5" ht="23.4">
      <c r="E68" s="62"/>
    </row>
    <row r="70" spans="5:5" ht="23.4">
      <c r="E70" s="62"/>
    </row>
    <row r="72" spans="5:5" ht="23.4">
      <c r="E72" s="62"/>
    </row>
    <row r="74" spans="5:5" ht="23.4">
      <c r="E74" s="62"/>
    </row>
  </sheetData>
  <mergeCells count="6">
    <mergeCell ref="B1:L1"/>
    <mergeCell ref="B2:L2"/>
    <mergeCell ref="B26:L26"/>
    <mergeCell ref="B27:L27"/>
    <mergeCell ref="A1:A2"/>
    <mergeCell ref="A26:A27"/>
  </mergeCells>
  <conditionalFormatting sqref="I1:I1048576">
    <cfRule type="beginsWith" dxfId="6" priority="3" operator="beginsWith" text="ไม่สำคัญ">
      <formula>LEFT(I1,LEN("ไม่สำคัญ"))="ไม่สำคัญ"</formula>
    </cfRule>
    <cfRule type="beginsWith" dxfId="5" priority="4" operator="beginsWith" text="สำคัญ">
      <formula>LEFT(I1,LEN("สำคัญ"))="สำคัญ"</formula>
    </cfRule>
  </conditionalFormatting>
  <conditionalFormatting sqref="J1:J1048576">
    <cfRule type="beginsWith" dxfId="4" priority="1" operator="beginsWith" text="ไม่เร่งด่วน">
      <formula>LEFT(J1,LEN("ไม่เร่งด่วน"))="ไม่เร่งด่วน"</formula>
    </cfRule>
    <cfRule type="beginsWith" dxfId="3" priority="2" operator="beginsWith" text="เร่งด่วน">
      <formula>LEFT(J1,LEN("เร่งด่วน"))="เร่งด่วน"</formula>
    </cfRule>
  </conditionalFormatting>
  <conditionalFormatting sqref="K1:K49">
    <cfRule type="containsText" dxfId="2" priority="8" operator="containsText" text="กำลังดำเนินการ">
      <formula>NOT(ISERROR(SEARCH("กำลังดำเนินการ",K1)))</formula>
    </cfRule>
    <cfRule type="containsText" dxfId="1" priority="9" operator="containsText" text="รอดำเนินการ">
      <formula>NOT(ISERROR(SEARCH("รอดำเนินการ",K1)))</formula>
    </cfRule>
    <cfRule type="containsText" dxfId="0" priority="10" operator="containsText" text="เรียบร้อย">
      <formula>NOT(ISERROR(SEARCH("เรียบร้อย",K1)))</formula>
    </cfRule>
  </conditionalFormatting>
  <dataValidations count="3">
    <dataValidation type="list" allowBlank="1" showInputMessage="1" showErrorMessage="1" sqref="I4:I25 I29:I50" xr:uid="{00000000-0002-0000-0D00-000000000000}">
      <formula1>"สำคัญ, ไม่สำคัญ"</formula1>
    </dataValidation>
    <dataValidation type="list" allowBlank="1" showInputMessage="1" showErrorMessage="1" sqref="J4:J25 J29:J50" xr:uid="{00000000-0002-0000-0D00-000001000000}">
      <formula1>"เร่งด่วน, ไม่เร่งด่วน"</formula1>
    </dataValidation>
    <dataValidation type="list" allowBlank="1" showInputMessage="1" showErrorMessage="1" sqref="K4:K25 K29:K49" xr:uid="{00000000-0002-0000-0D00-000002000000}">
      <formula1>"เรียบร้อย, กำลังดำเนินการ, รอดำเนินการ"</formula1>
    </dataValidation>
  </dataValidations>
  <pageMargins left="0.7" right="0.7" top="0.75" bottom="0.75" header="0.3" footer="0.3"/>
  <pageSetup paperSize="9" orientation="portrait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5" tint="0.79995117038483843"/>
  </sheetPr>
  <dimension ref="B2:K8"/>
  <sheetViews>
    <sheetView zoomScale="85" zoomScaleNormal="85" workbookViewId="0">
      <selection activeCell="K5" sqref="K5"/>
    </sheetView>
  </sheetViews>
  <sheetFormatPr defaultColWidth="9" defaultRowHeight="14.4"/>
  <cols>
    <col min="2" max="2" width="8" style="25" customWidth="1"/>
    <col min="3" max="3" width="7.44140625" style="25" customWidth="1"/>
    <col min="4" max="4" width="38.33203125" style="25" customWidth="1"/>
    <col min="5" max="5" width="38.6640625" style="25" customWidth="1"/>
    <col min="6" max="6" width="30.88671875" style="25" customWidth="1"/>
    <col min="7" max="10" width="11.6640625" style="25" customWidth="1"/>
  </cols>
  <sheetData>
    <row r="2" spans="2:11" ht="25.2" customHeight="1">
      <c r="B2" s="579" t="s">
        <v>729</v>
      </c>
      <c r="C2" s="579"/>
      <c r="D2" s="579"/>
      <c r="E2" s="579"/>
      <c r="F2" s="579"/>
    </row>
    <row r="3" spans="2:11" s="24" customFormat="1" ht="5.4" customHeight="1">
      <c r="B3" s="26"/>
      <c r="C3" s="26"/>
      <c r="D3" s="26"/>
      <c r="E3" s="26"/>
      <c r="F3" s="27"/>
      <c r="G3" s="27"/>
      <c r="H3" s="27"/>
      <c r="I3" s="27"/>
      <c r="J3" s="27"/>
    </row>
    <row r="4" spans="2:11">
      <c r="B4" s="25" t="s">
        <v>92</v>
      </c>
      <c r="C4" s="25" t="s">
        <v>97</v>
      </c>
      <c r="D4" s="25" t="s">
        <v>139</v>
      </c>
      <c r="E4" s="25" t="s">
        <v>730</v>
      </c>
      <c r="F4" s="25" t="s">
        <v>98</v>
      </c>
      <c r="K4" s="25"/>
    </row>
    <row r="5" spans="2:11" ht="265.2" customHeight="1">
      <c r="B5" s="25">
        <v>1</v>
      </c>
      <c r="C5" s="25">
        <v>15</v>
      </c>
      <c r="D5" s="25" t="s">
        <v>731</v>
      </c>
      <c r="F5" s="28" t="s">
        <v>732</v>
      </c>
      <c r="K5" s="25"/>
    </row>
    <row r="6" spans="2:11" ht="152.4" customHeight="1">
      <c r="B6" s="25">
        <v>2</v>
      </c>
      <c r="C6" s="25">
        <v>9</v>
      </c>
      <c r="D6" s="25" t="s">
        <v>733</v>
      </c>
      <c r="F6" s="25" t="s">
        <v>734</v>
      </c>
      <c r="K6" s="25"/>
    </row>
    <row r="7" spans="2:11" ht="242.4" customHeight="1">
      <c r="B7" s="25">
        <v>3</v>
      </c>
      <c r="C7" s="25">
        <v>5</v>
      </c>
      <c r="D7" s="25" t="s">
        <v>735</v>
      </c>
      <c r="F7" s="25" t="s">
        <v>736</v>
      </c>
      <c r="K7" s="25"/>
    </row>
    <row r="8" spans="2:11">
      <c r="B8" s="25">
        <v>4</v>
      </c>
      <c r="K8" s="25"/>
    </row>
  </sheetData>
  <mergeCells count="1">
    <mergeCell ref="B2:F2"/>
  </mergeCell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5" tint="0.79995117038483843"/>
  </sheetPr>
  <dimension ref="A1:N36"/>
  <sheetViews>
    <sheetView view="pageBreakPreview" topLeftCell="A10" zoomScaleNormal="100" workbookViewId="0">
      <selection activeCell="K10" sqref="K10:L10"/>
    </sheetView>
  </sheetViews>
  <sheetFormatPr defaultColWidth="9" defaultRowHeight="14.4"/>
  <cols>
    <col min="12" max="12" width="11.6640625" customWidth="1"/>
  </cols>
  <sheetData>
    <row r="1" spans="1:14" ht="21" customHeight="1">
      <c r="A1" s="596" t="s">
        <v>737</v>
      </c>
      <c r="B1" s="597"/>
      <c r="C1" s="597"/>
      <c r="D1" s="597"/>
      <c r="E1" s="597"/>
      <c r="F1" s="597"/>
      <c r="G1" s="597"/>
      <c r="H1" s="597"/>
      <c r="I1" s="597"/>
      <c r="J1" s="597"/>
      <c r="K1" s="597"/>
      <c r="L1" s="597"/>
      <c r="M1" s="597"/>
      <c r="N1" s="597"/>
    </row>
    <row r="2" spans="1:14" ht="15">
      <c r="A2" s="12" t="s">
        <v>92</v>
      </c>
      <c r="B2" s="598" t="s">
        <v>67</v>
      </c>
      <c r="C2" s="598"/>
      <c r="D2" s="598" t="s">
        <v>139</v>
      </c>
      <c r="E2" s="598"/>
      <c r="F2" s="12" t="s">
        <v>97</v>
      </c>
      <c r="G2" s="13" t="s">
        <v>738</v>
      </c>
      <c r="H2" s="13" t="s">
        <v>739</v>
      </c>
      <c r="I2" s="589" t="s">
        <v>98</v>
      </c>
      <c r="J2" s="588"/>
      <c r="K2" s="589" t="s">
        <v>139</v>
      </c>
      <c r="L2" s="588"/>
    </row>
    <row r="3" spans="1:14" ht="16.8">
      <c r="A3" s="15">
        <v>1</v>
      </c>
      <c r="B3" s="587" t="s">
        <v>64</v>
      </c>
      <c r="C3" s="587"/>
      <c r="D3" s="587" t="s">
        <v>445</v>
      </c>
      <c r="E3" s="587"/>
      <c r="F3" s="17">
        <v>15</v>
      </c>
      <c r="G3" s="18"/>
      <c r="H3" s="19" t="s">
        <v>740</v>
      </c>
      <c r="I3" s="7" t="s">
        <v>741</v>
      </c>
      <c r="J3" s="14"/>
      <c r="K3" s="594" t="s">
        <v>159</v>
      </c>
      <c r="L3" s="588"/>
    </row>
    <row r="4" spans="1:14" ht="16.8">
      <c r="A4" s="15">
        <v>2</v>
      </c>
      <c r="B4" s="587" t="s">
        <v>64</v>
      </c>
      <c r="C4" s="587"/>
      <c r="D4" s="587" t="s">
        <v>229</v>
      </c>
      <c r="E4" s="587"/>
      <c r="F4" s="17">
        <v>15</v>
      </c>
      <c r="G4" s="18"/>
      <c r="H4" s="19" t="s">
        <v>740</v>
      </c>
      <c r="I4" s="588" t="s">
        <v>742</v>
      </c>
      <c r="J4" s="588"/>
      <c r="K4" s="594" t="s">
        <v>220</v>
      </c>
      <c r="L4" s="588"/>
    </row>
    <row r="5" spans="1:14" ht="15">
      <c r="A5" s="15">
        <v>3</v>
      </c>
      <c r="B5" s="587" t="s">
        <v>64</v>
      </c>
      <c r="C5" s="587"/>
      <c r="D5" s="595" t="s">
        <v>566</v>
      </c>
      <c r="E5" s="595"/>
      <c r="F5" s="17">
        <v>15</v>
      </c>
      <c r="G5" s="18" t="s">
        <v>743</v>
      </c>
      <c r="H5" s="7"/>
      <c r="I5" s="588"/>
      <c r="J5" s="588"/>
      <c r="K5" s="589"/>
      <c r="L5" s="588"/>
    </row>
    <row r="6" spans="1:14" ht="15">
      <c r="A6" s="15">
        <v>4</v>
      </c>
      <c r="B6" s="587" t="s">
        <v>64</v>
      </c>
      <c r="C6" s="587"/>
      <c r="D6" s="595" t="s">
        <v>744</v>
      </c>
      <c r="E6" s="595"/>
      <c r="F6" s="17">
        <v>14</v>
      </c>
      <c r="G6" s="18" t="s">
        <v>743</v>
      </c>
      <c r="H6" s="7"/>
      <c r="I6" s="588"/>
      <c r="J6" s="588"/>
      <c r="K6" s="589"/>
      <c r="L6" s="588"/>
    </row>
    <row r="7" spans="1:14" ht="15">
      <c r="A7" s="15">
        <v>5</v>
      </c>
      <c r="B7" s="587" t="s">
        <v>64</v>
      </c>
      <c r="C7" s="587"/>
      <c r="D7" s="587" t="s">
        <v>229</v>
      </c>
      <c r="E7" s="587"/>
      <c r="F7" s="17">
        <v>14</v>
      </c>
      <c r="G7" s="18" t="s">
        <v>743</v>
      </c>
      <c r="H7" s="7"/>
      <c r="I7" s="588"/>
      <c r="J7" s="588"/>
      <c r="K7" s="589"/>
      <c r="L7" s="588"/>
    </row>
    <row r="8" spans="1:14" ht="15">
      <c r="A8" s="15">
        <v>6</v>
      </c>
      <c r="B8" s="587" t="s">
        <v>64</v>
      </c>
      <c r="C8" s="587"/>
      <c r="D8" s="587" t="s">
        <v>445</v>
      </c>
      <c r="E8" s="587"/>
      <c r="F8" s="17">
        <v>14</v>
      </c>
      <c r="G8" s="18" t="s">
        <v>743</v>
      </c>
      <c r="H8" s="7"/>
      <c r="I8" s="588"/>
      <c r="J8" s="588"/>
      <c r="K8" s="589"/>
      <c r="L8" s="588"/>
    </row>
    <row r="9" spans="1:14" ht="16.8">
      <c r="A9" s="15">
        <v>7</v>
      </c>
      <c r="B9" s="587" t="s">
        <v>64</v>
      </c>
      <c r="C9" s="587"/>
      <c r="D9" s="587" t="s">
        <v>229</v>
      </c>
      <c r="E9" s="587"/>
      <c r="F9" s="17">
        <v>12</v>
      </c>
      <c r="G9" s="7"/>
      <c r="H9" s="19" t="s">
        <v>740</v>
      </c>
      <c r="I9" s="7" t="s">
        <v>741</v>
      </c>
      <c r="J9" s="14"/>
      <c r="K9" s="594" t="s">
        <v>745</v>
      </c>
      <c r="L9" s="588"/>
    </row>
    <row r="10" spans="1:14" ht="16.8">
      <c r="A10" s="15">
        <v>8</v>
      </c>
      <c r="B10" s="587" t="s">
        <v>64</v>
      </c>
      <c r="C10" s="587"/>
      <c r="D10" s="587" t="s">
        <v>744</v>
      </c>
      <c r="E10" s="587"/>
      <c r="F10" s="17">
        <v>12</v>
      </c>
      <c r="G10" s="7"/>
      <c r="H10" s="19" t="s">
        <v>740</v>
      </c>
      <c r="I10" s="588" t="s">
        <v>746</v>
      </c>
      <c r="J10" s="588"/>
      <c r="K10" s="594" t="s">
        <v>747</v>
      </c>
      <c r="L10" s="588"/>
    </row>
    <row r="11" spans="1:14" ht="15">
      <c r="A11" s="15">
        <v>9</v>
      </c>
      <c r="B11" s="587" t="s">
        <v>64</v>
      </c>
      <c r="C11" s="587"/>
      <c r="D11" s="587" t="s">
        <v>445</v>
      </c>
      <c r="E11" s="587"/>
      <c r="F11" s="17">
        <v>12</v>
      </c>
      <c r="G11" s="7"/>
      <c r="H11" s="19" t="s">
        <v>740</v>
      </c>
      <c r="I11" s="588"/>
      <c r="J11" s="588"/>
      <c r="K11" s="589"/>
      <c r="L11" s="588"/>
    </row>
    <row r="12" spans="1:14" ht="15">
      <c r="A12" s="15">
        <v>10</v>
      </c>
      <c r="B12" s="587" t="s">
        <v>64</v>
      </c>
      <c r="C12" s="587"/>
      <c r="D12" s="587" t="s">
        <v>229</v>
      </c>
      <c r="E12" s="587"/>
      <c r="F12" s="17">
        <v>11</v>
      </c>
      <c r="G12" s="7"/>
      <c r="H12" s="19" t="s">
        <v>740</v>
      </c>
      <c r="I12" s="588"/>
      <c r="J12" s="588"/>
      <c r="K12" s="589"/>
      <c r="L12" s="588"/>
    </row>
    <row r="13" spans="1:14" ht="15">
      <c r="A13" s="15">
        <v>11</v>
      </c>
      <c r="B13" s="587" t="s">
        <v>64</v>
      </c>
      <c r="C13" s="587"/>
      <c r="D13" s="587" t="s">
        <v>744</v>
      </c>
      <c r="E13" s="587"/>
      <c r="F13" s="17">
        <v>11</v>
      </c>
      <c r="G13" s="7"/>
      <c r="H13" s="19" t="s">
        <v>740</v>
      </c>
      <c r="I13" s="588"/>
      <c r="J13" s="588"/>
      <c r="K13" s="589"/>
      <c r="L13" s="588"/>
    </row>
    <row r="14" spans="1:14" ht="15">
      <c r="A14" s="15">
        <v>12</v>
      </c>
      <c r="B14" s="587" t="s">
        <v>64</v>
      </c>
      <c r="C14" s="587"/>
      <c r="D14" s="587" t="s">
        <v>445</v>
      </c>
      <c r="E14" s="587"/>
      <c r="F14" s="17">
        <v>11</v>
      </c>
      <c r="G14" s="7"/>
      <c r="H14" s="19" t="s">
        <v>740</v>
      </c>
      <c r="I14" s="588"/>
      <c r="J14" s="588"/>
      <c r="K14" s="589"/>
      <c r="L14" s="588"/>
    </row>
    <row r="15" spans="1:14" ht="15">
      <c r="A15" s="15">
        <v>13</v>
      </c>
      <c r="B15" s="587" t="s">
        <v>64</v>
      </c>
      <c r="C15" s="587"/>
      <c r="D15" s="587" t="s">
        <v>744</v>
      </c>
      <c r="E15" s="587"/>
      <c r="F15" s="17">
        <v>10</v>
      </c>
      <c r="G15" s="7"/>
      <c r="H15" s="19" t="s">
        <v>740</v>
      </c>
      <c r="I15" s="588"/>
      <c r="J15" s="588"/>
      <c r="K15" s="589"/>
      <c r="L15" s="588"/>
    </row>
    <row r="16" spans="1:14" ht="15">
      <c r="A16" s="15">
        <v>14</v>
      </c>
      <c r="B16" s="587" t="s">
        <v>64</v>
      </c>
      <c r="C16" s="587"/>
      <c r="D16" s="587" t="s">
        <v>445</v>
      </c>
      <c r="E16" s="587"/>
      <c r="F16" s="17">
        <v>10</v>
      </c>
      <c r="G16" s="7"/>
      <c r="H16" s="19" t="s">
        <v>740</v>
      </c>
      <c r="I16" s="588"/>
      <c r="J16" s="588"/>
      <c r="K16" s="589"/>
      <c r="L16" s="588"/>
    </row>
    <row r="17" spans="1:12" ht="15">
      <c r="A17" s="15">
        <v>15</v>
      </c>
      <c r="B17" s="587" t="s">
        <v>64</v>
      </c>
      <c r="C17" s="587"/>
      <c r="D17" s="587" t="s">
        <v>445</v>
      </c>
      <c r="E17" s="587"/>
      <c r="F17" s="17">
        <v>9</v>
      </c>
      <c r="G17" s="7"/>
      <c r="H17" s="19" t="s">
        <v>740</v>
      </c>
      <c r="I17" s="588"/>
      <c r="J17" s="588"/>
      <c r="K17" s="589"/>
      <c r="L17" s="588"/>
    </row>
    <row r="18" spans="1:12" ht="15">
      <c r="A18" s="15">
        <v>16</v>
      </c>
      <c r="B18" s="587" t="s">
        <v>64</v>
      </c>
      <c r="C18" s="587"/>
      <c r="D18" s="587" t="s">
        <v>229</v>
      </c>
      <c r="E18" s="587"/>
      <c r="F18" s="17">
        <v>8</v>
      </c>
      <c r="G18" s="7"/>
      <c r="H18" s="19" t="s">
        <v>740</v>
      </c>
      <c r="I18" s="588"/>
      <c r="J18" s="588"/>
      <c r="K18" s="589"/>
      <c r="L18" s="588"/>
    </row>
    <row r="19" spans="1:12" ht="15">
      <c r="A19" s="15">
        <v>17</v>
      </c>
      <c r="B19" s="587" t="s">
        <v>64</v>
      </c>
      <c r="C19" s="587"/>
      <c r="D19" s="587" t="s">
        <v>744</v>
      </c>
      <c r="E19" s="587"/>
      <c r="F19" s="17">
        <v>8</v>
      </c>
      <c r="G19" s="7"/>
      <c r="H19" s="19" t="s">
        <v>740</v>
      </c>
      <c r="I19" s="588"/>
      <c r="J19" s="588"/>
      <c r="K19" s="589"/>
      <c r="L19" s="588"/>
    </row>
    <row r="20" spans="1:12" ht="15">
      <c r="A20" s="15">
        <v>18</v>
      </c>
      <c r="B20" s="587" t="s">
        <v>64</v>
      </c>
      <c r="C20" s="587"/>
      <c r="D20" s="587" t="s">
        <v>445</v>
      </c>
      <c r="E20" s="587"/>
      <c r="F20" s="17">
        <v>8</v>
      </c>
      <c r="G20" s="7"/>
      <c r="H20" s="19" t="s">
        <v>740</v>
      </c>
      <c r="I20" s="588"/>
      <c r="J20" s="588"/>
      <c r="K20" s="589"/>
      <c r="L20" s="588"/>
    </row>
    <row r="21" spans="1:12" ht="15">
      <c r="A21" s="15">
        <v>19</v>
      </c>
      <c r="B21" s="587" t="s">
        <v>64</v>
      </c>
      <c r="C21" s="587"/>
      <c r="D21" s="587" t="s">
        <v>229</v>
      </c>
      <c r="E21" s="587"/>
      <c r="F21" s="17">
        <v>7</v>
      </c>
      <c r="G21" s="7"/>
      <c r="H21" s="7"/>
      <c r="I21" s="588"/>
      <c r="J21" s="588"/>
      <c r="K21" s="589"/>
      <c r="L21" s="588"/>
    </row>
    <row r="22" spans="1:12" ht="15">
      <c r="A22" s="15">
        <v>20</v>
      </c>
      <c r="B22" s="587" t="s">
        <v>64</v>
      </c>
      <c r="C22" s="587"/>
      <c r="D22" s="587" t="s">
        <v>744</v>
      </c>
      <c r="E22" s="587"/>
      <c r="F22" s="17">
        <v>7</v>
      </c>
      <c r="G22" s="7"/>
      <c r="H22" s="7"/>
      <c r="I22" s="588"/>
      <c r="J22" s="588"/>
      <c r="K22" s="589"/>
      <c r="L22" s="588"/>
    </row>
    <row r="23" spans="1:12" ht="15">
      <c r="A23" s="15">
        <v>21</v>
      </c>
      <c r="B23" s="587" t="s">
        <v>64</v>
      </c>
      <c r="C23" s="587"/>
      <c r="D23" s="587" t="s">
        <v>445</v>
      </c>
      <c r="E23" s="587"/>
      <c r="F23" s="17">
        <v>7</v>
      </c>
      <c r="G23" s="7"/>
      <c r="H23" s="7"/>
      <c r="I23" s="588"/>
      <c r="J23" s="588"/>
      <c r="K23" s="589"/>
      <c r="L23" s="588"/>
    </row>
    <row r="24" spans="1:12" ht="15">
      <c r="A24" s="15">
        <v>22</v>
      </c>
      <c r="B24" s="587" t="s">
        <v>64</v>
      </c>
      <c r="C24" s="587"/>
      <c r="D24" s="587" t="s">
        <v>229</v>
      </c>
      <c r="E24" s="587"/>
      <c r="F24" s="17">
        <v>6</v>
      </c>
      <c r="G24" s="7"/>
      <c r="H24" s="7"/>
      <c r="I24" s="588"/>
      <c r="J24" s="588"/>
      <c r="K24" s="589"/>
      <c r="L24" s="588"/>
    </row>
    <row r="25" spans="1:12" ht="15">
      <c r="A25" s="15">
        <v>23</v>
      </c>
      <c r="B25" s="587" t="s">
        <v>64</v>
      </c>
      <c r="C25" s="587"/>
      <c r="D25" s="587" t="s">
        <v>744</v>
      </c>
      <c r="E25" s="587"/>
      <c r="F25" s="17">
        <v>6</v>
      </c>
      <c r="G25" s="7"/>
      <c r="H25" s="7"/>
      <c r="I25" s="588"/>
      <c r="J25" s="588"/>
      <c r="K25" s="589"/>
      <c r="L25" s="588"/>
    </row>
    <row r="26" spans="1:12" ht="15">
      <c r="A26" s="15">
        <v>24</v>
      </c>
      <c r="B26" s="587" t="s">
        <v>64</v>
      </c>
      <c r="C26" s="587"/>
      <c r="D26" s="587" t="s">
        <v>445</v>
      </c>
      <c r="E26" s="587"/>
      <c r="F26" s="17">
        <v>6</v>
      </c>
      <c r="G26" s="7"/>
      <c r="H26" s="7"/>
      <c r="I26" s="588"/>
      <c r="J26" s="588"/>
      <c r="K26" s="589"/>
      <c r="L26" s="588"/>
    </row>
    <row r="27" spans="1:12" ht="15">
      <c r="A27" s="15">
        <v>25</v>
      </c>
      <c r="B27" s="587" t="s">
        <v>64</v>
      </c>
      <c r="C27" s="587"/>
      <c r="D27" s="587" t="s">
        <v>748</v>
      </c>
      <c r="E27" s="587"/>
      <c r="F27" s="17">
        <v>5</v>
      </c>
      <c r="G27" s="7"/>
      <c r="H27" s="7"/>
      <c r="I27" s="588"/>
      <c r="J27" s="588"/>
      <c r="K27" s="589"/>
      <c r="L27" s="588"/>
    </row>
    <row r="28" spans="1:12" ht="15">
      <c r="A28" s="15">
        <v>26</v>
      </c>
      <c r="B28" s="587" t="s">
        <v>64</v>
      </c>
      <c r="C28" s="587"/>
      <c r="D28" s="587" t="s">
        <v>749</v>
      </c>
      <c r="E28" s="587"/>
      <c r="F28" s="17">
        <v>5</v>
      </c>
      <c r="G28" s="7"/>
      <c r="H28" s="7"/>
      <c r="I28" s="588"/>
      <c r="J28" s="588"/>
      <c r="K28" s="589"/>
      <c r="L28" s="588"/>
    </row>
    <row r="29" spans="1:12" ht="15">
      <c r="A29" s="15">
        <v>27</v>
      </c>
      <c r="B29" s="587" t="s">
        <v>64</v>
      </c>
      <c r="C29" s="587"/>
      <c r="D29" s="587" t="s">
        <v>750</v>
      </c>
      <c r="E29" s="587"/>
      <c r="F29" s="17">
        <v>5</v>
      </c>
      <c r="G29" s="7"/>
      <c r="H29" s="7"/>
      <c r="I29" s="588"/>
      <c r="J29" s="588"/>
      <c r="K29" s="589"/>
      <c r="L29" s="588"/>
    </row>
    <row r="30" spans="1:12" ht="15">
      <c r="A30" s="15">
        <v>28</v>
      </c>
      <c r="B30" s="587" t="s">
        <v>64</v>
      </c>
      <c r="C30" s="587"/>
      <c r="D30" s="587" t="s">
        <v>445</v>
      </c>
      <c r="E30" s="587"/>
      <c r="F30" s="17">
        <v>5</v>
      </c>
      <c r="G30" s="7"/>
      <c r="H30" s="7"/>
      <c r="I30" s="588"/>
      <c r="J30" s="588"/>
      <c r="K30" s="589"/>
      <c r="L30" s="588"/>
    </row>
    <row r="31" spans="1:12" ht="15">
      <c r="A31" s="15">
        <v>29</v>
      </c>
      <c r="B31" s="587" t="s">
        <v>64</v>
      </c>
      <c r="C31" s="587"/>
      <c r="D31" s="587" t="s">
        <v>751</v>
      </c>
      <c r="E31" s="587"/>
      <c r="F31" s="17">
        <v>2</v>
      </c>
      <c r="G31" s="7"/>
      <c r="H31" s="7"/>
      <c r="I31" s="588"/>
      <c r="J31" s="588"/>
      <c r="K31" s="589"/>
      <c r="L31" s="588"/>
    </row>
    <row r="32" spans="1:12" ht="15">
      <c r="A32" s="15">
        <v>30</v>
      </c>
      <c r="B32" s="587" t="s">
        <v>64</v>
      </c>
      <c r="C32" s="587"/>
      <c r="D32" s="587" t="s">
        <v>170</v>
      </c>
      <c r="E32" s="587"/>
      <c r="F32" s="17" t="s">
        <v>113</v>
      </c>
      <c r="G32" s="7"/>
      <c r="H32" s="7"/>
      <c r="I32" s="588"/>
      <c r="J32" s="588"/>
      <c r="K32" s="589"/>
      <c r="L32" s="588"/>
    </row>
    <row r="33" spans="1:12" ht="17.399999999999999">
      <c r="A33" s="590" t="s">
        <v>752</v>
      </c>
      <c r="B33" s="590"/>
      <c r="C33" s="590"/>
      <c r="D33" s="590"/>
      <c r="E33" s="590"/>
      <c r="F33" s="590"/>
      <c r="G33" s="591"/>
      <c r="H33" s="592"/>
      <c r="I33" s="7"/>
      <c r="J33" s="7"/>
      <c r="K33" s="20"/>
      <c r="L33" s="7"/>
    </row>
    <row r="34" spans="1:12" ht="21" customHeight="1">
      <c r="A34" s="590" t="s">
        <v>753</v>
      </c>
      <c r="B34" s="590"/>
      <c r="C34" s="590"/>
      <c r="D34" s="590"/>
      <c r="E34" s="590"/>
      <c r="F34" s="590"/>
      <c r="G34" s="590"/>
      <c r="H34" s="21"/>
      <c r="I34" s="22"/>
      <c r="J34" s="7"/>
      <c r="K34" s="589"/>
      <c r="L34" s="588"/>
    </row>
    <row r="35" spans="1:12" ht="18">
      <c r="A35" s="581" t="s">
        <v>754</v>
      </c>
      <c r="B35" s="582"/>
      <c r="C35" s="582"/>
      <c r="D35" s="583"/>
      <c r="E35" s="593" t="s">
        <v>738</v>
      </c>
      <c r="F35" s="593"/>
      <c r="G35" s="593"/>
      <c r="H35" s="23"/>
      <c r="I35" s="21"/>
      <c r="J35" s="7"/>
      <c r="K35" s="20"/>
      <c r="L35" s="7"/>
    </row>
    <row r="36" spans="1:12" ht="18">
      <c r="A36" s="584"/>
      <c r="B36" s="585"/>
      <c r="C36" s="585"/>
      <c r="D36" s="586"/>
      <c r="E36" s="580" t="s">
        <v>739</v>
      </c>
      <c r="F36" s="580"/>
      <c r="G36" s="580"/>
      <c r="H36" s="23"/>
      <c r="I36" s="23"/>
      <c r="J36" s="7"/>
      <c r="K36" s="20"/>
      <c r="L36" s="7"/>
    </row>
  </sheetData>
  <mergeCells count="130">
    <mergeCell ref="A1:N1"/>
    <mergeCell ref="B2:C2"/>
    <mergeCell ref="D2:E2"/>
    <mergeCell ref="I2:J2"/>
    <mergeCell ref="K2:L2"/>
    <mergeCell ref="B3:C3"/>
    <mergeCell ref="D3:E3"/>
    <mergeCell ref="K3:L3"/>
    <mergeCell ref="B4:C4"/>
    <mergeCell ref="D4:E4"/>
    <mergeCell ref="I4:J4"/>
    <mergeCell ref="K4:L4"/>
    <mergeCell ref="B5:C5"/>
    <mergeCell ref="D5:E5"/>
    <mergeCell ref="I5:J5"/>
    <mergeCell ref="K5:L5"/>
    <mergeCell ref="B6:C6"/>
    <mergeCell ref="D6:E6"/>
    <mergeCell ref="I6:J6"/>
    <mergeCell ref="K6:L6"/>
    <mergeCell ref="B7:C7"/>
    <mergeCell ref="D7:E7"/>
    <mergeCell ref="I7:J7"/>
    <mergeCell ref="K7:L7"/>
    <mergeCell ref="B8:C8"/>
    <mergeCell ref="D8:E8"/>
    <mergeCell ref="I8:J8"/>
    <mergeCell ref="K8:L8"/>
    <mergeCell ref="B9:C9"/>
    <mergeCell ref="D9:E9"/>
    <mergeCell ref="K9:L9"/>
    <mergeCell ref="B10:C10"/>
    <mergeCell ref="D10:E10"/>
    <mergeCell ref="I10:J10"/>
    <mergeCell ref="K10:L10"/>
    <mergeCell ref="B11:C11"/>
    <mergeCell ref="D11:E11"/>
    <mergeCell ref="I11:J11"/>
    <mergeCell ref="K11:L11"/>
    <mergeCell ref="B12:C12"/>
    <mergeCell ref="D12:E12"/>
    <mergeCell ref="I12:J12"/>
    <mergeCell ref="K12:L12"/>
    <mergeCell ref="B13:C13"/>
    <mergeCell ref="D13:E13"/>
    <mergeCell ref="I13:J13"/>
    <mergeCell ref="K13:L13"/>
    <mergeCell ref="B14:C14"/>
    <mergeCell ref="D14:E14"/>
    <mergeCell ref="I14:J14"/>
    <mergeCell ref="K14:L14"/>
    <mergeCell ref="B15:C15"/>
    <mergeCell ref="D15:E15"/>
    <mergeCell ref="I15:J15"/>
    <mergeCell ref="K15:L15"/>
    <mergeCell ref="B16:C16"/>
    <mergeCell ref="D16:E16"/>
    <mergeCell ref="I16:J16"/>
    <mergeCell ref="K16:L16"/>
    <mergeCell ref="B17:C17"/>
    <mergeCell ref="D17:E17"/>
    <mergeCell ref="I17:J17"/>
    <mergeCell ref="K17:L17"/>
    <mergeCell ref="B18:C18"/>
    <mergeCell ref="D18:E18"/>
    <mergeCell ref="I18:J18"/>
    <mergeCell ref="K18:L18"/>
    <mergeCell ref="B19:C19"/>
    <mergeCell ref="D19:E19"/>
    <mergeCell ref="I19:J19"/>
    <mergeCell ref="K19:L19"/>
    <mergeCell ref="B20:C20"/>
    <mergeCell ref="D20:E20"/>
    <mergeCell ref="I20:J20"/>
    <mergeCell ref="K20:L20"/>
    <mergeCell ref="B21:C21"/>
    <mergeCell ref="D21:E21"/>
    <mergeCell ref="I21:J21"/>
    <mergeCell ref="K21:L21"/>
    <mergeCell ref="B22:C22"/>
    <mergeCell ref="D22:E22"/>
    <mergeCell ref="I22:J22"/>
    <mergeCell ref="K22:L22"/>
    <mergeCell ref="B23:C23"/>
    <mergeCell ref="D23:E23"/>
    <mergeCell ref="I23:J23"/>
    <mergeCell ref="K23:L23"/>
    <mergeCell ref="B24:C24"/>
    <mergeCell ref="D24:E24"/>
    <mergeCell ref="I24:J24"/>
    <mergeCell ref="K24:L24"/>
    <mergeCell ref="B25:C25"/>
    <mergeCell ref="D25:E25"/>
    <mergeCell ref="I25:J25"/>
    <mergeCell ref="K25:L25"/>
    <mergeCell ref="B26:C26"/>
    <mergeCell ref="D26:E26"/>
    <mergeCell ref="I26:J26"/>
    <mergeCell ref="K26:L26"/>
    <mergeCell ref="B27:C27"/>
    <mergeCell ref="D27:E27"/>
    <mergeCell ref="I27:J27"/>
    <mergeCell ref="K27:L27"/>
    <mergeCell ref="B28:C28"/>
    <mergeCell ref="D28:E28"/>
    <mergeCell ref="I28:J28"/>
    <mergeCell ref="K28:L28"/>
    <mergeCell ref="B29:C29"/>
    <mergeCell ref="D29:E29"/>
    <mergeCell ref="I29:J29"/>
    <mergeCell ref="K29:L29"/>
    <mergeCell ref="B30:C30"/>
    <mergeCell ref="D30:E30"/>
    <mergeCell ref="I30:J30"/>
    <mergeCell ref="K30:L30"/>
    <mergeCell ref="B31:C31"/>
    <mergeCell ref="D31:E31"/>
    <mergeCell ref="I31:J31"/>
    <mergeCell ref="K31:L31"/>
    <mergeCell ref="E36:G36"/>
    <mergeCell ref="A35:D36"/>
    <mergeCell ref="B32:C32"/>
    <mergeCell ref="D32:E32"/>
    <mergeCell ref="I32:J32"/>
    <mergeCell ref="K32:L32"/>
    <mergeCell ref="A33:F33"/>
    <mergeCell ref="G33:H33"/>
    <mergeCell ref="A34:G34"/>
    <mergeCell ref="K34:L34"/>
    <mergeCell ref="E35:G35"/>
  </mergeCells>
  <pageMargins left="0.7" right="0.7" top="0.75" bottom="0.75" header="0.3" footer="0.3"/>
  <pageSetup paperSize="9" scale="7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theme="7" tint="0.59999389629810485"/>
  </sheetPr>
  <dimension ref="B2:H37"/>
  <sheetViews>
    <sheetView view="pageBreakPreview" zoomScaleNormal="85" workbookViewId="0">
      <selection activeCell="H47" sqref="H47"/>
    </sheetView>
  </sheetViews>
  <sheetFormatPr defaultColWidth="9" defaultRowHeight="14.4"/>
  <cols>
    <col min="2" max="2" width="36.33203125" customWidth="1"/>
    <col min="3" max="3" width="34.5546875" customWidth="1"/>
    <col min="4" max="4" width="17.77734375" customWidth="1"/>
    <col min="5" max="5" width="13.44140625" customWidth="1"/>
    <col min="6" max="6" width="12.5546875" customWidth="1"/>
    <col min="7" max="7" width="11.44140625" customWidth="1"/>
    <col min="8" max="8" width="13.6640625" customWidth="1"/>
  </cols>
  <sheetData>
    <row r="2" spans="2:6" ht="33" customHeight="1">
      <c r="B2" s="599" t="s">
        <v>755</v>
      </c>
      <c r="C2" s="599"/>
    </row>
    <row r="3" spans="2:6" ht="27" customHeight="1">
      <c r="B3" s="1" t="s">
        <v>24</v>
      </c>
      <c r="C3" s="2"/>
    </row>
    <row r="4" spans="2:6" ht="22.2" customHeight="1">
      <c r="B4" s="1" t="s">
        <v>756</v>
      </c>
      <c r="C4" s="1"/>
    </row>
    <row r="5" spans="2:6" ht="24.6" customHeight="1">
      <c r="B5" s="1" t="s">
        <v>757</v>
      </c>
      <c r="C5" s="1"/>
    </row>
    <row r="6" spans="2:6" ht="22.8" customHeight="1">
      <c r="B6" s="1" t="s">
        <v>758</v>
      </c>
      <c r="C6" s="1"/>
    </row>
    <row r="7" spans="2:6" ht="24.6" customHeight="1">
      <c r="B7" s="1" t="s">
        <v>759</v>
      </c>
      <c r="C7" s="1"/>
    </row>
    <row r="13" spans="2:6">
      <c r="B13" s="2">
        <v>244456</v>
      </c>
      <c r="C13" s="1" t="s">
        <v>760</v>
      </c>
      <c r="D13" s="1">
        <v>1</v>
      </c>
      <c r="E13" s="1" t="s">
        <v>761</v>
      </c>
      <c r="F13" s="1" t="s">
        <v>522</v>
      </c>
    </row>
    <row r="23" spans="2:8">
      <c r="B23" s="3" t="s">
        <v>92</v>
      </c>
      <c r="C23" s="4" t="s">
        <v>756</v>
      </c>
      <c r="D23" s="4" t="s">
        <v>762</v>
      </c>
      <c r="E23" s="4" t="s">
        <v>763</v>
      </c>
      <c r="F23" s="5" t="s">
        <v>764</v>
      </c>
      <c r="G23" s="4" t="s">
        <v>40</v>
      </c>
      <c r="H23" t="s">
        <v>730</v>
      </c>
    </row>
    <row r="24" spans="2:8">
      <c r="B24" s="6">
        <v>1</v>
      </c>
      <c r="C24" s="7" t="s">
        <v>765</v>
      </c>
      <c r="D24" s="7"/>
      <c r="E24" s="7"/>
      <c r="F24" s="8">
        <v>4</v>
      </c>
      <c r="G24" s="4">
        <f>Table1[[#This Row],[รายการรับ]]+Table1[[#This Row],[Stock]]</f>
        <v>4</v>
      </c>
    </row>
    <row r="25" spans="2:8">
      <c r="B25" s="6">
        <v>3</v>
      </c>
      <c r="C25" s="7" t="s">
        <v>766</v>
      </c>
      <c r="D25" s="7"/>
      <c r="E25" s="7"/>
      <c r="F25" s="8">
        <v>4</v>
      </c>
      <c r="G25" s="7">
        <f>Table1[[#This Row],[รายการรับ]]+Table1[[#This Row],[Stock]]</f>
        <v>4</v>
      </c>
    </row>
    <row r="26" spans="2:8">
      <c r="B26" s="6">
        <v>5</v>
      </c>
      <c r="C26" s="7" t="s">
        <v>767</v>
      </c>
      <c r="D26" s="7"/>
      <c r="E26" s="7"/>
      <c r="F26" s="8">
        <v>4</v>
      </c>
      <c r="G26" s="7">
        <f>Table1[[#This Row],[รายการรับ]]+Table1[[#This Row],[Stock]]</f>
        <v>4</v>
      </c>
    </row>
    <row r="27" spans="2:8">
      <c r="B27" s="6">
        <v>7</v>
      </c>
      <c r="C27" s="7" t="s">
        <v>768</v>
      </c>
      <c r="D27" s="7"/>
      <c r="E27" s="7"/>
      <c r="F27" s="8">
        <v>6</v>
      </c>
      <c r="G27" s="7">
        <f>Table1[[#This Row],[รายการรับ]]+Table1[[#This Row],[Stock]]</f>
        <v>6</v>
      </c>
    </row>
    <row r="28" spans="2:8">
      <c r="B28" s="6">
        <v>9</v>
      </c>
      <c r="C28" s="7" t="s">
        <v>769</v>
      </c>
      <c r="D28" s="7"/>
      <c r="E28" s="7"/>
      <c r="F28" s="8">
        <v>1</v>
      </c>
      <c r="G28" s="7">
        <f>Table1[[#This Row],[รายการรับ]]+Table1[[#This Row],[Stock]]</f>
        <v>1</v>
      </c>
    </row>
    <row r="29" spans="2:8">
      <c r="B29" s="6">
        <v>11</v>
      </c>
      <c r="C29" s="7" t="s">
        <v>770</v>
      </c>
      <c r="D29" s="7"/>
      <c r="E29" s="7"/>
      <c r="F29" s="8">
        <v>8</v>
      </c>
      <c r="G29" s="7">
        <f>Table1[[#This Row],[รายการรับ]]+Table1[[#This Row],[Stock]]</f>
        <v>8</v>
      </c>
    </row>
    <row r="30" spans="2:8">
      <c r="B30" s="6">
        <v>13</v>
      </c>
      <c r="C30" s="7" t="s">
        <v>771</v>
      </c>
      <c r="D30" s="7"/>
      <c r="E30" s="7"/>
      <c r="F30" s="8">
        <v>9</v>
      </c>
      <c r="G30" s="7">
        <f>Table1[[#This Row],[รายการรับ]]+Table1[[#This Row],[Stock]]</f>
        <v>9</v>
      </c>
    </row>
    <row r="31" spans="2:8">
      <c r="B31" s="6">
        <v>15</v>
      </c>
      <c r="C31" s="7" t="s">
        <v>772</v>
      </c>
      <c r="D31" s="7"/>
      <c r="E31" s="7"/>
      <c r="F31" s="8">
        <v>2</v>
      </c>
      <c r="G31" s="7">
        <v>2</v>
      </c>
    </row>
    <row r="32" spans="2:8">
      <c r="B32" s="6">
        <v>17</v>
      </c>
      <c r="C32" s="7" t="s">
        <v>773</v>
      </c>
      <c r="D32" s="7"/>
      <c r="E32" s="7"/>
      <c r="F32" s="8">
        <v>4</v>
      </c>
      <c r="G32" s="7">
        <f>Table1[[#This Row],[รายการรับ]]+Table1[[#This Row],[Stock]]</f>
        <v>4</v>
      </c>
    </row>
    <row r="33" spans="2:8">
      <c r="B33" s="6">
        <v>19</v>
      </c>
      <c r="C33" s="7" t="s">
        <v>774</v>
      </c>
      <c r="D33" s="7"/>
      <c r="E33" s="7"/>
      <c r="F33" s="8">
        <v>4</v>
      </c>
      <c r="G33" s="7">
        <f>Table1[[#This Row],[รายการรับ]]+Table1[[#This Row],[Stock]]</f>
        <v>4</v>
      </c>
    </row>
    <row r="34" spans="2:8">
      <c r="B34" s="6">
        <v>21</v>
      </c>
      <c r="C34" s="7" t="s">
        <v>760</v>
      </c>
      <c r="D34" s="7"/>
      <c r="E34" s="7"/>
      <c r="F34" s="8">
        <v>10</v>
      </c>
      <c r="G34" s="7">
        <f>Table1[[#This Row],[รายการรับ]]+Table1[[#This Row],[Stock]]</f>
        <v>10</v>
      </c>
    </row>
    <row r="35" spans="2:8">
      <c r="B35" s="6">
        <v>23</v>
      </c>
      <c r="C35" s="7" t="s">
        <v>775</v>
      </c>
      <c r="D35" s="7"/>
      <c r="E35" s="7"/>
      <c r="F35" s="8">
        <v>14</v>
      </c>
      <c r="G35" s="7">
        <f>Table1[[#This Row],[รายการรับ]]+Table1[[#This Row],[Stock]]</f>
        <v>14</v>
      </c>
    </row>
    <row r="36" spans="2:8">
      <c r="B36" s="6">
        <v>25</v>
      </c>
      <c r="C36" s="9" t="s">
        <v>776</v>
      </c>
      <c r="D36" s="9"/>
      <c r="E36" s="9"/>
      <c r="F36" s="10">
        <v>13</v>
      </c>
      <c r="G36" s="9">
        <f>Table1[[#This Row],[รายการรับ]]+Table1[[#This Row],[Stock]]</f>
        <v>13</v>
      </c>
    </row>
    <row r="37" spans="2:8">
      <c r="B37" s="11">
        <v>26</v>
      </c>
      <c r="C37" s="9" t="s">
        <v>777</v>
      </c>
      <c r="D37" s="9"/>
      <c r="E37" s="9"/>
      <c r="F37" s="10">
        <v>2</v>
      </c>
      <c r="G37" s="9">
        <f>Table1[[#This Row],[รายการรับ]]+Table1[[#This Row],[Stock]]</f>
        <v>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0" r:id="rId4" name="Button 30">
              <controlPr defaultSize="0" print="0" autoPict="0" macro="[0]!increasee">
                <anchor moveWithCells="1" sizeWithCells="1">
                  <from>
                    <xdr:col>3</xdr:col>
                    <xdr:colOff>441960</xdr:colOff>
                    <xdr:row>2</xdr:row>
                    <xdr:rowOff>83820</xdr:rowOff>
                  </from>
                  <to>
                    <xdr:col>4</xdr:col>
                    <xdr:colOff>876300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68C0E2-3614-4780-910F-445A20163F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📈ตัวอย่างตารางงาน</vt:lpstr>
      <vt:lpstr>💻Update งานซ่อม (ทดลอง)</vt:lpstr>
      <vt:lpstr>📊วิเคราะห์งานรายเดือน</vt:lpstr>
      <vt:lpstr>🔧รายการงานซ่อมทั้งหมด</vt:lpstr>
      <vt:lpstr>คลังงานซ่อม</vt:lpstr>
      <vt:lpstr>🛠️งานซ่อมตามแผน</vt:lpstr>
      <vt:lpstr>Sheet1</vt:lpstr>
      <vt:lpstr>📈กราฟรวมงานซ่อม</vt:lpstr>
      <vt:lpstr>📆สรุปรายปี2569</vt:lpstr>
      <vt:lpstr>🧑🏽‍คำแนะนำจากพี่ฟลุค_พี่กอร์ฟ</vt:lpstr>
      <vt:lpstr>📊DashBoard</vt:lpstr>
      <vt:lpstr>💻Update งานซ่อม (เมษายน)</vt:lpstr>
      <vt:lpstr>📃สรุปงานทั้งหมด</vt:lpstr>
      <vt:lpstr>➕แจ้งซ่อมเพิ่มเติม</vt:lpstr>
      <vt:lpstr>✅เช็คตำแหน่งน้ำรั่ว</vt:lpstr>
      <vt:lpstr>✅เช็คม่าน</vt:lpstr>
      <vt:lpstr>📦Stock</vt:lpstr>
      <vt:lpstr>'💻Update งานซ่อม (เมษายน)'!Print_Area</vt:lpstr>
      <vt:lpstr>'💻Update งานซ่อม (ทดลอง)'!Print_Area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นนทวัฒน์ ทองเอี่ยม</dc:creator>
  <cp:lastModifiedBy>YOUR BRO!!!!!</cp:lastModifiedBy>
  <cp:lastPrinted>2026-07-13T07:00:47Z</cp:lastPrinted>
  <dcterms:created xsi:type="dcterms:W3CDTF">2026-03-26T05:38:00Z</dcterms:created>
  <dcterms:modified xsi:type="dcterms:W3CDTF">2026-07-18T07:23:12Z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1920E67F9EC94332AA91F77D4D41CED7_12</vt:lpwstr>
  </property>
  <property fmtid="{D5CDD505-2E9C-101B-9397-08002B2CF9AE}" pid="3" name="KSOProductBuildVer">
    <vt:lpwstr>1054-12.1.0.26880</vt:lpwstr>
  </property>
  <property fmtid="{D5CDD505-2E9C-101B-9397-08002B2CF9AE}" pid="4" name="CalculationRule">
    <vt:i4>0</vt:i4>
  </property>
</Properties>
</file>