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singaporelife-my.sharepoint.com/personal/cristtin_teow_singlife_com/Documents/Desktop/PIAS Product Comparisons (as of 07 March 2025)/"/>
    </mc:Choice>
  </mc:AlternateContent>
  <xr:revisionPtr revIDLastSave="24" documentId="8_{8BEE334E-6D18-4EB2-9400-266E9AAD0798}" xr6:coauthVersionLast="47" xr6:coauthVersionMax="47" xr10:uidLastSave="{9BE7098A-E9AB-46C3-8B6B-E67C0B4A25F9}"/>
  <bookViews>
    <workbookView xWindow="28690" yWindow="-110" windowWidth="29020" windowHeight="15700" activeTab="1" xr2:uid="{3873E32B-CC28-4AD9-816C-5DB55D6C6146}"/>
  </bookViews>
  <sheets>
    <sheet name="Cover Page" sheetId="23" r:id="rId1"/>
    <sheet name="Overview &amp; Important Notes" sheetId="22" r:id="rId2"/>
    <sheet name="Feature_summary (old)" sheetId="3" state="hidden" r:id="rId3"/>
    <sheet name="Age_1_Overview" sheetId="2" r:id="rId4"/>
    <sheet name="Age_30_Overview" sheetId="13" r:id="rId5"/>
    <sheet name="Summary" sheetId="15" r:id="rId6"/>
    <sheet name="Non-Provider Plans" sheetId="14" r:id="rId7"/>
    <sheet name="Features (old)" sheetId="1" state="hidden" r:id="rId8"/>
    <sheet name="Features" sheetId="16" r:id="rId9"/>
    <sheet name="Value Comparison" sheetId="24" r:id="rId10"/>
    <sheet name="1MNS (Exp. Age &lt;= 75)" sheetId="18" r:id="rId11"/>
    <sheet name="1MNS (Exp. Age &lt;= 75) (old)" sheetId="5" state="hidden" r:id="rId12"/>
    <sheet name="1FNS (Exp. Age &lt;= 75)" sheetId="6" r:id="rId13"/>
    <sheet name="1MNS (Exp. Age &gt;= 80)" sheetId="7" r:id="rId14"/>
    <sheet name="1FNS (Exp. Age &gt;= 80)" sheetId="8" r:id="rId15"/>
    <sheet name="30MNS (Exp. Age &lt;= 75)" sheetId="9" r:id="rId16"/>
    <sheet name="30FNS (Exp. Age &lt;= 75)" sheetId="10" r:id="rId17"/>
    <sheet name="30MNS (Exp. Age &gt;= 80) (2)" sheetId="20" state="hidden" r:id="rId18"/>
    <sheet name="30MNS (Exp. Age &gt;= 80)" sheetId="11" r:id="rId19"/>
    <sheet name="30FNS (Exp. Age &gt;= 80)" sheetId="12" r:id="rId20"/>
    <sheet name="Sheet6" sheetId="4" state="hidden" r:id="rId21"/>
  </sheets>
  <externalReferences>
    <externalReference r:id="rId22"/>
  </externalReferences>
  <definedNames>
    <definedName name="_xlnm._FilterDatabase" localSheetId="8" hidden="1">Features!$A$2:$I$54</definedName>
    <definedName name="_xlnm._FilterDatabase" localSheetId="7" hidden="1">'Features (old)'!$B$2:$J$52</definedName>
    <definedName name="_xlnm._FilterDatabase" localSheetId="5" hidden="1">Summary!$B$2:$E$10</definedName>
    <definedName name="db_375_60_1015">'[1]D.B. Ratio (MNS)'!$A$41:$I$46</definedName>
    <definedName name="db_375_60_2025">'[1]D.B. Ratio (MNS)'!$A$95:$K$100</definedName>
    <definedName name="db_525_60_1015">'[1]D.B. Ratio (MNS)'!$A$52:$I$57</definedName>
    <definedName name="db_525_60_2025">'[1]D.B. Ratio (MNS)'!$A$106:$K$111</definedName>
    <definedName name="db_gteed_60_1015">'[1]D.B. Ratio (MNS)'!$A$31:$I$36</definedName>
    <definedName name="db_gteed_60_2025">'[1]D.B. Ratio (MNS)'!$A$84:$K$89</definedName>
    <definedName name="dbinception_table_1015">'[1]D.B. Ratio (MNS)'!$A$20:$I$25</definedName>
    <definedName name="dbinception_table_2025">'[1]D.B. Ratio (MNS)'!$A$73:$K$78</definedName>
    <definedName name="fem_525_60_1015">'[1]D.B. Ratio (FNS)'!$A$53:$I$58</definedName>
    <definedName name="fem_db_375_60_1015">'[1]D.B. Ratio (FNS)'!$A$42:$I$47</definedName>
    <definedName name="fem_db_375_60_2025">'[1]D.B. Ratio (FNS)'!$A$97:$K$102</definedName>
    <definedName name="fem_db_525_60_2025">'[1]D.B. Ratio (FNS)'!$A$108:$K$113</definedName>
    <definedName name="fem_db_gteed_60_2025">'[1]D.B. Ratio (FNS)'!$A$86:$K$91</definedName>
    <definedName name="fem_dbgteed_60_1015">'[1]D.B. Ratio (FNS)'!$A$31:$I$36</definedName>
    <definedName name="Fem_dbinception_table_1015">'[1]D.B. Ratio (FNS)'!$A$20:$I$25</definedName>
    <definedName name="fem_dbinception_table_2025">'[1]D.B. Ratio (FNS)'!$A$75:$K$80</definedName>
    <definedName name="_xlnm.Print_Area" localSheetId="0">'Cover Page'!$A$1:$J$50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2" l="1"/>
  <c r="M51" i="12"/>
  <c r="C12" i="20" l="1"/>
  <c r="C13" i="20"/>
  <c r="C29" i="20" s="1"/>
  <c r="C14" i="20"/>
  <c r="C15" i="20"/>
  <c r="C16" i="20"/>
  <c r="C21" i="20"/>
  <c r="C22" i="20"/>
  <c r="C23" i="20"/>
  <c r="C30" i="20"/>
  <c r="C32" i="20"/>
  <c r="C38" i="20"/>
  <c r="C41" i="20"/>
  <c r="C48" i="20"/>
  <c r="I23" i="20"/>
  <c r="I22" i="20"/>
  <c r="I21" i="20"/>
  <c r="I15" i="20"/>
  <c r="I14" i="20"/>
  <c r="I13" i="20"/>
  <c r="I48" i="20" s="1"/>
  <c r="I12" i="20"/>
  <c r="I16" i="20" s="1"/>
  <c r="D33" i="22"/>
  <c r="E33" i="22"/>
  <c r="F33" i="22"/>
  <c r="G33" i="22"/>
  <c r="H33" i="22"/>
  <c r="I33" i="22"/>
  <c r="J33" i="22"/>
  <c r="C33" i="22"/>
  <c r="D32" i="22"/>
  <c r="E32" i="22"/>
  <c r="F32" i="22"/>
  <c r="G32" i="22"/>
  <c r="H32" i="22"/>
  <c r="I32" i="22"/>
  <c r="J32" i="22"/>
  <c r="C32" i="22"/>
  <c r="D31" i="22"/>
  <c r="E31" i="22"/>
  <c r="F31" i="22"/>
  <c r="G31" i="22"/>
  <c r="H31" i="22"/>
  <c r="I31" i="22"/>
  <c r="J31" i="22"/>
  <c r="C31" i="22"/>
  <c r="D30" i="22"/>
  <c r="E30" i="22"/>
  <c r="F30" i="22"/>
  <c r="G30" i="22"/>
  <c r="H30" i="22"/>
  <c r="I30" i="22"/>
  <c r="J30" i="22"/>
  <c r="C30" i="22"/>
  <c r="D29" i="22"/>
  <c r="E29" i="22"/>
  <c r="F29" i="22"/>
  <c r="G29" i="22"/>
  <c r="H29" i="22"/>
  <c r="I29" i="22"/>
  <c r="J29" i="22"/>
  <c r="C29" i="22"/>
  <c r="A33" i="22"/>
  <c r="A32" i="22"/>
  <c r="A31" i="22"/>
  <c r="A30" i="22"/>
  <c r="A29" i="22"/>
  <c r="D28" i="22"/>
  <c r="E28" i="22"/>
  <c r="F28" i="22"/>
  <c r="G28" i="22"/>
  <c r="H28" i="22"/>
  <c r="I28" i="22"/>
  <c r="J28" i="22"/>
  <c r="C28" i="22"/>
  <c r="D27" i="22"/>
  <c r="E27" i="22"/>
  <c r="F27" i="22"/>
  <c r="G27" i="22"/>
  <c r="H27" i="22"/>
  <c r="I27" i="22"/>
  <c r="J27" i="22"/>
  <c r="C27" i="22"/>
  <c r="A28" i="22"/>
  <c r="A27" i="22"/>
  <c r="D26" i="22"/>
  <c r="E26" i="22"/>
  <c r="F26" i="22"/>
  <c r="J26" i="22"/>
  <c r="A26" i="22"/>
  <c r="D25" i="22"/>
  <c r="E25" i="22"/>
  <c r="F25" i="22"/>
  <c r="G25" i="22"/>
  <c r="H25" i="22"/>
  <c r="I25" i="22"/>
  <c r="J25" i="22"/>
  <c r="C25" i="22"/>
  <c r="A25" i="22"/>
  <c r="D22" i="22"/>
  <c r="E22" i="22"/>
  <c r="F22" i="22"/>
  <c r="G22" i="22"/>
  <c r="H22" i="22"/>
  <c r="I22" i="22"/>
  <c r="J22" i="22"/>
  <c r="C22" i="22"/>
  <c r="D21" i="22"/>
  <c r="E21" i="22"/>
  <c r="F21" i="22"/>
  <c r="G21" i="22"/>
  <c r="H21" i="22"/>
  <c r="I21" i="22"/>
  <c r="J21" i="22"/>
  <c r="C21" i="22"/>
  <c r="D20" i="22"/>
  <c r="E20" i="22"/>
  <c r="F20" i="22"/>
  <c r="G20" i="22"/>
  <c r="H20" i="22"/>
  <c r="I20" i="22"/>
  <c r="J20" i="22"/>
  <c r="C20" i="22"/>
  <c r="D19" i="22"/>
  <c r="E19" i="22"/>
  <c r="F19" i="22"/>
  <c r="G19" i="22"/>
  <c r="H19" i="22"/>
  <c r="I19" i="22"/>
  <c r="J19" i="22"/>
  <c r="C19" i="22"/>
  <c r="D24" i="22"/>
  <c r="E24" i="22"/>
  <c r="F24" i="22"/>
  <c r="G24" i="22"/>
  <c r="H24" i="22"/>
  <c r="I24" i="22"/>
  <c r="J24" i="22"/>
  <c r="C24" i="22"/>
  <c r="D23" i="22"/>
  <c r="E23" i="22"/>
  <c r="F23" i="22"/>
  <c r="G23" i="22"/>
  <c r="H23" i="22"/>
  <c r="I23" i="22"/>
  <c r="J23" i="22"/>
  <c r="C23" i="22"/>
  <c r="D18" i="22"/>
  <c r="E18" i="22"/>
  <c r="F18" i="22"/>
  <c r="G18" i="22"/>
  <c r="H18" i="22"/>
  <c r="I18" i="22"/>
  <c r="J18" i="22"/>
  <c r="C18" i="22"/>
  <c r="D17" i="22"/>
  <c r="E17" i="22"/>
  <c r="F17" i="22"/>
  <c r="G17" i="22"/>
  <c r="H17" i="22"/>
  <c r="I17" i="22"/>
  <c r="J17" i="22"/>
  <c r="C17" i="22"/>
  <c r="D16" i="22"/>
  <c r="E16" i="22"/>
  <c r="F16" i="22"/>
  <c r="G16" i="22"/>
  <c r="H16" i="22"/>
  <c r="I16" i="22"/>
  <c r="J16" i="22"/>
  <c r="C16" i="22"/>
  <c r="D15" i="22"/>
  <c r="E15" i="22"/>
  <c r="F15" i="22"/>
  <c r="G15" i="22"/>
  <c r="H15" i="22"/>
  <c r="I15" i="22"/>
  <c r="J15" i="22"/>
  <c r="C15" i="22"/>
  <c r="D14" i="22"/>
  <c r="E14" i="22"/>
  <c r="F14" i="22"/>
  <c r="G14" i="22"/>
  <c r="H14" i="22"/>
  <c r="I14" i="22"/>
  <c r="J14" i="22"/>
  <c r="C14" i="22"/>
  <c r="J13" i="22"/>
  <c r="I13" i="22"/>
  <c r="H13" i="22"/>
  <c r="G13" i="22"/>
  <c r="F13" i="22"/>
  <c r="E13" i="22"/>
  <c r="D13" i="22"/>
  <c r="C13" i="22"/>
  <c r="D12" i="22"/>
  <c r="E12" i="22"/>
  <c r="F12" i="22"/>
  <c r="G12" i="22"/>
  <c r="H12" i="22"/>
  <c r="I12" i="22"/>
  <c r="J12" i="22"/>
  <c r="C12" i="22"/>
  <c r="D11" i="22"/>
  <c r="E11" i="22"/>
  <c r="F11" i="22"/>
  <c r="G11" i="22"/>
  <c r="H11" i="22"/>
  <c r="I11" i="22"/>
  <c r="J11" i="22"/>
  <c r="C11" i="22"/>
  <c r="J34" i="22"/>
  <c r="I34" i="22"/>
  <c r="H34" i="22"/>
  <c r="G34" i="22"/>
  <c r="F34" i="22"/>
  <c r="E34" i="22"/>
  <c r="D34" i="22"/>
  <c r="C34" i="22"/>
  <c r="A34" i="22"/>
  <c r="A24" i="22"/>
  <c r="A23" i="22"/>
  <c r="A22" i="22"/>
  <c r="A21" i="22"/>
  <c r="A19" i="22"/>
  <c r="A20" i="22"/>
  <c r="A18" i="22"/>
  <c r="A17" i="22"/>
  <c r="A16" i="22"/>
  <c r="A15" i="22"/>
  <c r="A13" i="22"/>
  <c r="A12" i="22"/>
  <c r="A11" i="22"/>
  <c r="D10" i="22"/>
  <c r="E10" i="22"/>
  <c r="F10" i="22"/>
  <c r="G10" i="22"/>
  <c r="H10" i="22"/>
  <c r="I10" i="22"/>
  <c r="J10" i="22"/>
  <c r="D9" i="22"/>
  <c r="E9" i="22"/>
  <c r="F9" i="22"/>
  <c r="G9" i="22"/>
  <c r="H9" i="22"/>
  <c r="I9" i="22"/>
  <c r="J9" i="22"/>
  <c r="D7" i="22"/>
  <c r="E7" i="22"/>
  <c r="F7" i="22"/>
  <c r="G7" i="22"/>
  <c r="H7" i="22"/>
  <c r="I7" i="22"/>
  <c r="J7" i="22"/>
  <c r="D8" i="22"/>
  <c r="E8" i="22"/>
  <c r="F8" i="22"/>
  <c r="G8" i="22"/>
  <c r="H8" i="22"/>
  <c r="I8" i="22"/>
  <c r="J8" i="22"/>
  <c r="D5" i="22"/>
  <c r="E5" i="22"/>
  <c r="F5" i="22"/>
  <c r="G5" i="22"/>
  <c r="H5" i="22"/>
  <c r="I5" i="22"/>
  <c r="J5" i="22"/>
  <c r="C10" i="22"/>
  <c r="A10" i="22"/>
  <c r="C9" i="22"/>
  <c r="A9" i="22"/>
  <c r="A7" i="22"/>
  <c r="C8" i="22"/>
  <c r="A8" i="22"/>
  <c r="C5" i="22"/>
  <c r="A14" i="22"/>
  <c r="C40" i="20" l="1"/>
  <c r="C39" i="20"/>
  <c r="C50" i="20"/>
  <c r="C49" i="20"/>
  <c r="C31" i="20"/>
  <c r="C47" i="20"/>
  <c r="I31" i="20"/>
  <c r="I32" i="20"/>
  <c r="I38" i="20"/>
  <c r="I40" i="20"/>
  <c r="I41" i="20"/>
  <c r="I47" i="20"/>
  <c r="I49" i="20"/>
  <c r="I29" i="20"/>
  <c r="I50" i="20"/>
  <c r="I39" i="20"/>
  <c r="I30" i="20"/>
  <c r="B12" i="3" l="1"/>
  <c r="O51" i="20" l="1"/>
  <c r="H23" i="20"/>
  <c r="G23" i="20"/>
  <c r="H22" i="20"/>
  <c r="G22" i="20"/>
  <c r="H21" i="20"/>
  <c r="F21" i="20"/>
  <c r="E21" i="20"/>
  <c r="H15" i="20"/>
  <c r="G15" i="20"/>
  <c r="F15" i="20"/>
  <c r="E15" i="20"/>
  <c r="H14" i="20"/>
  <c r="G14" i="20"/>
  <c r="F14" i="20"/>
  <c r="E14" i="20"/>
  <c r="H13" i="20"/>
  <c r="H47" i="20" s="1"/>
  <c r="F13" i="20"/>
  <c r="F50" i="20" s="1"/>
  <c r="E13" i="20"/>
  <c r="E50" i="20" s="1"/>
  <c r="H12" i="20"/>
  <c r="H16" i="20" s="1"/>
  <c r="F12" i="20"/>
  <c r="F16" i="20" s="1"/>
  <c r="E12" i="20"/>
  <c r="E16" i="20" s="1"/>
  <c r="J11" i="20"/>
  <c r="J23" i="20" s="1"/>
  <c r="D11" i="20"/>
  <c r="D15" i="20" s="1"/>
  <c r="J10" i="20"/>
  <c r="J22" i="20" s="1"/>
  <c r="D10" i="20"/>
  <c r="D14" i="20" s="1"/>
  <c r="J9" i="20"/>
  <c r="G9" i="20"/>
  <c r="G21" i="20" s="1"/>
  <c r="D9" i="20"/>
  <c r="D13" i="20" s="1"/>
  <c r="L51" i="18"/>
  <c r="B33" i="2" s="1"/>
  <c r="E23" i="18"/>
  <c r="E22" i="18"/>
  <c r="E21" i="18"/>
  <c r="E15" i="18"/>
  <c r="E14" i="18"/>
  <c r="E13" i="18"/>
  <c r="E41" i="18" s="1"/>
  <c r="E12" i="18"/>
  <c r="E16" i="18" s="1"/>
  <c r="F23" i="18"/>
  <c r="D23" i="18"/>
  <c r="C23" i="18"/>
  <c r="F22" i="18"/>
  <c r="D22" i="18"/>
  <c r="C22" i="18"/>
  <c r="D21" i="18"/>
  <c r="F15" i="18"/>
  <c r="D15" i="18"/>
  <c r="C15" i="18"/>
  <c r="F14" i="18"/>
  <c r="D14" i="18"/>
  <c r="C14" i="18"/>
  <c r="D13" i="18"/>
  <c r="D47" i="18" s="1"/>
  <c r="D12" i="18"/>
  <c r="D16" i="18" s="1"/>
  <c r="B11" i="18"/>
  <c r="B23" i="18" s="1"/>
  <c r="B10" i="18"/>
  <c r="B22" i="18" s="1"/>
  <c r="F9" i="18"/>
  <c r="F21" i="18" s="1"/>
  <c r="C9" i="18"/>
  <c r="C21" i="18" s="1"/>
  <c r="B9" i="18"/>
  <c r="H46" i="16"/>
  <c r="I26" i="22" s="1"/>
  <c r="G46" i="16"/>
  <c r="H26" i="22" s="1"/>
  <c r="F46" i="16"/>
  <c r="G26" i="22" s="1"/>
  <c r="B46" i="16"/>
  <c r="C26" i="22" s="1"/>
  <c r="D21" i="20" l="1"/>
  <c r="D50" i="20"/>
  <c r="J12" i="20"/>
  <c r="J16" i="20" s="1"/>
  <c r="J21" i="20"/>
  <c r="O21" i="20" s="1"/>
  <c r="D22" i="20"/>
  <c r="O22" i="20" s="1"/>
  <c r="L22" i="18"/>
  <c r="L23" i="18"/>
  <c r="B12" i="18"/>
  <c r="B16" i="18" s="1"/>
  <c r="J15" i="20"/>
  <c r="O15" i="20" s="1"/>
  <c r="J14" i="20"/>
  <c r="O14" i="20" s="1"/>
  <c r="J13" i="20"/>
  <c r="J50" i="20" s="1"/>
  <c r="H38" i="20"/>
  <c r="F41" i="20"/>
  <c r="F31" i="20"/>
  <c r="H41" i="20"/>
  <c r="F49" i="20"/>
  <c r="H32" i="20"/>
  <c r="F40" i="20"/>
  <c r="H50" i="20"/>
  <c r="F30" i="20"/>
  <c r="H40" i="20"/>
  <c r="F48" i="20"/>
  <c r="H30" i="20"/>
  <c r="F38" i="20"/>
  <c r="H48" i="20"/>
  <c r="H31" i="20"/>
  <c r="F39" i="20"/>
  <c r="H49" i="20"/>
  <c r="F29" i="20"/>
  <c r="H39" i="20"/>
  <c r="F47" i="20"/>
  <c r="H29" i="20"/>
  <c r="F32" i="20"/>
  <c r="D23" i="20"/>
  <c r="O23" i="20" s="1"/>
  <c r="D12" i="20"/>
  <c r="J39" i="20"/>
  <c r="G12" i="20"/>
  <c r="O12" i="20" s="1"/>
  <c r="G13" i="20"/>
  <c r="D29" i="20"/>
  <c r="D30" i="20"/>
  <c r="D31" i="20"/>
  <c r="D32" i="20"/>
  <c r="D38" i="20"/>
  <c r="D39" i="20"/>
  <c r="D40" i="20"/>
  <c r="D41" i="20"/>
  <c r="D47" i="20"/>
  <c r="D48" i="20"/>
  <c r="D49" i="20"/>
  <c r="E29" i="20"/>
  <c r="E30" i="20"/>
  <c r="E31" i="20"/>
  <c r="E32" i="20"/>
  <c r="E38" i="20"/>
  <c r="E39" i="20"/>
  <c r="E40" i="20"/>
  <c r="E41" i="20"/>
  <c r="E47" i="20"/>
  <c r="E48" i="20"/>
  <c r="E49" i="20"/>
  <c r="E47" i="18"/>
  <c r="E29" i="18"/>
  <c r="E48" i="18"/>
  <c r="E31" i="18"/>
  <c r="E49" i="18"/>
  <c r="E32" i="18"/>
  <c r="E50" i="18"/>
  <c r="E38" i="18"/>
  <c r="E30" i="18"/>
  <c r="E39" i="18"/>
  <c r="E40" i="18"/>
  <c r="D41" i="18"/>
  <c r="D50" i="18"/>
  <c r="D40" i="18"/>
  <c r="D31" i="18"/>
  <c r="F12" i="18"/>
  <c r="F16" i="18" s="1"/>
  <c r="D32" i="18"/>
  <c r="D49" i="18"/>
  <c r="C12" i="18"/>
  <c r="C16" i="18" s="1"/>
  <c r="B13" i="18"/>
  <c r="B21" i="18"/>
  <c r="L21" i="18" s="1"/>
  <c r="C13" i="18"/>
  <c r="D30" i="18"/>
  <c r="D39" i="18"/>
  <c r="D48" i="18"/>
  <c r="F13" i="18"/>
  <c r="B15" i="18"/>
  <c r="L15" i="18" s="1"/>
  <c r="B9" i="2" s="1"/>
  <c r="D29" i="18"/>
  <c r="D38" i="18"/>
  <c r="B14" i="18"/>
  <c r="L14" i="18" s="1"/>
  <c r="B8" i="2" s="1"/>
  <c r="K26" i="3"/>
  <c r="I26" i="3"/>
  <c r="J26" i="3"/>
  <c r="H26" i="3"/>
  <c r="G26" i="3"/>
  <c r="F26" i="3"/>
  <c r="E26" i="3"/>
  <c r="D26" i="3"/>
  <c r="B26" i="3"/>
  <c r="E33" i="13"/>
  <c r="M51" i="11"/>
  <c r="D33" i="13" s="1"/>
  <c r="J40" i="20" l="1"/>
  <c r="G16" i="20"/>
  <c r="J41" i="20"/>
  <c r="O13" i="20"/>
  <c r="L13" i="18"/>
  <c r="B7" i="2" s="1"/>
  <c r="L16" i="18"/>
  <c r="B10" i="2" s="1"/>
  <c r="L12" i="18"/>
  <c r="B6" i="2" s="1"/>
  <c r="J32" i="20"/>
  <c r="J49" i="20"/>
  <c r="J31" i="20"/>
  <c r="J38" i="20"/>
  <c r="J48" i="20"/>
  <c r="J30" i="20"/>
  <c r="J47" i="20"/>
  <c r="J29" i="20"/>
  <c r="G50" i="20"/>
  <c r="O50" i="20" s="1"/>
  <c r="G49" i="20"/>
  <c r="O49" i="20" s="1"/>
  <c r="G48" i="20"/>
  <c r="G47" i="20"/>
  <c r="G41" i="20"/>
  <c r="G40" i="20"/>
  <c r="O40" i="20" s="1"/>
  <c r="G38" i="20"/>
  <c r="G31" i="20"/>
  <c r="O31" i="20" s="1"/>
  <c r="G39" i="20"/>
  <c r="O39" i="20" s="1"/>
  <c r="G32" i="20"/>
  <c r="O32" i="20" s="1"/>
  <c r="G30" i="20"/>
  <c r="G29" i="20"/>
  <c r="O29" i="20" s="1"/>
  <c r="D16" i="20"/>
  <c r="C49" i="18"/>
  <c r="C40" i="18"/>
  <c r="C31" i="18"/>
  <c r="C50" i="18"/>
  <c r="C41" i="18"/>
  <c r="C32" i="18"/>
  <c r="C48" i="18"/>
  <c r="C39" i="18"/>
  <c r="C30" i="18"/>
  <c r="C47" i="18"/>
  <c r="C38" i="18"/>
  <c r="C29" i="18"/>
  <c r="B49" i="18"/>
  <c r="B40" i="18"/>
  <c r="B31" i="18"/>
  <c r="B50" i="18"/>
  <c r="B41" i="18"/>
  <c r="B32" i="18"/>
  <c r="B47" i="18"/>
  <c r="B38" i="18"/>
  <c r="B29" i="18"/>
  <c r="B48" i="18"/>
  <c r="B39" i="18"/>
  <c r="B30" i="18"/>
  <c r="F47" i="18"/>
  <c r="F38" i="18"/>
  <c r="F29" i="18"/>
  <c r="F48" i="18"/>
  <c r="F39" i="18"/>
  <c r="F30" i="18"/>
  <c r="F49" i="18"/>
  <c r="F40" i="18"/>
  <c r="F31" i="18"/>
  <c r="F50" i="18"/>
  <c r="F41" i="18"/>
  <c r="F32" i="18"/>
  <c r="K51" i="10"/>
  <c r="C33" i="13" s="1"/>
  <c r="D13" i="10"/>
  <c r="D39" i="10" s="1"/>
  <c r="E13" i="10"/>
  <c r="E48" i="10" s="1"/>
  <c r="L51" i="9"/>
  <c r="B33" i="13" s="1"/>
  <c r="H33" i="13" s="1" a="1"/>
  <c r="H33" i="13" s="1"/>
  <c r="D13" i="9"/>
  <c r="E13" i="9"/>
  <c r="E49" i="9" s="1"/>
  <c r="M51" i="8"/>
  <c r="E33" i="2" s="1"/>
  <c r="M51" i="7"/>
  <c r="D33" i="2" s="1"/>
  <c r="K51" i="6"/>
  <c r="C33" i="2" s="1"/>
  <c r="D13" i="6"/>
  <c r="D41" i="6" s="1"/>
  <c r="E13" i="6"/>
  <c r="E40" i="6" s="1"/>
  <c r="H23" i="12"/>
  <c r="G23" i="12"/>
  <c r="F23" i="12"/>
  <c r="E23" i="12"/>
  <c r="H22" i="12"/>
  <c r="G22" i="12"/>
  <c r="F22" i="12"/>
  <c r="E22" i="12"/>
  <c r="G21" i="12"/>
  <c r="F21" i="12"/>
  <c r="D21" i="12"/>
  <c r="C21" i="12"/>
  <c r="H15" i="12"/>
  <c r="G15" i="12"/>
  <c r="F15" i="12"/>
  <c r="E15" i="12"/>
  <c r="D15" i="12"/>
  <c r="C15" i="12"/>
  <c r="H14" i="12"/>
  <c r="G14" i="12"/>
  <c r="F14" i="12"/>
  <c r="E14" i="12"/>
  <c r="D14" i="12"/>
  <c r="C14" i="12"/>
  <c r="G13" i="12"/>
  <c r="G50" i="12" s="1"/>
  <c r="F13" i="12"/>
  <c r="F47" i="12" s="1"/>
  <c r="D13" i="12"/>
  <c r="D47" i="12" s="1"/>
  <c r="C13" i="12"/>
  <c r="C50" i="12" s="1"/>
  <c r="G12" i="12"/>
  <c r="G16" i="12" s="1"/>
  <c r="F12" i="12"/>
  <c r="F16" i="12" s="1"/>
  <c r="D12" i="12"/>
  <c r="D16" i="12" s="1"/>
  <c r="C12" i="12"/>
  <c r="C16" i="12" s="1"/>
  <c r="B11" i="12"/>
  <c r="B15" i="12" s="1"/>
  <c r="B10" i="12"/>
  <c r="B22" i="12" s="1"/>
  <c r="H9" i="12"/>
  <c r="H21" i="12" s="1"/>
  <c r="E9" i="12"/>
  <c r="E12" i="12" s="1"/>
  <c r="E16" i="12" s="1"/>
  <c r="B9" i="12"/>
  <c r="B21" i="12" s="1"/>
  <c r="G31" i="11"/>
  <c r="F31" i="11"/>
  <c r="F29" i="11"/>
  <c r="G23" i="11"/>
  <c r="F23" i="11"/>
  <c r="E23" i="11"/>
  <c r="G22" i="11"/>
  <c r="F22" i="11"/>
  <c r="E22" i="11"/>
  <c r="G21" i="11"/>
  <c r="F21" i="11"/>
  <c r="D21" i="11"/>
  <c r="C21" i="11"/>
  <c r="G15" i="11"/>
  <c r="F15" i="11"/>
  <c r="E15" i="11"/>
  <c r="D15" i="11"/>
  <c r="C15" i="11"/>
  <c r="G14" i="11"/>
  <c r="F14" i="11"/>
  <c r="E14" i="11"/>
  <c r="D14" i="11"/>
  <c r="C14" i="11"/>
  <c r="G13" i="11"/>
  <c r="G50" i="11" s="1"/>
  <c r="F13" i="11"/>
  <c r="F47" i="11" s="1"/>
  <c r="D13" i="11"/>
  <c r="D50" i="11" s="1"/>
  <c r="C13" i="11"/>
  <c r="G12" i="11"/>
  <c r="G16" i="11" s="1"/>
  <c r="F12" i="11"/>
  <c r="F16" i="11" s="1"/>
  <c r="D12" i="11"/>
  <c r="D16" i="11" s="1"/>
  <c r="C12" i="11"/>
  <c r="C16" i="11" s="1"/>
  <c r="H11" i="11"/>
  <c r="H23" i="11" s="1"/>
  <c r="B11" i="11"/>
  <c r="B23" i="11" s="1"/>
  <c r="H10" i="11"/>
  <c r="H22" i="11" s="1"/>
  <c r="B10" i="11"/>
  <c r="B22" i="11" s="1"/>
  <c r="M22" i="11" s="1"/>
  <c r="D13" i="13" s="1"/>
  <c r="H9" i="11"/>
  <c r="H13" i="11" s="1"/>
  <c r="H50" i="11" s="1"/>
  <c r="E9" i="11"/>
  <c r="E21" i="11" s="1"/>
  <c r="B9" i="11"/>
  <c r="F23" i="10"/>
  <c r="E23" i="10"/>
  <c r="D23" i="10"/>
  <c r="C23" i="10"/>
  <c r="F22" i="10"/>
  <c r="E22" i="10"/>
  <c r="D22" i="10"/>
  <c r="C22" i="10"/>
  <c r="E21" i="10"/>
  <c r="D21" i="10"/>
  <c r="F15" i="10"/>
  <c r="E15" i="10"/>
  <c r="D15" i="10"/>
  <c r="C15" i="10"/>
  <c r="F14" i="10"/>
  <c r="E14" i="10"/>
  <c r="D14" i="10"/>
  <c r="C14" i="10"/>
  <c r="E12" i="10"/>
  <c r="D12" i="10"/>
  <c r="D16" i="10" s="1"/>
  <c r="B11" i="10"/>
  <c r="B15" i="10" s="1"/>
  <c r="B10" i="10"/>
  <c r="B22" i="10" s="1"/>
  <c r="F9" i="10"/>
  <c r="F12" i="10" s="1"/>
  <c r="F16" i="10" s="1"/>
  <c r="C9" i="10"/>
  <c r="C21" i="10" s="1"/>
  <c r="B9" i="10"/>
  <c r="B21" i="10" s="1"/>
  <c r="F23" i="9"/>
  <c r="E23" i="9"/>
  <c r="D23" i="9"/>
  <c r="C23" i="9"/>
  <c r="F22" i="9"/>
  <c r="E22" i="9"/>
  <c r="D22" i="9"/>
  <c r="E21" i="9"/>
  <c r="D21" i="9"/>
  <c r="F15" i="9"/>
  <c r="E15" i="9"/>
  <c r="D15" i="9"/>
  <c r="C15" i="9"/>
  <c r="F14" i="9"/>
  <c r="E14" i="9"/>
  <c r="D14" i="9"/>
  <c r="D48" i="9"/>
  <c r="E12" i="9"/>
  <c r="E16" i="9" s="1"/>
  <c r="D12" i="9"/>
  <c r="D16" i="9" s="1"/>
  <c r="B11" i="9"/>
  <c r="B23" i="9" s="1"/>
  <c r="C10" i="9"/>
  <c r="C22" i="9" s="1"/>
  <c r="B10" i="9"/>
  <c r="B22" i="9" s="1"/>
  <c r="L22" i="9" s="1"/>
  <c r="B13" i="13" s="1"/>
  <c r="F9" i="9"/>
  <c r="F21" i="9" s="1"/>
  <c r="C9" i="9"/>
  <c r="C13" i="9" s="1"/>
  <c r="B9" i="9"/>
  <c r="B13" i="9" s="1"/>
  <c r="H23" i="8"/>
  <c r="G23" i="8"/>
  <c r="F23" i="8"/>
  <c r="H22" i="8"/>
  <c r="G22" i="8"/>
  <c r="F22" i="8"/>
  <c r="G21" i="8"/>
  <c r="F21" i="8"/>
  <c r="D21" i="8"/>
  <c r="C21" i="8"/>
  <c r="H15" i="8"/>
  <c r="G15" i="8"/>
  <c r="F15" i="8"/>
  <c r="D15" i="8"/>
  <c r="C15" i="8"/>
  <c r="H14" i="8"/>
  <c r="G14" i="8"/>
  <c r="F14" i="8"/>
  <c r="D14" i="8"/>
  <c r="C14" i="8"/>
  <c r="G13" i="8"/>
  <c r="G50" i="8" s="1"/>
  <c r="F13" i="8"/>
  <c r="D13" i="8"/>
  <c r="D50" i="8" s="1"/>
  <c r="C13" i="8"/>
  <c r="C50" i="8" s="1"/>
  <c r="G12" i="8"/>
  <c r="G16" i="8" s="1"/>
  <c r="F12" i="8"/>
  <c r="F16" i="8" s="1"/>
  <c r="D12" i="8"/>
  <c r="D16" i="8" s="1"/>
  <c r="C12" i="8"/>
  <c r="C16" i="8" s="1"/>
  <c r="E11" i="8"/>
  <c r="E23" i="8" s="1"/>
  <c r="B11" i="8"/>
  <c r="B15" i="8" s="1"/>
  <c r="E10" i="8"/>
  <c r="B10" i="8"/>
  <c r="B22" i="8" s="1"/>
  <c r="H9" i="8"/>
  <c r="H21" i="8" s="1"/>
  <c r="E9" i="8"/>
  <c r="E21" i="8" s="1"/>
  <c r="B9" i="8"/>
  <c r="B21" i="8" s="1"/>
  <c r="H23" i="7"/>
  <c r="G23" i="7"/>
  <c r="F23" i="7"/>
  <c r="E23" i="7"/>
  <c r="H22" i="7"/>
  <c r="G22" i="7"/>
  <c r="F22" i="7"/>
  <c r="E22" i="7"/>
  <c r="G21" i="7"/>
  <c r="F21" i="7"/>
  <c r="D21" i="7"/>
  <c r="C21" i="7"/>
  <c r="H15" i="7"/>
  <c r="G15" i="7"/>
  <c r="F15" i="7"/>
  <c r="E15" i="7"/>
  <c r="D15" i="7"/>
  <c r="C15" i="7"/>
  <c r="H14" i="7"/>
  <c r="G14" i="7"/>
  <c r="F14" i="7"/>
  <c r="E14" i="7"/>
  <c r="D14" i="7"/>
  <c r="C14" i="7"/>
  <c r="G13" i="7"/>
  <c r="G30" i="7" s="1"/>
  <c r="F13" i="7"/>
  <c r="F50" i="7" s="1"/>
  <c r="D13" i="7"/>
  <c r="D29" i="7" s="1"/>
  <c r="C13" i="7"/>
  <c r="C29" i="7" s="1"/>
  <c r="G12" i="7"/>
  <c r="G16" i="7" s="1"/>
  <c r="F12" i="7"/>
  <c r="F16" i="7" s="1"/>
  <c r="D12" i="7"/>
  <c r="D16" i="7" s="1"/>
  <c r="C12" i="7"/>
  <c r="C16" i="7" s="1"/>
  <c r="B11" i="7"/>
  <c r="B15" i="7" s="1"/>
  <c r="B10" i="7"/>
  <c r="B22" i="7" s="1"/>
  <c r="H9" i="7"/>
  <c r="H21" i="7" s="1"/>
  <c r="E9" i="7"/>
  <c r="E21" i="7" s="1"/>
  <c r="B9" i="7"/>
  <c r="B21" i="7" s="1"/>
  <c r="F23" i="6"/>
  <c r="E23" i="6"/>
  <c r="D23" i="6"/>
  <c r="C23" i="6"/>
  <c r="F22" i="6"/>
  <c r="E22" i="6"/>
  <c r="D22" i="6"/>
  <c r="C22" i="6"/>
  <c r="E21" i="6"/>
  <c r="D21" i="6"/>
  <c r="F15" i="6"/>
  <c r="E15" i="6"/>
  <c r="D15" i="6"/>
  <c r="C15" i="6"/>
  <c r="F14" i="6"/>
  <c r="E14" i="6"/>
  <c r="D14" i="6"/>
  <c r="C14" i="6"/>
  <c r="E12" i="6"/>
  <c r="E16" i="6" s="1"/>
  <c r="D12" i="6"/>
  <c r="D16" i="6" s="1"/>
  <c r="B11" i="6"/>
  <c r="B23" i="6" s="1"/>
  <c r="B10" i="6"/>
  <c r="B22" i="6" s="1"/>
  <c r="F9" i="6"/>
  <c r="F13" i="6" s="1"/>
  <c r="C9" i="6"/>
  <c r="C21" i="6" s="1"/>
  <c r="B9" i="6"/>
  <c r="B21" i="6" s="1"/>
  <c r="M22" i="12" l="1"/>
  <c r="E13" i="13" s="1"/>
  <c r="H33" i="2" a="1"/>
  <c r="H33" i="2" s="1"/>
  <c r="G47" i="11"/>
  <c r="F38" i="11"/>
  <c r="G38" i="11"/>
  <c r="F13" i="10"/>
  <c r="C13" i="10"/>
  <c r="M21" i="8"/>
  <c r="E12" i="2" s="1"/>
  <c r="K15" i="10"/>
  <c r="C9" i="13" s="1"/>
  <c r="E16" i="10"/>
  <c r="O47" i="20"/>
  <c r="O16" i="20"/>
  <c r="O48" i="20"/>
  <c r="O30" i="20"/>
  <c r="O38" i="20"/>
  <c r="O41" i="20"/>
  <c r="C31" i="8"/>
  <c r="C48" i="8"/>
  <c r="M15" i="7"/>
  <c r="D9" i="2" s="1"/>
  <c r="E47" i="6"/>
  <c r="K22" i="6"/>
  <c r="C13" i="2" s="1"/>
  <c r="L39" i="18"/>
  <c r="B24" i="2" s="1"/>
  <c r="L40" i="18"/>
  <c r="B25" i="2" s="1"/>
  <c r="L30" i="18"/>
  <c r="B18" i="2" s="1"/>
  <c r="L50" i="18"/>
  <c r="B32" i="2" s="1"/>
  <c r="L31" i="18"/>
  <c r="B19" i="2" s="1"/>
  <c r="L29" i="18"/>
  <c r="B17" i="2" s="1"/>
  <c r="L49" i="18"/>
  <c r="B31" i="2" s="1"/>
  <c r="L32" i="18"/>
  <c r="B20" i="2" s="1"/>
  <c r="L48" i="18"/>
  <c r="B30" i="2" s="1"/>
  <c r="L38" i="18"/>
  <c r="B23" i="2" s="1"/>
  <c r="L47" i="18"/>
  <c r="B29" i="2" s="1"/>
  <c r="L41" i="18"/>
  <c r="B26" i="2" s="1"/>
  <c r="F39" i="11"/>
  <c r="G29" i="11"/>
  <c r="G39" i="11"/>
  <c r="F30" i="11"/>
  <c r="F40" i="11"/>
  <c r="G30" i="11"/>
  <c r="G40" i="11"/>
  <c r="B13" i="10"/>
  <c r="K13" i="10" s="1"/>
  <c r="C7" i="13" s="1"/>
  <c r="K22" i="10"/>
  <c r="C13" i="13" s="1"/>
  <c r="F13" i="9"/>
  <c r="L13" i="9" s="1"/>
  <c r="L23" i="9"/>
  <c r="B14" i="13" s="1"/>
  <c r="C49" i="8"/>
  <c r="C30" i="8"/>
  <c r="C38" i="8"/>
  <c r="M22" i="7"/>
  <c r="D13" i="2" s="1"/>
  <c r="B23" i="7"/>
  <c r="M23" i="7" s="1"/>
  <c r="D14" i="2" s="1"/>
  <c r="E13" i="7"/>
  <c r="E29" i="7" s="1"/>
  <c r="E12" i="7"/>
  <c r="E16" i="7" s="1"/>
  <c r="M21" i="7"/>
  <c r="D12" i="2" s="1"/>
  <c r="C13" i="6"/>
  <c r="K23" i="6"/>
  <c r="C14" i="2" s="1"/>
  <c r="B13" i="6"/>
  <c r="B47" i="6" s="1"/>
  <c r="M15" i="12"/>
  <c r="M23" i="11"/>
  <c r="D14" i="13" s="1"/>
  <c r="D30" i="12"/>
  <c r="D39" i="12"/>
  <c r="D48" i="12"/>
  <c r="F30" i="12"/>
  <c r="F39" i="12"/>
  <c r="F48" i="12"/>
  <c r="E13" i="12"/>
  <c r="E50" i="12" s="1"/>
  <c r="D31" i="12"/>
  <c r="D40" i="12"/>
  <c r="D49" i="12"/>
  <c r="E21" i="12"/>
  <c r="F31" i="12"/>
  <c r="F40" i="12"/>
  <c r="F49" i="12"/>
  <c r="D32" i="12"/>
  <c r="D41" i="12"/>
  <c r="D50" i="12"/>
  <c r="F32" i="12"/>
  <c r="F41" i="12"/>
  <c r="F50" i="12"/>
  <c r="D29" i="12"/>
  <c r="D38" i="12"/>
  <c r="F29" i="12"/>
  <c r="F38" i="12"/>
  <c r="H21" i="11"/>
  <c r="F48" i="11"/>
  <c r="G48" i="11"/>
  <c r="F49" i="11"/>
  <c r="G49" i="11"/>
  <c r="F50" i="11"/>
  <c r="H14" i="11"/>
  <c r="B15" i="11"/>
  <c r="F32" i="11"/>
  <c r="F41" i="11"/>
  <c r="G32" i="11"/>
  <c r="G41" i="11"/>
  <c r="B14" i="10"/>
  <c r="K14" i="10" s="1"/>
  <c r="C8" i="13" s="1"/>
  <c r="D29" i="10"/>
  <c r="E30" i="10"/>
  <c r="B12" i="10"/>
  <c r="K12" i="10" s="1"/>
  <c r="D47" i="10"/>
  <c r="E39" i="9"/>
  <c r="C12" i="9"/>
  <c r="C16" i="9" s="1"/>
  <c r="C14" i="9"/>
  <c r="D38" i="9"/>
  <c r="C39" i="8"/>
  <c r="C40" i="8"/>
  <c r="C41" i="8"/>
  <c r="C29" i="8"/>
  <c r="C47" i="8"/>
  <c r="C32" i="8"/>
  <c r="B15" i="6"/>
  <c r="K15" i="6" s="1"/>
  <c r="C9" i="2" s="1"/>
  <c r="D39" i="6"/>
  <c r="D40" i="6"/>
  <c r="E41" i="6"/>
  <c r="B14" i="6"/>
  <c r="K14" i="6" s="1"/>
  <c r="C8" i="2" s="1"/>
  <c r="F12" i="6"/>
  <c r="F16" i="6" s="1"/>
  <c r="B40" i="9"/>
  <c r="B41" i="9"/>
  <c r="B47" i="9"/>
  <c r="B29" i="9"/>
  <c r="B49" i="9"/>
  <c r="B31" i="9"/>
  <c r="B50" i="9"/>
  <c r="B32" i="9"/>
  <c r="B38" i="9"/>
  <c r="B39" i="9"/>
  <c r="B30" i="9"/>
  <c r="B48" i="9"/>
  <c r="F48" i="6"/>
  <c r="F30" i="6"/>
  <c r="F49" i="6"/>
  <c r="F31" i="6"/>
  <c r="F50" i="6"/>
  <c r="F32" i="6"/>
  <c r="F38" i="6"/>
  <c r="F47" i="6"/>
  <c r="F39" i="6"/>
  <c r="F40" i="6"/>
  <c r="F29" i="6"/>
  <c r="F41" i="6"/>
  <c r="B49" i="6"/>
  <c r="G50" i="7"/>
  <c r="G49" i="7"/>
  <c r="G48" i="7"/>
  <c r="G47" i="7"/>
  <c r="G41" i="7"/>
  <c r="G40" i="7"/>
  <c r="G39" i="7"/>
  <c r="G38" i="7"/>
  <c r="G32" i="7"/>
  <c r="F39" i="7"/>
  <c r="F48" i="7"/>
  <c r="E14" i="8"/>
  <c r="E22" i="8"/>
  <c r="B30" i="6"/>
  <c r="D38" i="6"/>
  <c r="E39" i="6"/>
  <c r="H12" i="7"/>
  <c r="H16" i="7" s="1"/>
  <c r="H13" i="7"/>
  <c r="F31" i="7"/>
  <c r="B12" i="6"/>
  <c r="F21" i="6"/>
  <c r="K21" i="6" s="1"/>
  <c r="C12" i="2" s="1"/>
  <c r="D32" i="6"/>
  <c r="E38" i="6"/>
  <c r="D50" i="6"/>
  <c r="B12" i="7"/>
  <c r="B13" i="7"/>
  <c r="B14" i="7"/>
  <c r="M14" i="7" s="1"/>
  <c r="D8" i="2" s="1"/>
  <c r="G31" i="7"/>
  <c r="F40" i="7"/>
  <c r="F49" i="7"/>
  <c r="B21" i="11"/>
  <c r="B13" i="11"/>
  <c r="B12" i="11"/>
  <c r="C12" i="6"/>
  <c r="C16" i="6" s="1"/>
  <c r="D31" i="6"/>
  <c r="E32" i="6"/>
  <c r="D49" i="6"/>
  <c r="E50" i="6"/>
  <c r="C50" i="7"/>
  <c r="C49" i="7"/>
  <c r="C48" i="7"/>
  <c r="C47" i="7"/>
  <c r="C41" i="7"/>
  <c r="C40" i="7"/>
  <c r="C39" i="7"/>
  <c r="C38" i="7"/>
  <c r="C32" i="7"/>
  <c r="C31" i="7"/>
  <c r="C30" i="7"/>
  <c r="F29" i="7"/>
  <c r="F50" i="8"/>
  <c r="F49" i="8"/>
  <c r="F48" i="8"/>
  <c r="F47" i="8"/>
  <c r="F41" i="8"/>
  <c r="F40" i="8"/>
  <c r="F39" i="8"/>
  <c r="F38" i="8"/>
  <c r="F32" i="8"/>
  <c r="F31" i="8"/>
  <c r="F30" i="8"/>
  <c r="F29" i="8"/>
  <c r="D30" i="6"/>
  <c r="E31" i="6"/>
  <c r="B40" i="6"/>
  <c r="D48" i="6"/>
  <c r="E49" i="6"/>
  <c r="D50" i="7"/>
  <c r="D49" i="7"/>
  <c r="D48" i="7"/>
  <c r="D47" i="7"/>
  <c r="D41" i="7"/>
  <c r="D40" i="7"/>
  <c r="D39" i="7"/>
  <c r="D38" i="7"/>
  <c r="D32" i="7"/>
  <c r="D31" i="7"/>
  <c r="D30" i="7"/>
  <c r="G29" i="7"/>
  <c r="F32" i="7"/>
  <c r="F41" i="7"/>
  <c r="B12" i="9"/>
  <c r="B21" i="9"/>
  <c r="E40" i="10"/>
  <c r="E41" i="10"/>
  <c r="E47" i="10"/>
  <c r="E29" i="10"/>
  <c r="E49" i="10"/>
  <c r="E31" i="10"/>
  <c r="E50" i="10"/>
  <c r="E32" i="10"/>
  <c r="E38" i="10"/>
  <c r="E39" i="10"/>
  <c r="D29" i="6"/>
  <c r="E30" i="6"/>
  <c r="B39" i="6"/>
  <c r="D47" i="6"/>
  <c r="E48" i="6"/>
  <c r="E47" i="7"/>
  <c r="E41" i="7"/>
  <c r="E40" i="7"/>
  <c r="E39" i="7"/>
  <c r="E29" i="6"/>
  <c r="F30" i="7"/>
  <c r="F38" i="7"/>
  <c r="F47" i="7"/>
  <c r="C50" i="11"/>
  <c r="C49" i="11"/>
  <c r="C48" i="11"/>
  <c r="C47" i="11"/>
  <c r="C41" i="11"/>
  <c r="C40" i="11"/>
  <c r="C39" i="11"/>
  <c r="C38" i="11"/>
  <c r="C32" i="11"/>
  <c r="C31" i="11"/>
  <c r="C30" i="11"/>
  <c r="C29" i="11"/>
  <c r="D29" i="9"/>
  <c r="E30" i="9"/>
  <c r="D47" i="9"/>
  <c r="E48" i="9"/>
  <c r="D38" i="10"/>
  <c r="G29" i="8"/>
  <c r="G30" i="8"/>
  <c r="G31" i="8"/>
  <c r="G32" i="8"/>
  <c r="G38" i="8"/>
  <c r="G39" i="8"/>
  <c r="G40" i="8"/>
  <c r="G41" i="8"/>
  <c r="G47" i="8"/>
  <c r="G48" i="8"/>
  <c r="G49" i="8"/>
  <c r="C21" i="9"/>
  <c r="E29" i="9"/>
  <c r="D41" i="9"/>
  <c r="E47" i="9"/>
  <c r="F21" i="10"/>
  <c r="K21" i="10" s="1"/>
  <c r="C12" i="13" s="1"/>
  <c r="D32" i="10"/>
  <c r="D50" i="10"/>
  <c r="D29" i="11"/>
  <c r="D30" i="11"/>
  <c r="D31" i="11"/>
  <c r="D32" i="11"/>
  <c r="D38" i="11"/>
  <c r="D39" i="11"/>
  <c r="D40" i="11"/>
  <c r="D41" i="11"/>
  <c r="D47" i="11"/>
  <c r="D48" i="11"/>
  <c r="D49" i="11"/>
  <c r="C29" i="12"/>
  <c r="C30" i="12"/>
  <c r="C31" i="12"/>
  <c r="C32" i="12"/>
  <c r="C38" i="12"/>
  <c r="C39" i="12"/>
  <c r="C40" i="12"/>
  <c r="C41" i="12"/>
  <c r="C47" i="12"/>
  <c r="C48" i="12"/>
  <c r="C49" i="12"/>
  <c r="E12" i="8"/>
  <c r="E16" i="8" s="1"/>
  <c r="E13" i="8"/>
  <c r="E15" i="8"/>
  <c r="M15" i="8" s="1"/>
  <c r="F12" i="9"/>
  <c r="F16" i="9" s="1"/>
  <c r="B15" i="9"/>
  <c r="D40" i="9"/>
  <c r="E41" i="9"/>
  <c r="C12" i="10"/>
  <c r="C16" i="10" s="1"/>
  <c r="B23" i="10"/>
  <c r="K23" i="10" s="1"/>
  <c r="C14" i="13" s="1"/>
  <c r="D31" i="10"/>
  <c r="D49" i="10"/>
  <c r="H12" i="11"/>
  <c r="H16" i="11" s="1"/>
  <c r="H15" i="11"/>
  <c r="B23" i="12"/>
  <c r="B14" i="9"/>
  <c r="D39" i="9"/>
  <c r="E40" i="9"/>
  <c r="D30" i="10"/>
  <c r="D48" i="10"/>
  <c r="B14" i="11"/>
  <c r="H12" i="12"/>
  <c r="H16" i="12" s="1"/>
  <c r="H13" i="12"/>
  <c r="E29" i="12"/>
  <c r="E30" i="12"/>
  <c r="E41" i="12"/>
  <c r="E47" i="12"/>
  <c r="E48" i="12"/>
  <c r="B12" i="12"/>
  <c r="B13" i="12"/>
  <c r="B14" i="12"/>
  <c r="M14" i="12" s="1"/>
  <c r="B23" i="8"/>
  <c r="D29" i="8"/>
  <c r="D30" i="8"/>
  <c r="D31" i="8"/>
  <c r="D32" i="8"/>
  <c r="D38" i="8"/>
  <c r="D39" i="8"/>
  <c r="D40" i="8"/>
  <c r="D41" i="8"/>
  <c r="D47" i="8"/>
  <c r="D48" i="8"/>
  <c r="D49" i="8"/>
  <c r="D32" i="9"/>
  <c r="E38" i="9"/>
  <c r="D50" i="9"/>
  <c r="D41" i="10"/>
  <c r="H12" i="8"/>
  <c r="H16" i="8" s="1"/>
  <c r="H13" i="8"/>
  <c r="D31" i="9"/>
  <c r="E32" i="9"/>
  <c r="D49" i="9"/>
  <c r="E50" i="9"/>
  <c r="D40" i="10"/>
  <c r="E12" i="11"/>
  <c r="E16" i="11" s="1"/>
  <c r="E13" i="11"/>
  <c r="H29" i="11"/>
  <c r="H30" i="11"/>
  <c r="H31" i="11"/>
  <c r="H32" i="11"/>
  <c r="H38" i="11"/>
  <c r="H39" i="11"/>
  <c r="H40" i="11"/>
  <c r="H41" i="11"/>
  <c r="H47" i="11"/>
  <c r="H48" i="11"/>
  <c r="H49" i="11"/>
  <c r="G29" i="12"/>
  <c r="G30" i="12"/>
  <c r="G31" i="12"/>
  <c r="G32" i="12"/>
  <c r="G38" i="12"/>
  <c r="G39" i="12"/>
  <c r="G40" i="12"/>
  <c r="G41" i="12"/>
  <c r="G47" i="12"/>
  <c r="G48" i="12"/>
  <c r="G49" i="12"/>
  <c r="B12" i="8"/>
  <c r="B13" i="8"/>
  <c r="B14" i="8"/>
  <c r="D30" i="9"/>
  <c r="E31" i="9"/>
  <c r="M13" i="12" l="1"/>
  <c r="M21" i="12"/>
  <c r="E12" i="13" s="1"/>
  <c r="M23" i="12"/>
  <c r="E14" i="13" s="1"/>
  <c r="M12" i="12"/>
  <c r="M13" i="11"/>
  <c r="D7" i="13" s="1"/>
  <c r="M15" i="11"/>
  <c r="D9" i="13" s="1"/>
  <c r="M12" i="11"/>
  <c r="D6" i="13" s="1"/>
  <c r="M14" i="11"/>
  <c r="D8" i="13" s="1"/>
  <c r="M21" i="11"/>
  <c r="D12" i="13" s="1"/>
  <c r="L12" i="9"/>
  <c r="B6" i="13" s="1"/>
  <c r="L15" i="9"/>
  <c r="B9" i="13" s="1"/>
  <c r="B7" i="13"/>
  <c r="M22" i="8"/>
  <c r="E13" i="2" s="1"/>
  <c r="M14" i="8"/>
  <c r="E8" i="2" s="1"/>
  <c r="H8" i="2" s="1" a="1"/>
  <c r="H8" i="2" s="1"/>
  <c r="M13" i="8"/>
  <c r="E7" i="2" s="1"/>
  <c r="M23" i="8"/>
  <c r="E14" i="2" s="1"/>
  <c r="M12" i="8"/>
  <c r="E30" i="7"/>
  <c r="E48" i="7"/>
  <c r="E32" i="7"/>
  <c r="E50" i="7"/>
  <c r="E31" i="7"/>
  <c r="E49" i="7"/>
  <c r="E38" i="7"/>
  <c r="M13" i="7"/>
  <c r="D7" i="2" s="1"/>
  <c r="B48" i="6"/>
  <c r="B41" i="6"/>
  <c r="B29" i="6"/>
  <c r="K12" i="6"/>
  <c r="C6" i="2" s="1"/>
  <c r="M12" i="7"/>
  <c r="D6" i="2" s="1"/>
  <c r="K13" i="6"/>
  <c r="C7" i="2" s="1"/>
  <c r="H7" i="2" s="1" a="1"/>
  <c r="H7" i="2" s="1"/>
  <c r="B16" i="11"/>
  <c r="M16" i="11" s="1"/>
  <c r="D10" i="13" s="1"/>
  <c r="B16" i="10"/>
  <c r="K16" i="10" s="1"/>
  <c r="C10" i="13" s="1"/>
  <c r="C6" i="13"/>
  <c r="L14" i="9"/>
  <c r="B8" i="13" s="1"/>
  <c r="B16" i="9"/>
  <c r="L16" i="9" s="1"/>
  <c r="B10" i="13" s="1"/>
  <c r="E9" i="2"/>
  <c r="H9" i="2" s="1" a="1"/>
  <c r="H9" i="2" s="1"/>
  <c r="E9" i="13"/>
  <c r="B16" i="8"/>
  <c r="M16" i="8" s="1"/>
  <c r="E8" i="13"/>
  <c r="B16" i="12"/>
  <c r="M16" i="12" s="1"/>
  <c r="L21" i="9"/>
  <c r="B12" i="13" s="1"/>
  <c r="E39" i="12"/>
  <c r="E38" i="12"/>
  <c r="E32" i="12"/>
  <c r="E40" i="12"/>
  <c r="E49" i="12"/>
  <c r="E31" i="12"/>
  <c r="B16" i="7"/>
  <c r="M16" i="7" s="1"/>
  <c r="D10" i="2" s="1"/>
  <c r="B38" i="6"/>
  <c r="B32" i="6"/>
  <c r="B50" i="6"/>
  <c r="B31" i="6"/>
  <c r="B16" i="6"/>
  <c r="K16" i="6" s="1"/>
  <c r="C10" i="2" s="1"/>
  <c r="H50" i="8"/>
  <c r="H49" i="8"/>
  <c r="H48" i="8"/>
  <c r="H47" i="8"/>
  <c r="H41" i="8"/>
  <c r="H40" i="8"/>
  <c r="H39" i="8"/>
  <c r="H38" i="8"/>
  <c r="H32" i="8"/>
  <c r="H31" i="8"/>
  <c r="H30" i="8"/>
  <c r="H29" i="8"/>
  <c r="F50" i="9"/>
  <c r="F32" i="9"/>
  <c r="F38" i="9"/>
  <c r="F39" i="9"/>
  <c r="F41" i="9"/>
  <c r="F47" i="9"/>
  <c r="F29" i="9"/>
  <c r="F48" i="9"/>
  <c r="F30" i="9"/>
  <c r="F49" i="9"/>
  <c r="F31" i="9"/>
  <c r="F40" i="9"/>
  <c r="C39" i="6"/>
  <c r="K39" i="6" s="1"/>
  <c r="C24" i="2" s="1"/>
  <c r="C40" i="6"/>
  <c r="K40" i="6" s="1"/>
  <c r="C25" i="2" s="1"/>
  <c r="C41" i="6"/>
  <c r="C47" i="6"/>
  <c r="K47" i="6" s="1"/>
  <c r="C29" i="2" s="1"/>
  <c r="C29" i="6"/>
  <c r="K29" i="6" s="1"/>
  <c r="C17" i="2" s="1"/>
  <c r="C48" i="6"/>
  <c r="K48" i="6" s="1"/>
  <c r="C30" i="2" s="1"/>
  <c r="C30" i="6"/>
  <c r="K30" i="6" s="1"/>
  <c r="C18" i="2" s="1"/>
  <c r="C49" i="6"/>
  <c r="K49" i="6" s="1"/>
  <c r="C31" i="2" s="1"/>
  <c r="C31" i="6"/>
  <c r="C38" i="6"/>
  <c r="C50" i="6"/>
  <c r="C32" i="6"/>
  <c r="H50" i="12"/>
  <c r="H49" i="12"/>
  <c r="H48" i="12"/>
  <c r="H47" i="12"/>
  <c r="H41" i="12"/>
  <c r="H40" i="12"/>
  <c r="H39" i="12"/>
  <c r="H38" i="12"/>
  <c r="H32" i="12"/>
  <c r="H31" i="12"/>
  <c r="H30" i="12"/>
  <c r="H29" i="12"/>
  <c r="C50" i="10"/>
  <c r="C32" i="10"/>
  <c r="C38" i="10"/>
  <c r="C39" i="10"/>
  <c r="C41" i="10"/>
  <c r="C47" i="10"/>
  <c r="C29" i="10"/>
  <c r="C48" i="10"/>
  <c r="C30" i="10"/>
  <c r="C49" i="10"/>
  <c r="C31" i="10"/>
  <c r="C40" i="10"/>
  <c r="B49" i="10"/>
  <c r="B31" i="10"/>
  <c r="B50" i="10"/>
  <c r="B32" i="10"/>
  <c r="B38" i="10"/>
  <c r="B40" i="10"/>
  <c r="B41" i="10"/>
  <c r="B47" i="10"/>
  <c r="B29" i="10"/>
  <c r="B48" i="10"/>
  <c r="B30" i="10"/>
  <c r="K30" i="10" s="1"/>
  <c r="C18" i="13" s="1"/>
  <c r="B39" i="10"/>
  <c r="E50" i="8"/>
  <c r="E49" i="8"/>
  <c r="E48" i="8"/>
  <c r="E47" i="8"/>
  <c r="E41" i="8"/>
  <c r="E40" i="8"/>
  <c r="E39" i="8"/>
  <c r="E38" i="8"/>
  <c r="E32" i="8"/>
  <c r="E31" i="8"/>
  <c r="E30" i="8"/>
  <c r="E29" i="8"/>
  <c r="E50" i="11"/>
  <c r="E49" i="11"/>
  <c r="E48" i="11"/>
  <c r="E47" i="11"/>
  <c r="E41" i="11"/>
  <c r="E40" i="11"/>
  <c r="E39" i="11"/>
  <c r="E38" i="11"/>
  <c r="E32" i="11"/>
  <c r="E31" i="11"/>
  <c r="E30" i="11"/>
  <c r="E29" i="11"/>
  <c r="H50" i="7"/>
  <c r="H49" i="7"/>
  <c r="H48" i="7"/>
  <c r="H47" i="7"/>
  <c r="H41" i="7"/>
  <c r="H40" i="7"/>
  <c r="H39" i="7"/>
  <c r="H38" i="7"/>
  <c r="H32" i="7"/>
  <c r="H31" i="7"/>
  <c r="H30" i="7"/>
  <c r="H29" i="7"/>
  <c r="B50" i="8"/>
  <c r="B49" i="8"/>
  <c r="B48" i="8"/>
  <c r="M48" i="8" s="1"/>
  <c r="B47" i="8"/>
  <c r="M47" i="8" s="1"/>
  <c r="B41" i="8"/>
  <c r="M41" i="8" s="1"/>
  <c r="B40" i="8"/>
  <c r="B39" i="8"/>
  <c r="B38" i="8"/>
  <c r="B32" i="8"/>
  <c r="B31" i="8"/>
  <c r="B30" i="8"/>
  <c r="M30" i="8" s="1"/>
  <c r="B29" i="8"/>
  <c r="M29" i="8" s="1"/>
  <c r="C41" i="9"/>
  <c r="L41" i="9" s="1"/>
  <c r="B26" i="13" s="1"/>
  <c r="C47" i="9"/>
  <c r="C29" i="9"/>
  <c r="C48" i="9"/>
  <c r="L48" i="9" s="1"/>
  <c r="B30" i="13" s="1"/>
  <c r="C30" i="9"/>
  <c r="L30" i="9" s="1"/>
  <c r="B18" i="13" s="1"/>
  <c r="C50" i="9"/>
  <c r="L50" i="9" s="1"/>
  <c r="B32" i="13" s="1"/>
  <c r="C32" i="9"/>
  <c r="L32" i="9" s="1"/>
  <c r="B20" i="13" s="1"/>
  <c r="C38" i="9"/>
  <c r="L38" i="9" s="1"/>
  <c r="B23" i="13" s="1"/>
  <c r="C39" i="9"/>
  <c r="L39" i="9" s="1"/>
  <c r="B24" i="13" s="1"/>
  <c r="C40" i="9"/>
  <c r="L40" i="9" s="1"/>
  <c r="B25" i="13" s="1"/>
  <c r="C31" i="9"/>
  <c r="C49" i="9"/>
  <c r="L49" i="9" s="1"/>
  <c r="B31" i="13" s="1"/>
  <c r="B50" i="12"/>
  <c r="B49" i="12"/>
  <c r="B48" i="12"/>
  <c r="M48" i="12" s="1"/>
  <c r="E30" i="13" s="1"/>
  <c r="B47" i="12"/>
  <c r="B41" i="12"/>
  <c r="M41" i="12" s="1"/>
  <c r="E26" i="13" s="1"/>
  <c r="B40" i="12"/>
  <c r="M40" i="12" s="1"/>
  <c r="B39" i="12"/>
  <c r="B38" i="12"/>
  <c r="B32" i="12"/>
  <c r="M32" i="12" s="1"/>
  <c r="E20" i="13" s="1"/>
  <c r="B31" i="12"/>
  <c r="B30" i="12"/>
  <c r="M30" i="12" s="1"/>
  <c r="E18" i="13" s="1"/>
  <c r="B29" i="12"/>
  <c r="B50" i="11"/>
  <c r="B49" i="11"/>
  <c r="B48" i="11"/>
  <c r="B47" i="11"/>
  <c r="M47" i="11" s="1"/>
  <c r="D29" i="13" s="1"/>
  <c r="B41" i="11"/>
  <c r="B40" i="11"/>
  <c r="B39" i="11"/>
  <c r="B38" i="11"/>
  <c r="B32" i="11"/>
  <c r="B31" i="11"/>
  <c r="B30" i="11"/>
  <c r="B29" i="11"/>
  <c r="B50" i="7"/>
  <c r="B49" i="7"/>
  <c r="B48" i="7"/>
  <c r="B47" i="7"/>
  <c r="B41" i="7"/>
  <c r="B40" i="7"/>
  <c r="B39" i="7"/>
  <c r="B38" i="7"/>
  <c r="B32" i="7"/>
  <c r="B31" i="7"/>
  <c r="B30" i="7"/>
  <c r="B29" i="7"/>
  <c r="F41" i="10"/>
  <c r="F47" i="10"/>
  <c r="F29" i="10"/>
  <c r="F48" i="10"/>
  <c r="F30" i="10"/>
  <c r="F50" i="10"/>
  <c r="F32" i="10"/>
  <c r="F38" i="10"/>
  <c r="F39" i="10"/>
  <c r="F40" i="10"/>
  <c r="F31" i="10"/>
  <c r="F49" i="10"/>
  <c r="K49" i="10" l="1"/>
  <c r="C31" i="13" s="1"/>
  <c r="L31" i="9"/>
  <c r="B19" i="13" s="1"/>
  <c r="L29" i="9"/>
  <c r="M31" i="8"/>
  <c r="M49" i="8"/>
  <c r="H8" i="13" a="1"/>
  <c r="H8" i="13" s="1"/>
  <c r="H9" i="13" a="1"/>
  <c r="H9" i="13" s="1"/>
  <c r="K48" i="10"/>
  <c r="C30" i="13" s="1"/>
  <c r="M38" i="12"/>
  <c r="E23" i="13" s="1"/>
  <c r="M39" i="12"/>
  <c r="E24" i="13" s="1"/>
  <c r="M29" i="12"/>
  <c r="E17" i="13" s="1"/>
  <c r="M47" i="12"/>
  <c r="E29" i="13" s="1"/>
  <c r="M31" i="12"/>
  <c r="E19" i="13" s="1"/>
  <c r="M49" i="12"/>
  <c r="E31" i="13" s="1"/>
  <c r="M29" i="11"/>
  <c r="D17" i="13" s="1"/>
  <c r="M32" i="11"/>
  <c r="D20" i="13" s="1"/>
  <c r="M40" i="11"/>
  <c r="D25" i="13" s="1"/>
  <c r="M39" i="11"/>
  <c r="D24" i="13" s="1"/>
  <c r="K50" i="10"/>
  <c r="C32" i="13" s="1"/>
  <c r="B17" i="13"/>
  <c r="M32" i="8"/>
  <c r="E20" i="2" s="1"/>
  <c r="E7" i="13"/>
  <c r="H7" i="13" s="1" a="1"/>
  <c r="H7" i="13" s="1"/>
  <c r="M39" i="8"/>
  <c r="E24" i="2" s="1"/>
  <c r="M50" i="8"/>
  <c r="E32" i="2" s="1"/>
  <c r="M38" i="8"/>
  <c r="E23" i="2" s="1"/>
  <c r="M40" i="8"/>
  <c r="E25" i="2" s="1"/>
  <c r="M38" i="7"/>
  <c r="D23" i="2" s="1"/>
  <c r="M39" i="7"/>
  <c r="D24" i="2" s="1"/>
  <c r="K41" i="6"/>
  <c r="C26" i="2" s="1"/>
  <c r="L47" i="9"/>
  <c r="B29" i="13" s="1"/>
  <c r="M41" i="11"/>
  <c r="D26" i="13" s="1"/>
  <c r="K31" i="10"/>
  <c r="C19" i="13" s="1"/>
  <c r="K40" i="10"/>
  <c r="C25" i="13" s="1"/>
  <c r="E6" i="13"/>
  <c r="H6" i="13" s="1" a="1"/>
  <c r="H6" i="13" s="1"/>
  <c r="E6" i="2"/>
  <c r="H6" i="2" s="1" a="1"/>
  <c r="H6" i="2" s="1"/>
  <c r="E10" i="2"/>
  <c r="H10" i="2" s="1" a="1"/>
  <c r="H10" i="2" s="1"/>
  <c r="E10" i="13"/>
  <c r="H10" i="13" s="1" a="1"/>
  <c r="H10" i="13" s="1"/>
  <c r="E26" i="2"/>
  <c r="M41" i="7"/>
  <c r="D26" i="2" s="1"/>
  <c r="M40" i="7"/>
  <c r="D25" i="2" s="1"/>
  <c r="K31" i="6"/>
  <c r="C19" i="2" s="1"/>
  <c r="K50" i="6"/>
  <c r="C32" i="2" s="1"/>
  <c r="M50" i="12"/>
  <c r="E32" i="13" s="1"/>
  <c r="M48" i="11"/>
  <c r="D30" i="13" s="1"/>
  <c r="M49" i="11"/>
  <c r="D31" i="13" s="1"/>
  <c r="M50" i="11"/>
  <c r="D32" i="13" s="1"/>
  <c r="M38" i="11"/>
  <c r="D23" i="13" s="1"/>
  <c r="M31" i="11"/>
  <c r="D19" i="13" s="1"/>
  <c r="M30" i="11"/>
  <c r="D18" i="13" s="1"/>
  <c r="H18" i="13" s="1" a="1"/>
  <c r="H18" i="13" s="1"/>
  <c r="E25" i="13"/>
  <c r="K47" i="10"/>
  <c r="C29" i="13" s="1"/>
  <c r="K38" i="10"/>
  <c r="C23" i="13" s="1"/>
  <c r="K41" i="10"/>
  <c r="C26" i="13" s="1"/>
  <c r="K39" i="10"/>
  <c r="C24" i="13" s="1"/>
  <c r="K29" i="10"/>
  <c r="C17" i="13" s="1"/>
  <c r="K32" i="10"/>
  <c r="C20" i="13" s="1"/>
  <c r="E29" i="2"/>
  <c r="E30" i="2"/>
  <c r="E31" i="2"/>
  <c r="E17" i="2"/>
  <c r="E18" i="2"/>
  <c r="H18" i="2" s="1" a="1"/>
  <c r="H18" i="2" s="1"/>
  <c r="E19" i="2"/>
  <c r="M29" i="7"/>
  <c r="D17" i="2" s="1"/>
  <c r="H17" i="2" s="1" a="1"/>
  <c r="H17" i="2" s="1"/>
  <c r="M30" i="7"/>
  <c r="D18" i="2" s="1"/>
  <c r="M31" i="7"/>
  <c r="D19" i="2" s="1"/>
  <c r="M32" i="7"/>
  <c r="D20" i="2" s="1"/>
  <c r="M47" i="7"/>
  <c r="D29" i="2" s="1"/>
  <c r="H29" i="2" s="1" a="1"/>
  <c r="H29" i="2" s="1"/>
  <c r="M48" i="7"/>
  <c r="D30" i="2" s="1"/>
  <c r="M49" i="7"/>
  <c r="D31" i="2" s="1"/>
  <c r="M50" i="7"/>
  <c r="D32" i="2" s="1"/>
  <c r="K38" i="6"/>
  <c r="C23" i="2" s="1"/>
  <c r="K32" i="6"/>
  <c r="C20" i="2" s="1"/>
  <c r="H31" i="13" l="1" a="1"/>
  <c r="H31" i="13" s="1"/>
  <c r="H30" i="13" a="1"/>
  <c r="H30" i="13" s="1"/>
  <c r="H31" i="2" a="1"/>
  <c r="H31" i="2" s="1"/>
  <c r="H23" i="2" a="1"/>
  <c r="H23" i="2" s="1"/>
  <c r="H19" i="13" a="1"/>
  <c r="H19" i="13" s="1"/>
  <c r="H26" i="13" a="1"/>
  <c r="H26" i="13" s="1"/>
  <c r="H24" i="13" a="1"/>
  <c r="H24" i="13" s="1"/>
  <c r="H20" i="13" a="1"/>
  <c r="H20" i="13" s="1"/>
  <c r="H23" i="13" a="1"/>
  <c r="H23" i="13" s="1"/>
  <c r="H32" i="13" a="1"/>
  <c r="H32" i="13" s="1"/>
  <c r="H29" i="13" a="1"/>
  <c r="H29" i="13" s="1"/>
  <c r="H25" i="13" a="1"/>
  <c r="H25" i="13" s="1"/>
  <c r="H25" i="2" a="1"/>
  <c r="H25" i="2" s="1"/>
  <c r="H24" i="2" a="1"/>
  <c r="H24" i="2" s="1"/>
  <c r="H26" i="2" a="1"/>
  <c r="H26" i="2" s="1"/>
  <c r="H30" i="2" a="1"/>
  <c r="H30" i="2" s="1"/>
  <c r="H32" i="2" a="1"/>
  <c r="H32" i="2" s="1"/>
  <c r="H19" i="2" a="1"/>
  <c r="H19" i="2" s="1"/>
  <c r="H20" i="2" a="1"/>
  <c r="H20" i="2" s="1"/>
  <c r="H17" i="13" a="1"/>
  <c r="H17" i="13" s="1"/>
  <c r="B16" i="3"/>
  <c r="E13" i="5"/>
  <c r="E48" i="5" s="1"/>
  <c r="F13" i="5"/>
  <c r="M51" i="5"/>
  <c r="G23" i="5"/>
  <c r="F23" i="5"/>
  <c r="E23" i="5"/>
  <c r="D23" i="5"/>
  <c r="G22" i="5"/>
  <c r="F22" i="5"/>
  <c r="E22" i="5"/>
  <c r="D22" i="5"/>
  <c r="F21" i="5"/>
  <c r="E21" i="5"/>
  <c r="G15" i="5"/>
  <c r="F15" i="5"/>
  <c r="E15" i="5"/>
  <c r="D15" i="5"/>
  <c r="G14" i="5"/>
  <c r="F14" i="5"/>
  <c r="E14" i="5"/>
  <c r="D14" i="5"/>
  <c r="F49" i="5"/>
  <c r="F12" i="5"/>
  <c r="F16" i="5" s="1"/>
  <c r="E12" i="5"/>
  <c r="E16" i="5" s="1"/>
  <c r="C11" i="5"/>
  <c r="C23" i="5" s="1"/>
  <c r="C10" i="5"/>
  <c r="C14" i="5" s="1"/>
  <c r="G9" i="5"/>
  <c r="G21" i="5" s="1"/>
  <c r="D9" i="5"/>
  <c r="D12" i="5" s="1"/>
  <c r="D16" i="5" s="1"/>
  <c r="C9" i="5"/>
  <c r="C13" i="5" s="1"/>
  <c r="C20" i="4"/>
  <c r="C19" i="4"/>
  <c r="O17" i="4"/>
  <c r="O18" i="4" s="1"/>
  <c r="N17" i="4"/>
  <c r="N18" i="4" s="1"/>
  <c r="J17" i="4"/>
  <c r="J18" i="4" s="1"/>
  <c r="G17" i="4"/>
  <c r="G18" i="4" s="1"/>
  <c r="F17" i="4"/>
  <c r="F18" i="4" s="1"/>
  <c r="P15" i="4"/>
  <c r="P17" i="4" s="1"/>
  <c r="P18" i="4" s="1"/>
  <c r="O15" i="4"/>
  <c r="N15" i="4"/>
  <c r="M15" i="4"/>
  <c r="M17" i="4" s="1"/>
  <c r="M18" i="4" s="1"/>
  <c r="L15" i="4"/>
  <c r="L17" i="4" s="1"/>
  <c r="L18" i="4" s="1"/>
  <c r="K15" i="4"/>
  <c r="K17" i="4" s="1"/>
  <c r="K18" i="4" s="1"/>
  <c r="J15" i="4"/>
  <c r="I15" i="4"/>
  <c r="I17" i="4" s="1"/>
  <c r="I18" i="4" s="1"/>
  <c r="H15" i="4"/>
  <c r="H17" i="4" s="1"/>
  <c r="H18" i="4" s="1"/>
  <c r="G15" i="4"/>
  <c r="F15" i="4"/>
  <c r="E15" i="4"/>
  <c r="E17" i="4" s="1"/>
  <c r="E18" i="4" s="1"/>
  <c r="Q14" i="4"/>
  <c r="Q15" i="4" s="1"/>
  <c r="Q17" i="4" s="1"/>
  <c r="Q18" i="4" s="1"/>
  <c r="C12" i="4"/>
  <c r="U8" i="4"/>
  <c r="J8" i="4"/>
  <c r="U7" i="4"/>
  <c r="J7" i="4"/>
  <c r="U6" i="4"/>
  <c r="J6" i="4"/>
  <c r="U4" i="4"/>
  <c r="J4" i="4"/>
  <c r="U3" i="4"/>
  <c r="J3" i="4"/>
  <c r="U2" i="4"/>
  <c r="J2" i="4"/>
  <c r="E24" i="3"/>
  <c r="F24" i="3"/>
  <c r="G24" i="3"/>
  <c r="H24" i="3"/>
  <c r="I24" i="3"/>
  <c r="J24" i="3"/>
  <c r="K24" i="3"/>
  <c r="E25" i="3"/>
  <c r="F25" i="3"/>
  <c r="G25" i="3"/>
  <c r="B25" i="3"/>
  <c r="D24" i="3"/>
  <c r="B24" i="3"/>
  <c r="E23" i="3"/>
  <c r="F23" i="3"/>
  <c r="G23" i="3"/>
  <c r="H23" i="3"/>
  <c r="I23" i="3"/>
  <c r="J23" i="3"/>
  <c r="K23" i="3"/>
  <c r="D23" i="3"/>
  <c r="B23" i="3"/>
  <c r="E22" i="3"/>
  <c r="F22" i="3"/>
  <c r="G22" i="3"/>
  <c r="H22" i="3"/>
  <c r="I22" i="3"/>
  <c r="J22" i="3"/>
  <c r="K22" i="3"/>
  <c r="D22" i="3"/>
  <c r="B22" i="3"/>
  <c r="E21" i="3"/>
  <c r="F21" i="3"/>
  <c r="G21" i="3"/>
  <c r="H21" i="3"/>
  <c r="I21" i="3"/>
  <c r="J21" i="3"/>
  <c r="K21" i="3"/>
  <c r="D21" i="3"/>
  <c r="B21" i="3"/>
  <c r="E20" i="3"/>
  <c r="F20" i="3"/>
  <c r="G20" i="3"/>
  <c r="H20" i="3"/>
  <c r="I20" i="3"/>
  <c r="J20" i="3"/>
  <c r="K20" i="3"/>
  <c r="D20" i="3"/>
  <c r="B20" i="3"/>
  <c r="E19" i="3"/>
  <c r="F19" i="3"/>
  <c r="G19" i="3"/>
  <c r="H19" i="3"/>
  <c r="I19" i="3"/>
  <c r="J19" i="3"/>
  <c r="K19" i="3"/>
  <c r="D19" i="3"/>
  <c r="B19" i="3"/>
  <c r="E18" i="3"/>
  <c r="F18" i="3"/>
  <c r="G18" i="3"/>
  <c r="H18" i="3"/>
  <c r="I18" i="3"/>
  <c r="J18" i="3"/>
  <c r="K18" i="3"/>
  <c r="D18" i="3"/>
  <c r="B18" i="3"/>
  <c r="E17" i="3"/>
  <c r="F17" i="3"/>
  <c r="G17" i="3"/>
  <c r="H17" i="3"/>
  <c r="I17" i="3"/>
  <c r="J17" i="3"/>
  <c r="K17" i="3"/>
  <c r="D17" i="3"/>
  <c r="B17" i="3"/>
  <c r="E16" i="3"/>
  <c r="F16" i="3"/>
  <c r="G16" i="3"/>
  <c r="H16" i="3"/>
  <c r="I16" i="3"/>
  <c r="J16" i="3"/>
  <c r="K16" i="3"/>
  <c r="D16" i="3"/>
  <c r="E15" i="3"/>
  <c r="F15" i="3"/>
  <c r="G15" i="3"/>
  <c r="H15" i="3"/>
  <c r="I15" i="3"/>
  <c r="J15" i="3"/>
  <c r="K15" i="3"/>
  <c r="D15" i="3"/>
  <c r="B15" i="3"/>
  <c r="E14" i="3"/>
  <c r="F14" i="3"/>
  <c r="G14" i="3"/>
  <c r="H14" i="3"/>
  <c r="I14" i="3"/>
  <c r="J14" i="3"/>
  <c r="K14" i="3"/>
  <c r="D14" i="3"/>
  <c r="E13" i="3"/>
  <c r="F13" i="3"/>
  <c r="G13" i="3"/>
  <c r="H13" i="3"/>
  <c r="I13" i="3"/>
  <c r="J13" i="3"/>
  <c r="K13" i="3"/>
  <c r="B14" i="3"/>
  <c r="D13" i="3"/>
  <c r="B13" i="3"/>
  <c r="E12" i="3"/>
  <c r="F12" i="3"/>
  <c r="G12" i="3"/>
  <c r="H12" i="3"/>
  <c r="I12" i="3"/>
  <c r="J12" i="3"/>
  <c r="K12" i="3"/>
  <c r="D12" i="3"/>
  <c r="E11" i="3"/>
  <c r="F11" i="3"/>
  <c r="G11" i="3"/>
  <c r="H11" i="3"/>
  <c r="I11" i="3"/>
  <c r="J11" i="3"/>
  <c r="K11" i="3"/>
  <c r="D11" i="3"/>
  <c r="B11" i="3"/>
  <c r="E7" i="3"/>
  <c r="F7" i="3"/>
  <c r="G7" i="3"/>
  <c r="H7" i="3"/>
  <c r="I7" i="3"/>
  <c r="J7" i="3"/>
  <c r="K7" i="3"/>
  <c r="D7" i="3"/>
  <c r="B7" i="3"/>
  <c r="E10" i="3"/>
  <c r="F10" i="3"/>
  <c r="G10" i="3"/>
  <c r="H10" i="3"/>
  <c r="I10" i="3"/>
  <c r="J10" i="3"/>
  <c r="K10" i="3"/>
  <c r="D10" i="3"/>
  <c r="B10" i="3"/>
  <c r="K9" i="3"/>
  <c r="E9" i="3"/>
  <c r="F9" i="3"/>
  <c r="G9" i="3"/>
  <c r="H9" i="3"/>
  <c r="I9" i="3"/>
  <c r="J9" i="3"/>
  <c r="D9" i="3"/>
  <c r="B9" i="3"/>
  <c r="E8" i="3"/>
  <c r="F8" i="3"/>
  <c r="G8" i="3"/>
  <c r="H8" i="3"/>
  <c r="I8" i="3"/>
  <c r="J8" i="3"/>
  <c r="K8" i="3"/>
  <c r="D8" i="3"/>
  <c r="B8" i="3"/>
  <c r="E6" i="3"/>
  <c r="F6" i="3"/>
  <c r="G6" i="3"/>
  <c r="H6" i="3"/>
  <c r="I6" i="3"/>
  <c r="J6" i="3"/>
  <c r="K6" i="3"/>
  <c r="D6" i="3"/>
  <c r="G13" i="5" l="1"/>
  <c r="D13" i="5"/>
  <c r="C12" i="5"/>
  <c r="C16" i="5" s="1"/>
  <c r="M23" i="5"/>
  <c r="B14" i="2" s="1"/>
  <c r="C15" i="5"/>
  <c r="M15" i="5" s="1"/>
  <c r="D21" i="5"/>
  <c r="C22" i="5"/>
  <c r="M22" i="5" s="1"/>
  <c r="B13" i="2" s="1"/>
  <c r="C21" i="5"/>
  <c r="M14" i="5"/>
  <c r="E29" i="5"/>
  <c r="F29" i="5"/>
  <c r="E39" i="5"/>
  <c r="F40" i="5"/>
  <c r="G12" i="5"/>
  <c r="G16" i="5" s="1"/>
  <c r="E40" i="5"/>
  <c r="E38" i="5"/>
  <c r="F39" i="5"/>
  <c r="F30" i="5"/>
  <c r="E47" i="5"/>
  <c r="F47" i="5"/>
  <c r="M13" i="5"/>
  <c r="E32" i="5"/>
  <c r="F38" i="5"/>
  <c r="E50" i="5"/>
  <c r="F48" i="5"/>
  <c r="E41" i="5"/>
  <c r="F41" i="5"/>
  <c r="E31" i="5"/>
  <c r="F32" i="5"/>
  <c r="E49" i="5"/>
  <c r="F50" i="5"/>
  <c r="E30" i="5"/>
  <c r="F31" i="5"/>
  <c r="M21" i="5" l="1"/>
  <c r="B12" i="2" s="1"/>
  <c r="M16" i="5"/>
  <c r="M12" i="5"/>
  <c r="G50" i="5"/>
  <c r="G32" i="5"/>
  <c r="G38" i="5"/>
  <c r="G39" i="5"/>
  <c r="G40" i="5"/>
  <c r="G47" i="5"/>
  <c r="G29" i="5"/>
  <c r="G30" i="5"/>
  <c r="G41" i="5"/>
  <c r="G48" i="5"/>
  <c r="G31" i="5"/>
  <c r="G49" i="5"/>
  <c r="C40" i="5"/>
  <c r="C41" i="5"/>
  <c r="C32" i="5"/>
  <c r="C38" i="5"/>
  <c r="C47" i="5"/>
  <c r="C29" i="5"/>
  <c r="C48" i="5"/>
  <c r="C30" i="5"/>
  <c r="C49" i="5"/>
  <c r="C31" i="5"/>
  <c r="C50" i="5"/>
  <c r="C39" i="5"/>
  <c r="D41" i="5"/>
  <c r="D47" i="5"/>
  <c r="D29" i="5"/>
  <c r="D48" i="5"/>
  <c r="D30" i="5"/>
  <c r="D49" i="5"/>
  <c r="D31" i="5"/>
  <c r="D38" i="5"/>
  <c r="D39" i="5"/>
  <c r="D40" i="5"/>
  <c r="D50" i="5"/>
  <c r="D32" i="5"/>
  <c r="M41" i="5" l="1"/>
  <c r="M38" i="5"/>
  <c r="M49" i="5"/>
  <c r="M30" i="5"/>
  <c r="M40" i="5"/>
  <c r="M50" i="5"/>
  <c r="M39" i="5"/>
  <c r="M29" i="5"/>
  <c r="M48" i="5"/>
  <c r="M47" i="5"/>
  <c r="M32" i="5"/>
  <c r="M31" i="5"/>
  <c r="J48" i="1"/>
  <c r="K25" i="3" s="1"/>
  <c r="I48" i="1"/>
  <c r="J25" i="3" s="1"/>
  <c r="H48" i="1"/>
  <c r="I25" i="3" s="1"/>
  <c r="G48" i="1"/>
  <c r="H25" i="3" s="1"/>
  <c r="C48" i="1"/>
  <c r="D2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tc={1DD8C182-875F-427B-8DDB-FAA3494426D9}</author>
  </authors>
  <commentList>
    <comment ref="F32" authorId="0" shapeId="0" xr:uid="{1DD8C182-875F-427B-8DDB-FAA3494426D9}">
      <text>
        <t>[Threaded comment]
Your version of Excel allows you to read this threaded comment; however, any edits to it will get removed if the file is opened in a newer version of Excel. Learn more: https://go.microsoft.com/fwlink/?linkid=870924
Comment:
    ML became 2nd instead</t>
      </text>
    </comment>
  </commentList>
</comments>
</file>

<file path=xl/sharedStrings.xml><?xml version="1.0" encoding="utf-8"?>
<sst xmlns="http://schemas.openxmlformats.org/spreadsheetml/2006/main" count="1704" uniqueCount="473">
  <si>
    <t>Limited Pay Whole Life Product Comparison</t>
  </si>
  <si>
    <t xml:space="preserve">1. This insurance product comparsion has been produced by Propel Product Management on behalf of PIAS, and is solely meant for FA Representatives of PIAS as a quick reference and not meant to be reproduced in any manner.
2. The product comparison encompasses only relevant approved products by PIAS only.  It is an overview of similar product category based on prescribed age and for standard lives.
3. The information is obtained from the latest policy illustrations and product information provided by the relevant life insurance product providers. PIAS and Propel shall not be liable for any damages, or in any other way whatsoever, for errors of fact on the placemat and no warranty or representation is given to this effect.  In the event of any discrepancy, the insurance product provider’s authorized documents shall apply.
4. This product comparison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
</t>
  </si>
  <si>
    <r>
      <t xml:space="preserve">5. This information is from all providers of PIAS and is accurate as of </t>
    </r>
    <r>
      <rPr>
        <b/>
        <sz val="7"/>
        <color rgb="FF0000CC"/>
        <rFont val="Aptos Narrow"/>
        <family val="2"/>
        <scheme val="minor"/>
      </rPr>
      <t>24 January 2025</t>
    </r>
  </si>
  <si>
    <t>Features Overview</t>
  </si>
  <si>
    <t>Plan Name</t>
  </si>
  <si>
    <r>
      <t xml:space="preserve">5. This information is from all providers of PIAS and is accurate as of </t>
    </r>
    <r>
      <rPr>
        <b/>
        <sz val="7"/>
        <color rgb="FF0000CC"/>
        <rFont val="Aptos Narrow"/>
        <family val="2"/>
        <scheme val="minor"/>
      </rPr>
      <t>03 January 2025</t>
    </r>
  </si>
  <si>
    <t>Profile</t>
  </si>
  <si>
    <t>Age 1 (next birthday) Overview</t>
  </si>
  <si>
    <r>
      <rPr>
        <b/>
        <sz val="11"/>
        <color theme="1"/>
        <rFont val="Aptos Narrow"/>
        <family val="2"/>
        <scheme val="minor"/>
      </rPr>
      <t xml:space="preserve">Sum Assured: </t>
    </r>
    <r>
      <rPr>
        <sz val="11"/>
        <color theme="1"/>
        <rFont val="Aptos Narrow"/>
        <family val="2"/>
        <scheme val="minor"/>
      </rPr>
      <t xml:space="preserve">100K for death, 50k for ECI, 50k for CI
</t>
    </r>
    <r>
      <rPr>
        <b/>
        <sz val="11"/>
        <color theme="1"/>
        <rFont val="Aptos Narrow"/>
        <family val="2"/>
        <scheme val="minor"/>
      </rPr>
      <t xml:space="preserve">Multiplier or Equivalent: </t>
    </r>
    <r>
      <rPr>
        <sz val="11"/>
        <color theme="1"/>
        <rFont val="Aptos Narrow"/>
        <family val="2"/>
        <scheme val="minor"/>
      </rPr>
      <t xml:space="preserve">3X
</t>
    </r>
    <r>
      <rPr>
        <b/>
        <sz val="11"/>
        <color theme="1"/>
        <rFont val="Aptos Narrow"/>
        <family val="2"/>
        <scheme val="minor"/>
      </rPr>
      <t>Multiplier expiry age:</t>
    </r>
    <r>
      <rPr>
        <sz val="11"/>
        <color theme="1"/>
        <rFont val="Aptos Narrow"/>
        <family val="2"/>
        <scheme val="minor"/>
      </rPr>
      <t xml:space="preserve"> </t>
    </r>
    <r>
      <rPr>
        <sz val="11"/>
        <color rgb="FFFF0000"/>
        <rFont val="Aptos Narrow"/>
        <family val="2"/>
        <scheme val="minor"/>
      </rPr>
      <t>75 &amp; below</t>
    </r>
    <r>
      <rPr>
        <sz val="11"/>
        <color theme="1"/>
        <rFont val="Aptos Narrow"/>
        <family val="2"/>
        <scheme val="minor"/>
      </rPr>
      <t xml:space="preserve">
</t>
    </r>
    <r>
      <rPr>
        <b/>
        <sz val="11"/>
        <color theme="1"/>
        <rFont val="Aptos Narrow"/>
        <family val="2"/>
        <scheme val="minor"/>
      </rPr>
      <t xml:space="preserve">Premium Payment Term: </t>
    </r>
    <r>
      <rPr>
        <sz val="11"/>
        <color theme="1"/>
        <rFont val="Aptos Narrow"/>
        <family val="2"/>
        <scheme val="minor"/>
      </rPr>
      <t>20 years premium payment term</t>
    </r>
  </si>
  <si>
    <r>
      <rPr>
        <b/>
        <sz val="11"/>
        <color theme="1"/>
        <rFont val="Aptos Narrow"/>
        <family val="2"/>
        <scheme val="minor"/>
      </rPr>
      <t xml:space="preserve">Sum Assured: </t>
    </r>
    <r>
      <rPr>
        <sz val="11"/>
        <color theme="1"/>
        <rFont val="Aptos Narrow"/>
        <family val="2"/>
        <scheme val="minor"/>
      </rPr>
      <t xml:space="preserve">100K for death, 50k for ECI, 50k for CI
</t>
    </r>
    <r>
      <rPr>
        <b/>
        <sz val="11"/>
        <color theme="1"/>
        <rFont val="Aptos Narrow"/>
        <family val="2"/>
        <scheme val="minor"/>
      </rPr>
      <t xml:space="preserve">Multiplier or Equivalent: </t>
    </r>
    <r>
      <rPr>
        <sz val="11"/>
        <color theme="1"/>
        <rFont val="Aptos Narrow"/>
        <family val="2"/>
        <scheme val="minor"/>
      </rPr>
      <t xml:space="preserve">3X
</t>
    </r>
    <r>
      <rPr>
        <b/>
        <sz val="11"/>
        <color theme="1"/>
        <rFont val="Aptos Narrow"/>
        <family val="2"/>
        <scheme val="minor"/>
      </rPr>
      <t>Multiplier expiry age:</t>
    </r>
    <r>
      <rPr>
        <sz val="11"/>
        <color theme="1"/>
        <rFont val="Aptos Narrow"/>
        <family val="2"/>
        <scheme val="minor"/>
      </rPr>
      <t xml:space="preserve"> </t>
    </r>
    <r>
      <rPr>
        <sz val="11"/>
        <color rgb="FFFF0000"/>
        <rFont val="Aptos Narrow"/>
        <family val="2"/>
        <scheme val="minor"/>
      </rPr>
      <t>80 &amp; above</t>
    </r>
    <r>
      <rPr>
        <sz val="11"/>
        <color theme="1"/>
        <rFont val="Aptos Narrow"/>
        <family val="2"/>
        <scheme val="minor"/>
      </rPr>
      <t xml:space="preserve">
</t>
    </r>
    <r>
      <rPr>
        <b/>
        <sz val="11"/>
        <color theme="1"/>
        <rFont val="Aptos Narrow"/>
        <family val="2"/>
        <scheme val="minor"/>
      </rPr>
      <t xml:space="preserve">Premium Payment Term: </t>
    </r>
    <r>
      <rPr>
        <sz val="11"/>
        <color theme="1"/>
        <rFont val="Aptos Narrow"/>
        <family val="2"/>
        <scheme val="minor"/>
      </rPr>
      <t>20 years premium payment term</t>
    </r>
  </si>
  <si>
    <t>Male</t>
  </si>
  <si>
    <t>Female</t>
  </si>
  <si>
    <t>Premiums</t>
  </si>
  <si>
    <t>Lowest annual premium (Basic + ECI + CI)</t>
  </si>
  <si>
    <t>Lowest basic premium</t>
  </si>
  <si>
    <t>Lowest ECI rider premium</t>
  </si>
  <si>
    <t>Lowest CI rider premium</t>
  </si>
  <si>
    <r>
      <t xml:space="preserve">Lowest premium payable 
</t>
    </r>
    <r>
      <rPr>
        <sz val="11"/>
        <color theme="1"/>
        <rFont val="Aptos Narrow"/>
        <family val="2"/>
        <scheme val="minor"/>
      </rPr>
      <t>over premium payment term</t>
    </r>
  </si>
  <si>
    <t>Coverage @ Inception (Sum Assured)</t>
  </si>
  <si>
    <t>Best value for Death Benefit</t>
  </si>
  <si>
    <t>Best value for ECI</t>
  </si>
  <si>
    <t>Best value for CI</t>
  </si>
  <si>
    <t>Coverage @ Policy Year 65 / ANB 66 / ALB 65</t>
  </si>
  <si>
    <t>Plans with ongoing multiplier benefit: All</t>
  </si>
  <si>
    <r>
      <t xml:space="preserve">Guaranteed Death Benefit
</t>
    </r>
    <r>
      <rPr>
        <sz val="11"/>
        <color theme="1"/>
        <rFont val="Aptos Narrow"/>
        <family val="2"/>
        <scheme val="minor"/>
      </rPr>
      <t>over total basic premium paid</t>
    </r>
  </si>
  <si>
    <r>
      <t xml:space="preserve">Total Death Benefit
</t>
    </r>
    <r>
      <rPr>
        <sz val="11"/>
        <color theme="1"/>
        <rFont val="Aptos Narrow"/>
        <family val="2"/>
        <scheme val="minor"/>
      </rPr>
      <t>over total basic premium paid</t>
    </r>
  </si>
  <si>
    <r>
      <t xml:space="preserve">Guaranteed Surrender Value
</t>
    </r>
    <r>
      <rPr>
        <sz val="11"/>
        <color theme="1"/>
        <rFont val="Aptos Narrow"/>
        <family val="2"/>
        <scheme val="minor"/>
      </rPr>
      <t>over total basic premium paid</t>
    </r>
  </si>
  <si>
    <r>
      <t xml:space="preserve">Total Surrender Value
</t>
    </r>
    <r>
      <rPr>
        <sz val="11"/>
        <color theme="1"/>
        <rFont val="Aptos Narrow"/>
        <family val="2"/>
        <scheme val="minor"/>
      </rPr>
      <t>over total basic premium paid</t>
    </r>
  </si>
  <si>
    <t>Coverage @ Policy Year 80 / ANB 81 / ALB 80</t>
  </si>
  <si>
    <t>Coverage @ Policy Year 85 / ANB 86 / ALB 85</t>
  </si>
  <si>
    <t>Plans with ongoing multiplier benefit:Singlife Whole Life Choice, China Taiping i-Secure Legacy (II), Etiqa Essential lifetime secure</t>
  </si>
  <si>
    <t>Coverage @ Policy Year 90 / ANB 91 / ALB 90</t>
  </si>
  <si>
    <t>Plans with ongoing multiplier benefit: China Taiping i-Secure Legacy (II), Etiqa Essential lifetime secure</t>
  </si>
  <si>
    <t>Total Illustrated Yield at age 65 (Based on 4.25% IRR)</t>
  </si>
  <si>
    <t>Detailed value comparison</t>
  </si>
  <si>
    <t>1MNS (Exp. Age &lt;= 75)</t>
  </si>
  <si>
    <t>1FNS (Exp. Age &lt;= 75)</t>
  </si>
  <si>
    <t>1MNS (Exp. Age &gt;= 80)</t>
  </si>
  <si>
    <t>1FNS (Exp. Age &gt;= 80)</t>
  </si>
  <si>
    <t>Age 30 (next birthday) Overview</t>
  </si>
  <si>
    <t>Coverage @ Policy Year 50 / ANB 80 / ALB 79 | ALB 80 for Manulife</t>
  </si>
  <si>
    <t>Coverage @ Policy Year 55 / ANB 85 / ALB 84 | Policy Year 56 ALB 85 for Manulife ANB 86 for China Taiping</t>
  </si>
  <si>
    <t>Coverage @ Policy Year 60 / ANB 90 / ALB 89 | ANB 91 for China Taiping / ALB 90 Manulife</t>
  </si>
  <si>
    <t>Total Illustrated Yield at age 70 (Based on 4.25% IRR)</t>
  </si>
  <si>
    <t>30MNS (Exp. Age &lt;= 75)</t>
  </si>
  <si>
    <t>30FNS (Exp. Age &lt;= 75)</t>
  </si>
  <si>
    <t>30MNS (Exp. Age &gt;= 80)</t>
  </si>
  <si>
    <t>30FNS (Exp. Age &gt;= 80)</t>
  </si>
  <si>
    <t>Summary</t>
  </si>
  <si>
    <t>Provider</t>
  </si>
  <si>
    <t>Plan</t>
  </si>
  <si>
    <t>Feature - Main plan</t>
  </si>
  <si>
    <t>Feature - Riders</t>
  </si>
  <si>
    <r>
      <t>Value (</t>
    </r>
    <r>
      <rPr>
        <b/>
        <sz val="9"/>
        <color rgb="FF0000CC"/>
        <rFont val="Aptos Narrow"/>
        <family val="2"/>
        <scheme val="minor"/>
      </rPr>
      <t>Competitive</t>
    </r>
    <r>
      <rPr>
        <b/>
        <sz val="9"/>
        <rFont val="Aptos Narrow"/>
        <family val="2"/>
        <scheme val="minor"/>
      </rPr>
      <t>)</t>
    </r>
  </si>
  <si>
    <t>Singlife</t>
  </si>
  <si>
    <t>Whole Life Choice</t>
  </si>
  <si>
    <t xml:space="preserve">- Protection against death and terminal illness 
-Base Cover provides lifelong coverage 
- Additional Cover options: 100%, 200%, 300%, or 400% of Base Cover 
- Additional Cover reduces by 12.5% annually over 8 years after a certain age 
- Flexible Additional Cover Age options: Up to 65, 70, 75, 80, or 85 ANB 
- Premium payment terms: 10, 15, 20, 25 years, or up to 65 ANB 
- Life Stage Withdrawal Benefit for key life events 
- Income Payout Option starting from age 65 ANB or end of premium payment term 
- Guaranteed Extra Protection Option for key life events, up to 2 times per life 
- Retrenchment Benefit waives premiums for 12 months 
- Participates in Singlife Ltd’s Participating Fund for non-guaranteed bonuses 
- Full underwriting required </t>
  </si>
  <si>
    <r>
      <rPr>
        <b/>
        <sz val="9"/>
        <rFont val="Aptos Narrow"/>
        <family val="2"/>
        <scheme val="minor"/>
      </rPr>
      <t>- Total and Permanent Disability Advance Cover V:</t>
    </r>
    <r>
      <rPr>
        <sz val="9"/>
        <rFont val="Aptos Narrow"/>
        <family val="2"/>
        <scheme val="minor"/>
      </rPr>
      <t xml:space="preserve"> Accelerates Death Benefit upon total and permanent disability
</t>
    </r>
    <r>
      <rPr>
        <b/>
        <sz val="9"/>
        <rFont val="Aptos Narrow"/>
        <family val="2"/>
        <scheme val="minor"/>
      </rPr>
      <t>- Critical Illness Advance Cover VI:</t>
    </r>
    <r>
      <rPr>
        <sz val="9"/>
        <rFont val="Aptos Narrow"/>
        <family val="2"/>
        <scheme val="minor"/>
      </rPr>
      <t xml:space="preserve"> Accelerates Death Benefit upon diagnosis of severe stage critical illnesses
</t>
    </r>
    <r>
      <rPr>
        <b/>
        <sz val="9"/>
        <rFont val="Aptos Narrow"/>
        <family val="2"/>
        <scheme val="minor"/>
      </rPr>
      <t xml:space="preserve">- Early Critical Illness Advance Cover VI: </t>
    </r>
    <r>
      <rPr>
        <sz val="9"/>
        <rFont val="Aptos Narrow"/>
        <family val="2"/>
        <scheme val="minor"/>
      </rPr>
      <t xml:space="preserve">Accelerates Death Benefit upon diagnosis of early, intermediate, severe stage critical illnesses; includes Intensive Care Benefit, Benign and Borderline Malignant Tumour Benefit, Special Benefit; whole life coverage; up to 2 early/intermediate stage CI claims from different CI Groups; premiums waived upon first admitted early/intermediate stage CI claim; </t>
    </r>
    <r>
      <rPr>
        <b/>
        <sz val="9"/>
        <rFont val="Aptos Narrow"/>
        <family val="2"/>
        <scheme val="minor"/>
      </rPr>
      <t xml:space="preserve">
- Early Critical Illness Premium Waiver: </t>
    </r>
    <r>
      <rPr>
        <sz val="9"/>
        <rFont val="Aptos Narrow"/>
        <family val="2"/>
        <scheme val="minor"/>
      </rPr>
      <t xml:space="preserve">Waives future premiums upon diagnosis of early, intermediate, severe stage critical illnesses
</t>
    </r>
    <r>
      <rPr>
        <b/>
        <sz val="9"/>
        <rFont val="Aptos Narrow"/>
        <family val="2"/>
        <scheme val="minor"/>
      </rPr>
      <t>- Critical Illness Premium Waiver II:</t>
    </r>
    <r>
      <rPr>
        <sz val="9"/>
        <rFont val="Aptos Narrow"/>
        <family val="2"/>
        <scheme val="minor"/>
      </rPr>
      <t xml:space="preserve"> Waives future premiums upon diagnosis of severe stage critical illnesses; covers 35 severe stage critical illness conditions; 
</t>
    </r>
    <r>
      <rPr>
        <b/>
        <sz val="9"/>
        <rFont val="Aptos Narrow"/>
        <family val="2"/>
        <scheme val="minor"/>
      </rPr>
      <t xml:space="preserve">- Payer Critical Illness Premium Waiver II: </t>
    </r>
    <r>
      <rPr>
        <sz val="9"/>
        <rFont val="Aptos Narrow"/>
        <family val="2"/>
        <scheme val="minor"/>
      </rPr>
      <t xml:space="preserve">Waives future premiums upon diagnosis of severe stage critical illnesses on the Assured
</t>
    </r>
    <r>
      <rPr>
        <b/>
        <sz val="9"/>
        <rFont val="Aptos Narrow"/>
        <family val="2"/>
        <scheme val="minor"/>
      </rPr>
      <t xml:space="preserve">- Payer Premium Waiver Benefit: </t>
    </r>
    <r>
      <rPr>
        <sz val="9"/>
        <rFont val="Aptos Narrow"/>
        <family val="2"/>
        <scheme val="minor"/>
      </rPr>
      <t>Waives future premiums upon death, diagnosis of terminal illness, total and permanent disability of the Assured;</t>
    </r>
  </si>
  <si>
    <r>
      <rPr>
        <b/>
        <u/>
        <sz val="9"/>
        <rFont val="Aptos Narrow"/>
        <family val="2"/>
        <scheme val="minor"/>
      </rPr>
      <t>ALB 0/ ANB 1</t>
    </r>
    <r>
      <rPr>
        <sz val="9"/>
        <rFont val="Aptos Narrow"/>
        <family val="2"/>
        <scheme val="minor"/>
      </rPr>
      <t xml:space="preserve">
- Competitve Total Death Benefit over total basic premium paid @ Policy Year 65 / ANB 66 / ALB 65
- Competitive Guaranteed Surrender Value over total basic premium paid
</t>
    </r>
    <r>
      <rPr>
        <b/>
        <u/>
        <sz val="9"/>
        <rFont val="Aptos Narrow"/>
        <family val="2"/>
        <scheme val="minor"/>
      </rPr>
      <t xml:space="preserve">ALB29/ ANB 30
</t>
    </r>
    <r>
      <rPr>
        <sz val="9"/>
        <color rgb="FF0000CC"/>
        <rFont val="Aptos Narrow"/>
        <family val="2"/>
        <scheme val="minor"/>
      </rPr>
      <t xml:space="preserve">- </t>
    </r>
    <r>
      <rPr>
        <sz val="9"/>
        <rFont val="Aptos Narrow"/>
        <family val="2"/>
        <scheme val="minor"/>
      </rPr>
      <t>Best Guaranteed Surrender Value over total basic premium paid
- Competitve Total Death Benefit over total basic premium paid @ Policy Year 65 / ANB 66 / ALB 65</t>
    </r>
  </si>
  <si>
    <t>China Life</t>
  </si>
  <si>
    <t>Whole Life Guardian Series 2</t>
  </si>
  <si>
    <t>- Coverage against death, terminal illness, and total and permanent disability.
- Basic Guaranteed Benefit (GB) based on basic sum assured.
- Provides non-guaranteed Reversionary Bonus (RB) and Terminal Bonus (TB).
- Premium payment terms: 5, 10, 15, 20, or 25 years.
- Full underwriting required.
- Participates in China Life Insurance (Singapore) Pte Ltd's Participating Fund for non-guaranteed bonuses.
- Policy term: Whole life till the life insured is age 100.</t>
  </si>
  <si>
    <t>N.A.</t>
  </si>
  <si>
    <t>-</t>
  </si>
  <si>
    <t>Multiplier Guardian</t>
  </si>
  <si>
    <t>- Coverage against death, terminal illness, and total and permanent disability.
- Basic Guaranteed Benefit (GB) based on basic sum assured multiplied by GB Factor.
- GB Factor options: 1x, 2x, 3x, or 4x.
- GB Age Option: Policy anniversary at age 88.
- Includes compulsory Total and Permanent Disability (TPD) Rider.
- Participates in China Life Insurance (Singapore) Pte Ltd's Participating Fund for non-guaranteed bonuses.
- Death/TI/TPD Benefit based on higher of two amounts.
- Premium payment terms: 5, 10, 15, or 20 years.
- Full underwriting required.</t>
  </si>
  <si>
    <r>
      <t>-</t>
    </r>
    <r>
      <rPr>
        <b/>
        <sz val="9"/>
        <rFont val="Aptos Narrow"/>
        <family val="2"/>
        <scheme val="minor"/>
      </rPr>
      <t xml:space="preserve"> Payer Premium Waiver Benefit:</t>
    </r>
    <r>
      <rPr>
        <sz val="9"/>
        <rFont val="Aptos Narrow"/>
        <family val="2"/>
        <scheme val="minor"/>
      </rPr>
      <t xml:space="preserve"> Waives future premiums upon death, diagnosis of terminal illness, total and permanent disability of the Assured.
-</t>
    </r>
    <r>
      <rPr>
        <b/>
        <sz val="9"/>
        <rFont val="Aptos Narrow"/>
        <family val="2"/>
        <scheme val="minor"/>
      </rPr>
      <t xml:space="preserve"> Enhanced Payer Premium Waiver Benefit:</t>
    </r>
    <r>
      <rPr>
        <sz val="9"/>
        <rFont val="Aptos Narrow"/>
        <family val="2"/>
        <scheme val="minor"/>
      </rPr>
      <t xml:space="preserve"> Waives future premiums upon death, diagnosis of terminal illness, total and permanent disability, or critical illness of the Assured.</t>
    </r>
  </si>
  <si>
    <t>Multiplier Guardian Plus</t>
  </si>
  <si>
    <t>- Coverage against death, terminal illness, and total and permanent disability.
- Basic Guaranteed Benefit (GB) based on basic sum assured multiplied by GB Factor.
- GB Factor options: 1x, 2x, 3x, or 4x.
- GB Age Option: Policy anniversary at age 88.
- Includes compulsory Total and Permanent Disability (TPD) Rider.
- Participates in China Life Insurance (Singapore) Pte Ltd's Participating Fund for non-guaranteed bonuses.
- Death/TI/TPD Benefit based on higher of two amounts.
- Premium payment terms: 5, 10, 15, or 20 years.
- Full underwriting required.
- Additional critical illness (CI) benefits covering 38 critical illnesses.</t>
  </si>
  <si>
    <t>China Taiping</t>
  </si>
  <si>
    <t>i-Secure Legacy (II)</t>
  </si>
  <si>
    <t xml:space="preserve">- Coverage against death, terminal illness, and total and permanent disability 
- Basic Guaranteed Benefit (GB) based on basic sum assured multiplied by GB Factor 
- GB Factor options: 2X, 3X, 4X, or 5X 
- GB Age Option: Policy anniversary at age 76 or 86 ANB 
- GB reduces by 10% each policy year for 5 years after age 76 or 86 ANB 
- Includes compulsory Total and Permanent Disability (TPD) Rider 
- Participates in China Taiping’s Participating Fund for non-guaranteed bonuses 
- Death/TI/TPD Benefit based on higher of two amounts 
- Premium payment terms: 5, 10, 15, 20, or 25 years 
- Full underwriting required </t>
  </si>
  <si>
    <r>
      <t>-</t>
    </r>
    <r>
      <rPr>
        <b/>
        <sz val="9"/>
        <rFont val="Aptos Narrow"/>
        <family val="2"/>
        <scheme val="minor"/>
      </rPr>
      <t xml:space="preserve"> EarlyCare Rider: </t>
    </r>
    <r>
      <rPr>
        <sz val="9"/>
        <rFont val="Aptos Narrow"/>
        <family val="2"/>
        <scheme val="minor"/>
      </rPr>
      <t xml:space="preserve">Covers early, intermediate and advanced stages of 55 critical illnesses; covers special and juvenile conditions; 
- </t>
    </r>
    <r>
      <rPr>
        <b/>
        <sz val="9"/>
        <rFont val="Aptos Narrow"/>
        <family val="2"/>
        <scheme val="minor"/>
      </rPr>
      <t>AdvancedCare Rider:</t>
    </r>
    <r>
      <rPr>
        <sz val="9"/>
        <rFont val="Aptos Narrow"/>
        <family val="2"/>
        <scheme val="minor"/>
      </rPr>
      <t xml:space="preserve"> Covers 55 advanced stage critical illnesses; 
- </t>
    </r>
    <r>
      <rPr>
        <b/>
        <sz val="9"/>
        <rFont val="Aptos Narrow"/>
        <family val="2"/>
        <scheme val="minor"/>
      </rPr>
      <t>Early Spouse Rider:</t>
    </r>
    <r>
      <rPr>
        <sz val="9"/>
        <rFont val="Aptos Narrow"/>
        <family val="2"/>
        <scheme val="minor"/>
      </rPr>
      <t xml:space="preserve"> Waives premiums upon spouse's death/TPD/TI/covered critical illness.
-</t>
    </r>
    <r>
      <rPr>
        <b/>
        <sz val="9"/>
        <rFont val="Aptos Narrow"/>
        <family val="2"/>
        <scheme val="minor"/>
      </rPr>
      <t xml:space="preserve"> Enhanced Waiver Rider</t>
    </r>
    <r>
      <rPr>
        <sz val="9"/>
        <rFont val="Aptos Narrow"/>
        <family val="2"/>
        <scheme val="minor"/>
      </rPr>
      <t>: Waives premiums if life insured is diagnosed with advanced stage critical illness; 
-</t>
    </r>
    <r>
      <rPr>
        <b/>
        <sz val="9"/>
        <rFont val="Aptos Narrow"/>
        <family val="2"/>
        <scheme val="minor"/>
      </rPr>
      <t xml:space="preserve"> Enhanced Payer Rider:</t>
    </r>
    <r>
      <rPr>
        <sz val="9"/>
        <rFont val="Aptos Narrow"/>
        <family val="2"/>
        <scheme val="minor"/>
      </rPr>
      <t xml:space="preserve"> Waives premiums upon policy owner's death/TPD/TI/advanced stage critical illness; 
-</t>
    </r>
    <r>
      <rPr>
        <b/>
        <sz val="9"/>
        <rFont val="Aptos Narrow"/>
        <family val="2"/>
        <scheme val="minor"/>
      </rPr>
      <t xml:space="preserve"> Payer Rider:</t>
    </r>
    <r>
      <rPr>
        <sz val="9"/>
        <rFont val="Aptos Narrow"/>
        <family val="2"/>
        <scheme val="minor"/>
      </rPr>
      <t xml:space="preserve"> Waives premiums upon policy owner's death/TPD/TI
- </t>
    </r>
    <r>
      <rPr>
        <b/>
        <sz val="9"/>
        <rFont val="Aptos Narrow"/>
        <family val="2"/>
        <scheme val="minor"/>
      </rPr>
      <t>Spouse Rider:</t>
    </r>
    <r>
      <rPr>
        <sz val="9"/>
        <rFont val="Aptos Narrow"/>
        <family val="2"/>
        <scheme val="minor"/>
      </rPr>
      <t xml:space="preserve"> Waives premiums upon spouse's death/TPD/TI 
- </t>
    </r>
    <r>
      <rPr>
        <b/>
        <sz val="9"/>
        <rFont val="Aptos Narrow"/>
        <family val="2"/>
        <scheme val="minor"/>
      </rPr>
      <t>Early Waiver Rider:</t>
    </r>
    <r>
      <rPr>
        <sz val="9"/>
        <rFont val="Aptos Narrow"/>
        <family val="2"/>
        <scheme val="minor"/>
      </rPr>
      <t xml:space="preserve"> Waives premiums if life insured is diagnosed with any covered critical illness; 
- </t>
    </r>
    <r>
      <rPr>
        <b/>
        <sz val="9"/>
        <rFont val="Aptos Narrow"/>
        <family val="2"/>
        <scheme val="minor"/>
      </rPr>
      <t>Early Payer Rider:</t>
    </r>
    <r>
      <rPr>
        <sz val="9"/>
        <rFont val="Aptos Narrow"/>
        <family val="2"/>
        <scheme val="minor"/>
      </rPr>
      <t xml:space="preserve"> Waives premiums upon policy owner's death/TPD/TI/covered critical illness; . 
- </t>
    </r>
    <r>
      <rPr>
        <b/>
        <sz val="9"/>
        <rFont val="Aptos Narrow"/>
        <family val="2"/>
        <scheme val="minor"/>
      </rPr>
      <t>Enhanced Spouse Rider:</t>
    </r>
    <r>
      <rPr>
        <sz val="9"/>
        <rFont val="Aptos Narrow"/>
        <family val="2"/>
        <scheme val="minor"/>
      </rPr>
      <t xml:space="preserve"> Waives premiums upon spouse's death/TPD/TI/advanced stage critical illness;
</t>
    </r>
  </si>
  <si>
    <r>
      <rPr>
        <b/>
        <u/>
        <sz val="9"/>
        <rFont val="Aptos Narrow"/>
        <family val="2"/>
        <scheme val="minor"/>
      </rPr>
      <t>ALB 0/ ANB 1</t>
    </r>
    <r>
      <rPr>
        <sz val="9"/>
        <rFont val="Aptos Narrow"/>
        <family val="2"/>
        <scheme val="minor"/>
      </rPr>
      <t xml:space="preserve">
- Lowest annual premium (Basic + ECI + CI) for female
- Competitve ECI rider premium 
- Lowest CI rider premium 
- Competitive Guaranteed Death Benefit over total basic premium paid for Multiplier expiry age 80 &amp; above @ Policy Year 85 / ANB 86 / ALB 85</t>
    </r>
    <r>
      <rPr>
        <i/>
        <sz val="9"/>
        <rFont val="Aptos Narrow"/>
        <family val="2"/>
        <scheme val="minor"/>
      </rPr>
      <t xml:space="preserve">
</t>
    </r>
    <r>
      <rPr>
        <sz val="9"/>
        <rFont val="Aptos Narrow"/>
        <family val="2"/>
        <scheme val="minor"/>
      </rPr>
      <t xml:space="preserve">
</t>
    </r>
    <r>
      <rPr>
        <b/>
        <u/>
        <sz val="9"/>
        <rFont val="Aptos Narrow"/>
        <family val="2"/>
        <scheme val="minor"/>
      </rPr>
      <t>ALB29/ ANB 30</t>
    </r>
    <r>
      <rPr>
        <sz val="9"/>
        <rFont val="Aptos Narrow"/>
        <family val="2"/>
        <scheme val="minor"/>
      </rPr>
      <t xml:space="preserve">
- Lowest annual premium (Basic + ECI + CI)
- Competitve ECI rider premium
- Lowest CI rider premium
- Best Guaranteed Surrender Value over total basic premium paid for Multiplier expiry age 75 &amp; below
- Competitve Guaranteed Death Benefit over total basic premium paid
</t>
    </r>
  </si>
  <si>
    <t>Etiqa</t>
  </si>
  <si>
    <t>Essential lifetime secure</t>
  </si>
  <si>
    <t>- Coverage against death, terminal illness, and total and permanent disability 
- Participates in Etiqa’s Participating Fund for non-guaranteed bonuses 
- Multiplier Benefit for high coverage: 2X, 3X, 4X, or 5X basic sum insured 
- Multiplier Benefit reduces by 10% each year for 5 years after selected expiry age 
- Retirement Option: 10 yearly payments starting from age 65 
- Premium Relief Benefit for unforeseen circumstances 
- Guaranteed Insurability Benefit Option for key life events 
- Surrender Benefit paid in lump sum 
- Full underwriting required</t>
  </si>
  <si>
    <r>
      <t xml:space="preserve">- </t>
    </r>
    <r>
      <rPr>
        <b/>
        <sz val="9"/>
        <rFont val="Aptos Narrow"/>
        <family val="2"/>
        <scheme val="minor"/>
      </rPr>
      <t>CI benefit rider</t>
    </r>
    <r>
      <rPr>
        <sz val="9"/>
        <rFont val="Aptos Narrow"/>
        <family val="2"/>
        <scheme val="minor"/>
      </rPr>
      <t xml:space="preserve">: accelerates Death Benefit for 63 severe-stage critical illnesses; 
- </t>
    </r>
    <r>
      <rPr>
        <b/>
        <sz val="9"/>
        <rFont val="Aptos Narrow"/>
        <family val="2"/>
        <scheme val="minor"/>
      </rPr>
      <t>Early CI benefit rider</t>
    </r>
    <r>
      <rPr>
        <sz val="9"/>
        <rFont val="Aptos Narrow"/>
        <family val="2"/>
        <scheme val="minor"/>
      </rPr>
      <t xml:space="preserve">: accelerates Death Benefit for early, intermediate, severe-stage illnesses; additional coverage for Special &amp; Juvenile conditions, top 3 Critical Illnesses; monthly payout for severe illnesses; future premiums waived for early, intermediate stages;
- </t>
    </r>
    <r>
      <rPr>
        <b/>
        <sz val="9"/>
        <rFont val="Aptos Narrow"/>
        <family val="2"/>
        <scheme val="minor"/>
      </rPr>
      <t>Extra secure waiver</t>
    </r>
    <r>
      <rPr>
        <sz val="9"/>
        <rFont val="Aptos Narrow"/>
        <family val="2"/>
        <scheme val="minor"/>
      </rPr>
      <t xml:space="preserve">: waives premiums for covered critical illness
- </t>
    </r>
    <r>
      <rPr>
        <b/>
        <sz val="9"/>
        <rFont val="Aptos Narrow"/>
        <family val="2"/>
        <scheme val="minor"/>
      </rPr>
      <t>Extra payer waiver</t>
    </r>
    <r>
      <rPr>
        <sz val="9"/>
        <rFont val="Aptos Narrow"/>
        <family val="2"/>
        <scheme val="minor"/>
      </rPr>
      <t>: waives premium for policy owner's death/TPD/CI</t>
    </r>
  </si>
  <si>
    <r>
      <rPr>
        <b/>
        <u/>
        <sz val="9"/>
        <rFont val="Aptos Narrow"/>
        <family val="2"/>
        <scheme val="minor"/>
      </rPr>
      <t>ALB 0/ ANB 1</t>
    </r>
    <r>
      <rPr>
        <sz val="9"/>
        <rFont val="Aptos Narrow"/>
        <family val="2"/>
        <scheme val="minor"/>
      </rPr>
      <t xml:space="preserve">
- Lowest annual premium (Basic + ECI + CI) for male
- Lowest basic premium
- Competitve Guaranteed Death Benefit over total basic premium paid 
- Competitve Total Death Benefit over total basic premium paid 
- Competitve Total Surrender Value over total basic premium paid</t>
    </r>
    <r>
      <rPr>
        <i/>
        <sz val="9"/>
        <rFont val="Aptos Narrow"/>
        <family val="2"/>
        <scheme val="minor"/>
      </rPr>
      <t xml:space="preserve">
</t>
    </r>
    <r>
      <rPr>
        <sz val="9"/>
        <rFont val="Aptos Narrow"/>
        <family val="2"/>
        <scheme val="minor"/>
      </rPr>
      <t xml:space="preserve">- Highest Total Illustrated Yield at age 65 (Based on 4.25% IRR)
</t>
    </r>
    <r>
      <rPr>
        <b/>
        <u/>
        <sz val="9"/>
        <rFont val="Aptos Narrow"/>
        <family val="2"/>
        <scheme val="minor"/>
      </rPr>
      <t xml:space="preserve">ALB29/ ANB 30
</t>
    </r>
    <r>
      <rPr>
        <sz val="9"/>
        <rFont val="Aptos Narrow"/>
        <family val="2"/>
        <scheme val="minor"/>
      </rPr>
      <t>- Lowest basic premium for female
- Competitive Guaranteed Death Benefit over total basic premium paid for female</t>
    </r>
  </si>
  <si>
    <t>Income</t>
  </si>
  <si>
    <t>Complete Life Secure</t>
  </si>
  <si>
    <t>- Protection against death, terminal illness, total and permanent disability, and accidental death 
- Multiplier Cover (MC): 100%, 200%, 300%, 400%, or 500% of sum assured 
- MC applicable before age 65, 75 or 80, chosen by the policyholder 
- Premium payment terms: 5, 10, 15, 20, 25, 30 years, or up to age 64 
- Participates in Income’s Life Participating Fund for non-guaranteed bonuses
- Retrenchment Benefit waives premium for up to six months 
- Request to exercise Flexi Cash Access option to use a percentage of the basic policy's sum insured for its cash value to receive an annual cash payout to supplement retirement income. 
- Offers Guaranteed Insurability Option to Buy Another Life Policy from Income with only death, and total and permanent disability benefits on the insured's own life upon reaching different covered life events.
- Full underwriting required</t>
  </si>
  <si>
    <r>
      <t>-</t>
    </r>
    <r>
      <rPr>
        <b/>
        <sz val="9"/>
        <rFont val="Aptos Narrow"/>
        <family val="2"/>
        <scheme val="minor"/>
      </rPr>
      <t xml:space="preserve"> Early Critical Secure</t>
    </r>
    <r>
      <rPr>
        <sz val="9"/>
        <rFont val="Aptos Narrow"/>
        <family val="2"/>
        <scheme val="minor"/>
      </rPr>
      <t xml:space="preserve">: Coverage for early, intermediate, advanced stage specified dread diseases; Coverage up to age 65, 75 or 80; Advanced Restoration Benefit; Guaranteed Post-Early DD cover option; Special and Mental Benefit for five claims; Juvenile Benefit;
- </t>
    </r>
    <r>
      <rPr>
        <b/>
        <sz val="9"/>
        <rFont val="Aptos Narrow"/>
        <family val="2"/>
        <scheme val="minor"/>
      </rPr>
      <t xml:space="preserve"> Advanced Critical Secure</t>
    </r>
    <r>
      <rPr>
        <sz val="9"/>
        <rFont val="Aptos Narrow"/>
        <family val="2"/>
        <scheme val="minor"/>
      </rPr>
      <t xml:space="preserve">: Coverage for 54 specified dread diseases; Coverage up to age 65, 75 or 80; Major Impact Benefit;
- </t>
    </r>
    <r>
      <rPr>
        <b/>
        <sz val="9"/>
        <rFont val="Aptos Narrow"/>
        <family val="2"/>
        <scheme val="minor"/>
      </rPr>
      <t>Hospital CashAid</t>
    </r>
    <r>
      <rPr>
        <sz val="9"/>
        <rFont val="Aptos Narrow"/>
        <family val="2"/>
        <scheme val="minor"/>
      </rPr>
      <t xml:space="preserve">: Pays Hospital Cash Benefit; Pays double sum assured for ICU; Pays 10 times sum assured for Major Impact; Recovery Benefit; Guaranteed Insurability Option (GIO); 
- </t>
    </r>
    <r>
      <rPr>
        <b/>
        <sz val="9"/>
        <rFont val="Aptos Narrow"/>
        <family val="2"/>
        <scheme val="minor"/>
      </rPr>
      <t>Dread Disease Premium Waiver</t>
    </r>
    <r>
      <rPr>
        <sz val="9"/>
        <rFont val="Aptos Narrow"/>
        <family val="2"/>
        <scheme val="minor"/>
      </rPr>
      <t xml:space="preserve">: waives future premiums upon specified dread diseases (except for angioplasty and other invasive treatment for Coronary Artery); Option of renewability; 
- </t>
    </r>
    <r>
      <rPr>
        <b/>
        <sz val="9"/>
        <rFont val="Aptos Narrow"/>
        <family val="2"/>
        <scheme val="minor"/>
      </rPr>
      <t>Payor Premium Waiver:</t>
    </r>
    <r>
      <rPr>
        <sz val="9"/>
        <rFont val="Aptos Narrow"/>
        <family val="2"/>
        <scheme val="minor"/>
      </rPr>
      <t xml:space="preserve"> waives future premiums upon Death/TPD of the policyholder;
-</t>
    </r>
    <r>
      <rPr>
        <b/>
        <sz val="9"/>
        <rFont val="Aptos Narrow"/>
        <family val="2"/>
        <scheme val="minor"/>
      </rPr>
      <t xml:space="preserve"> Enhanced Payor Premium Waiver</t>
    </r>
    <r>
      <rPr>
        <sz val="9"/>
        <rFont val="Aptos Narrow"/>
        <family val="2"/>
        <scheme val="minor"/>
      </rPr>
      <t xml:space="preserve">: waives future premiums upon Death/TPD/specified dread disease of the policyholder; Option of renewability;
</t>
    </r>
  </si>
  <si>
    <r>
      <rPr>
        <b/>
        <u/>
        <sz val="9"/>
        <rFont val="Aptos Narrow"/>
        <family val="2"/>
        <scheme val="minor"/>
      </rPr>
      <t>ALB 0/ ANB 1</t>
    </r>
    <r>
      <rPr>
        <sz val="9"/>
        <rFont val="Aptos Narrow"/>
        <family val="2"/>
        <scheme val="minor"/>
      </rPr>
      <t xml:space="preserve">
- Best value for Total Surrender Value over total basic premium paid @ Policy Year 90 / ANB 91 / ALB 90
</t>
    </r>
    <r>
      <rPr>
        <b/>
        <u/>
        <sz val="9"/>
        <rFont val="Aptos Narrow"/>
        <family val="2"/>
        <scheme val="minor"/>
      </rPr>
      <t xml:space="preserve">ALB 29/ ANB 30
</t>
    </r>
    <r>
      <rPr>
        <sz val="9"/>
        <rFont val="Aptos Narrow"/>
        <family val="2"/>
        <scheme val="minor"/>
      </rPr>
      <t>- Lowest basic premium for male
- Best in Total Surrender Value over total basic premium paid
- Competitive Total Illustrated Yield at age 70 (Based on 4.25% IRR)</t>
    </r>
  </si>
  <si>
    <t>Manulife</t>
  </si>
  <si>
    <t>LifeReady Plus (II)</t>
  </si>
  <si>
    <t>- Coverage against death, terminal illness, and total and permanent disability 
- Optional Life Benefit Multiplier (III) for enhanced coverage: 2X, 3X, 4X, or 5X up to age 70 or 80 
- Premium payment terms: 10, 15, 20, 25 years, or up to age 99 
- Health Advantage Benefit for premium discount based on health criteria 
- Option to purchase a new policy without proof of good health at key life events 
- Retrenchment Benefit waives premiums for six months 
- Financial Flexibility option for annual payout and additional interest 
- Full underwriting required</t>
  </si>
  <si>
    <r>
      <t xml:space="preserve">- </t>
    </r>
    <r>
      <rPr>
        <b/>
        <sz val="9"/>
        <rFont val="Aptos Narrow"/>
        <family val="2"/>
        <scheme val="minor"/>
      </rPr>
      <t>Early Critical Care Rider (III)</t>
    </r>
    <r>
      <rPr>
        <sz val="9"/>
        <rFont val="Aptos Narrow"/>
        <family val="2"/>
        <scheme val="minor"/>
      </rPr>
      <t xml:space="preserve">: Covers early to advanced stage CI; Accelerates death benefit; Special Benefit conditions(max six claims); Serious Illness of a Child Benefit; Recovery Plus Benefit for ICU coverage
- </t>
    </r>
    <r>
      <rPr>
        <b/>
        <sz val="9"/>
        <rFont val="Aptos Narrow"/>
        <family val="2"/>
        <scheme val="minor"/>
      </rPr>
      <t>Critical Care Rider (III)</t>
    </r>
    <r>
      <rPr>
        <sz val="9"/>
        <rFont val="Aptos Narrow"/>
        <family val="2"/>
        <scheme val="minor"/>
      </rPr>
      <t xml:space="preserve">: Covers advanced stage CI; Accelerates death benefit (except Angioplasty and Other Invasive Treatment for Coronary Artery) upon diagnosis of CI; Serious Illness of a Child Benefit; Recovery Plus Benefit for ICU coverage
- </t>
    </r>
    <r>
      <rPr>
        <b/>
        <sz val="9"/>
        <rFont val="Aptos Narrow"/>
        <family val="2"/>
        <scheme val="minor"/>
      </rPr>
      <t>Early Critical Care Waiver Rider</t>
    </r>
    <r>
      <rPr>
        <sz val="9"/>
        <rFont val="Aptos Narrow"/>
        <family val="2"/>
        <scheme val="minor"/>
      </rPr>
      <t>: Waiver of all future premiums on the Basic plan including supplements when diagnosed with covered CI
-</t>
    </r>
    <r>
      <rPr>
        <b/>
        <sz val="9"/>
        <rFont val="Aptos Narrow"/>
        <family val="2"/>
        <scheme val="minor"/>
      </rPr>
      <t xml:space="preserve"> Payor Benefit Plus Rider (II) Spouse:</t>
    </r>
    <r>
      <rPr>
        <sz val="9"/>
        <rFont val="Aptos Narrow"/>
        <family val="2"/>
        <scheme val="minor"/>
      </rPr>
      <t xml:space="preserve"> Waiver of premiums on juvenile or third-party policies (except company-owned) when spouse of the owner dies or sustains total and permanent disability, terminal illness or covered Advanced stage CI
- </t>
    </r>
    <r>
      <rPr>
        <b/>
        <sz val="9"/>
        <rFont val="Aptos Narrow"/>
        <family val="2"/>
        <scheme val="minor"/>
      </rPr>
      <t>Critical Care Waiver (III)</t>
    </r>
    <r>
      <rPr>
        <sz val="9"/>
        <rFont val="Aptos Narrow"/>
        <family val="2"/>
        <scheme val="minor"/>
      </rPr>
      <t xml:space="preserve">: Waiver of premiums when diagnosed with covered advanced stage CI
- </t>
    </r>
    <r>
      <rPr>
        <b/>
        <sz val="9"/>
        <rFont val="Aptos Narrow"/>
        <family val="2"/>
        <scheme val="minor"/>
      </rPr>
      <t>Payor Benefit Rider (I)</t>
    </r>
    <r>
      <rPr>
        <sz val="9"/>
        <rFont val="Aptos Narrow"/>
        <family val="2"/>
        <scheme val="minor"/>
      </rPr>
      <t xml:space="preserve">: Waiver of premiums on juvenile or third-party policies (except company-owned) when owner dies or sustains total and permanent disability or terminal illness 
- </t>
    </r>
    <r>
      <rPr>
        <b/>
        <sz val="9"/>
        <rFont val="Aptos Narrow"/>
        <family val="2"/>
        <scheme val="minor"/>
      </rPr>
      <t>Payor Benefit Plus Rider (II)</t>
    </r>
    <r>
      <rPr>
        <sz val="9"/>
        <rFont val="Aptos Narrow"/>
        <family val="2"/>
        <scheme val="minor"/>
      </rPr>
      <t>: Waiver of premiums on juvenile or third-party policies (except company-owned) when owner dies or sustains total and permanent disability, terminal illness or covered Advanced stage CI</t>
    </r>
  </si>
  <si>
    <t>Non-Provider Plans</t>
  </si>
  <si>
    <r>
      <t xml:space="preserve">This information is accurate as at </t>
    </r>
    <r>
      <rPr>
        <sz val="11"/>
        <color rgb="FF0000CC"/>
        <rFont val="Aptos Narrow"/>
        <family val="2"/>
        <scheme val="minor"/>
      </rPr>
      <t>24/01/2025</t>
    </r>
  </si>
  <si>
    <t>Product Info</t>
  </si>
  <si>
    <t>AIA</t>
  </si>
  <si>
    <t>AIA Guaranteed Protect Plus (IV)</t>
  </si>
  <si>
    <t>https://www.aia.com.sg/en/our-products/life-insurance/whole-life-insurance/aia-guaranteed-protect-plus-iv</t>
  </si>
  <si>
    <t>FWD</t>
  </si>
  <si>
    <t>FWD Life Protection</t>
  </si>
  <si>
    <t>https://www.fwd.com.sg/personalised-financial-advice/life-protection/</t>
  </si>
  <si>
    <t>Great Eastern</t>
  </si>
  <si>
    <t>GREAT Flexi Protect 3</t>
  </si>
  <si>
    <t>https://www.greateasternlife.com/sg/en/personal-insurance/our-products/life-insurance/great-flexi-protect-series.html</t>
  </si>
  <si>
    <t>HSBC Life</t>
  </si>
  <si>
    <t>Life Treasure III</t>
  </si>
  <si>
    <t>https://www.insurance.hsbc.com.sg/life-and-critical-illness/products/life-treasure-iii/</t>
  </si>
  <si>
    <t>Prudential</t>
  </si>
  <si>
    <t>PRUActive Life III</t>
  </si>
  <si>
    <t>https://www.prudential.com.sg/products/life-insurance/whole-life-insurance/pruactive-life-iii</t>
  </si>
  <si>
    <t>Feature Comparison</t>
  </si>
  <si>
    <t>Singlife Whole Life Choice</t>
  </si>
  <si>
    <t>China Life Whole Life Guardian Series 2</t>
  </si>
  <si>
    <t>China Life
Multiplier Guardian</t>
  </si>
  <si>
    <t>China Life Multiplier Guardian Plus</t>
  </si>
  <si>
    <t>China Taiping i-Secure Legacy (II)</t>
  </si>
  <si>
    <t>Etiqa Essential lifetime secure</t>
  </si>
  <si>
    <t>Income Star Secure Pro</t>
  </si>
  <si>
    <t>Manulife LifeReady Plus (II)</t>
  </si>
  <si>
    <t>Age Basis</t>
  </si>
  <si>
    <t>ANB</t>
  </si>
  <si>
    <t>ALB</t>
  </si>
  <si>
    <t>Policy Term</t>
  </si>
  <si>
    <t>Whole life</t>
  </si>
  <si>
    <t>Till age 100</t>
  </si>
  <si>
    <t>Up to age 99</t>
  </si>
  <si>
    <t>Premium Term</t>
  </si>
  <si>
    <t>10,15,20,25, up to 65</t>
  </si>
  <si>
    <t>5, 10, 15, 20, 25</t>
  </si>
  <si>
    <t>10, 15, 20, 25</t>
  </si>
  <si>
    <t>5, 10, 15, 20, 25 and 30</t>
  </si>
  <si>
    <t xml:space="preserve">5,10,15,20,25,30, up to age 64 </t>
  </si>
  <si>
    <t>10,15,20,25, up till age 99</t>
  </si>
  <si>
    <t>Life Assured Entry Age
(based on premium payment term)</t>
  </si>
  <si>
    <t>10 years = 1 - 65
15 years = 1 - 60
20 years = 1 - 55
25 years = 1 - 50
Up to age 65 = 1 - 55</t>
  </si>
  <si>
    <t>18 - 70</t>
  </si>
  <si>
    <t>GB@76
5 years = 1 - 70
10 years = 1 - 65
15 years = 1 - 60
20 years = 1 - 55
25 years= 1 -  50
GB@86
5 years = 1 - 70
10 years = 1 - 70
15 years = 1 - 70
20 years = 1 - 65
25 years= 1 - 60</t>
  </si>
  <si>
    <t>1 - 70 
Life Insured’s entry age + premium term cannot exceed 75 ANB</t>
  </si>
  <si>
    <t>5,10,15,20 years = 0 - 64
25 years &amp; up to age 64 = 0 - 59
30 years = 0 - 54</t>
  </si>
  <si>
    <t>0 - 60</t>
  </si>
  <si>
    <t>Minimum Sum Assured</t>
  </si>
  <si>
    <t>Maximum Sum Assured</t>
  </si>
  <si>
    <t>Subject to underwriting</t>
  </si>
  <si>
    <t>Multiplier - options</t>
  </si>
  <si>
    <t>Additonal Cover: 
100%, 200%, 300%, 400%</t>
  </si>
  <si>
    <t>Mutiplier: 
1x, 2x, 3x ,4x</t>
  </si>
  <si>
    <t>Mutiplier:
1x, 2x, 3x ,4x</t>
  </si>
  <si>
    <t>Guaranteed Benefit:
 2x, 3x, 4x, 5x</t>
  </si>
  <si>
    <t>Multiplier: 
2x, 3x, 4x, 5x</t>
  </si>
  <si>
    <t>MPV: 
100%, 200%, 300%, 400%, 500%</t>
  </si>
  <si>
    <t>LMB: 
1x, 2x, 3x, 4x, 5x</t>
  </si>
  <si>
    <t>Multiplier - expiry age</t>
  </si>
  <si>
    <t>65, 70, 75, 80, 85</t>
  </si>
  <si>
    <t>76, 86</t>
  </si>
  <si>
    <t>66, 71, 76, 81, 86</t>
  </si>
  <si>
    <t>75, 80</t>
  </si>
  <si>
    <t>70, 80</t>
  </si>
  <si>
    <t>Multiplier - beyond expiry age</t>
  </si>
  <si>
    <t xml:space="preserve">Starting from the Policy Anniversary when the Life Assured reaches the chosen Additional Cover Age, the Additional Cover reduces by 12.5% every policy year for a period of 8 years until it becomes zero. </t>
  </si>
  <si>
    <t>The basic GB will remain the same up to the policy anniversary on which life insured is age 76 or 86 next birthday (whichever is applicable). Thereafter, on each policy anniversary, the GB will reduce by 10% each policy year for 5 policy years and floor at 50%</t>
  </si>
  <si>
    <t>On or after the policy anniversary when the life insured attains the selected multiplier expiry age, the multiplier benefit will reduce by 10% each policy year for five (5) policy years. Thereafter, the multiplier benefit will remain the same throughout the policy term.</t>
  </si>
  <si>
    <t>Reversionary Bonus - per $1,000 SA</t>
  </si>
  <si>
    <t>Reversionary Bonus - compounding</t>
  </si>
  <si>
    <t>Terminal Bonus</t>
  </si>
  <si>
    <t>% of accrued RB</t>
  </si>
  <si>
    <t>% of surrender value of RB (Performance Bonus)</t>
  </si>
  <si>
    <t>Guaranteed Extra Protection Option</t>
  </si>
  <si>
    <t>Yes</t>
  </si>
  <si>
    <t>Guaranteed Extra Protection Option - plan type</t>
  </si>
  <si>
    <t>Term</t>
  </si>
  <si>
    <t>1. Term
2. Whole Life</t>
  </si>
  <si>
    <t>Guaranteed Extra Protection Option - coverage</t>
  </si>
  <si>
    <t>1. Death
2. TI</t>
  </si>
  <si>
    <t>No info</t>
  </si>
  <si>
    <t>1. Death
2. TI
3. TPD</t>
  </si>
  <si>
    <t>Guaranteed Extra Protection Option - Maximum</t>
  </si>
  <si>
    <t>Guaranteed Extra Protection Option - events</t>
  </si>
  <si>
    <t>1. Life assured changes the marital status
2. Life insured becomes a parent
3. Life Assured purchases a property
4. Life Assured or Life Assured’s child enrols into tertiary education; or
5. Life Assured enters full-time employment within one year from tertiary graduation</t>
  </si>
  <si>
    <t>1. Life insured turns 18 years old
2. First legally recognized marriage of the life insured;
3. Life insured becomes a parent
4. Life insured graduates from tertiary education;
5. Life insured purchases a property 
6. Death of the life insured’s legal married spouse.</t>
  </si>
  <si>
    <t>1. Life insured marries;
2. Life insured becomes a parent 
3. Life insured graduate from tertiary education</t>
  </si>
  <si>
    <t>1. Life assured changes the marital status
2. Life insured becomes a parent
3. Life insured graduates from tertiary education
4. life insured purchase his/her first house</t>
  </si>
  <si>
    <t>Income Payout Option</t>
  </si>
  <si>
    <t>Income Payout Option - age</t>
  </si>
  <si>
    <t>after 65</t>
  </si>
  <si>
    <t>between 55 - 70</t>
  </si>
  <si>
    <t>after age 70</t>
  </si>
  <si>
    <t>Income Payout Option - years</t>
  </si>
  <si>
    <t>10 - 34</t>
  </si>
  <si>
    <t>5 - 15</t>
  </si>
  <si>
    <t>Income Payout Option - amount</t>
  </si>
  <si>
    <t>20% - 80% of guaranteed surrender value</t>
  </si>
  <si>
    <t>85% of the total Surrender Value</t>
  </si>
  <si>
    <t>up to 80% of total surrender value</t>
  </si>
  <si>
    <t>50% or 75% of the net surrender value with an additional 5% interest of the annual payout</t>
  </si>
  <si>
    <t>Retrenchment Benefit</t>
  </si>
  <si>
    <t>Retrenchment Benefit - details</t>
  </si>
  <si>
    <t>Premium waiver for 12 months</t>
  </si>
  <si>
    <t>Premium waiver for 6 months</t>
  </si>
  <si>
    <t>Life Stage Withdrawal Benefit</t>
  </si>
  <si>
    <t>Yes, withdraw the accumulated reversionary bonus without surrender charge</t>
  </si>
  <si>
    <t>Life Stage Withdrawal Benefit - events</t>
  </si>
  <si>
    <t>1. Changes in marital status
2. Becomes a parent
3. Purchases a property
4. Life assured or the Life assured’s child enrols into tertiary education</t>
  </si>
  <si>
    <t>Family Waiver Benefit</t>
  </si>
  <si>
    <t>Yes, waives the remaining premium and pays a lump sum upon death, TI or TPD of Insured’s family member</t>
  </si>
  <si>
    <t>Family Waiver Benefit - events</t>
  </si>
  <si>
    <t>1. Legal spouse if policyholder is the insured
2. Insured is the legacy spouse
3. The insured’s legacy or natural parents if the insured is a juvenile</t>
  </si>
  <si>
    <t>Par Fund Returns</t>
  </si>
  <si>
    <t>3-year average (2021 to 2023): -2.51%
5-year average (2019 to 2023): 2.52%
10-year average (2014 to 2023): 3.13%</t>
  </si>
  <si>
    <t>3-year average (2021 to 2023): -0.08%
5-year average (2019 to 2023): 4.99%
10-year average (2014 to 2023): NA</t>
  </si>
  <si>
    <t>3-year average (2021 to 2023): -3.40%
5-year average (2019 to 2023): NA
10-year average (2014 to 2023): NA</t>
  </si>
  <si>
    <t>3-year average (2021 to 2023): -2.48%
5-year average (2019 to 2023): 1.26%
10-year average (2014 to 2023):NA</t>
  </si>
  <si>
    <t>3-year average (2021 to 2023): -1.48%
5-year average (2019 to 2023): 2.72%
10-year average (2014 to 2023): 3.50%</t>
  </si>
  <si>
    <t>2022: -4.92%
2023: 10.06%
3-year average (2021 to 2023): NA
5-year average (2019 to 2023): NA
10-year average (2014 to 2023): NA</t>
  </si>
  <si>
    <t>Historical Expense Ratios</t>
  </si>
  <si>
    <t>3-year average (2021 to 2023): 2.21%
5-year average (2019 to 2023): 2.38%
10-year average (2014 to 2023): 2.58%</t>
  </si>
  <si>
    <t>3-year average (2021 to 2023): 4.29%
5-year average (2019 to 2023): NA
10-year average (2014 to 2023): NA</t>
  </si>
  <si>
    <t>3-year average (2021 to 2023): 7.2%
5-year average (2019 to 2023): NA
10-year average (2014 to 2023):NA</t>
  </si>
  <si>
    <t>3-year average (2021 to 2023): 1.86%
5-year average (2019 to 2023): 3.02%
10-year average (2014 to 2023): NA</t>
  </si>
  <si>
    <t>3-year average (2021 to 2023): 1.00%
5-year average (2019 to 2023): 0.93%
10-year average (2014 to 2023): 0.88%</t>
  </si>
  <si>
    <t>3-year average (2021 to 2023): 2.19%
5-year average (2019 to 2023): 2.64%
10-year average (2014 to 2023): 2.93%</t>
  </si>
  <si>
    <t>Attachable Riders</t>
  </si>
  <si>
    <t>1. Total and Permanent Disability Advance Cover V
2. Critical Illness Advance Cover VI
3. Early Critical Illness Advance Cover VI                                                                                                                            4. Critical Illness Premium Waiver II
5. Payer Premium Waiver Benefit
6. Payer Critical Illness Premium Waiver II
7. Early Critical Illness Premium Waiver</t>
  </si>
  <si>
    <t>1. Payer Benefit rider  
2. Enhanced Payer Benefit rider</t>
  </si>
  <si>
    <t xml:space="preserve">N.A
</t>
  </si>
  <si>
    <t xml:space="preserve"> 1. Total and Permanent Disability Rider
2.  AdvancedCare Rider
3. EarlyCare Rider
4. Enhanced Waiver Rider
5. Early Waiver Rider
6. Payer Rider
7. Enhanced Payer Rider
8. Early Payer Rider
9. Spouse Rider
10. Enhanced Spouse Rider
11. Early Spouse Rider</t>
  </si>
  <si>
    <t>1. CI benefit rider
2. Early CI benefit rider
3. Extra payer waiver
4. Extra secure waiver</t>
  </si>
  <si>
    <t>1. Enhanced Payor Premium Waiver
2. Dread Disease Premium Waiver
3. Advanced Life Accelerator
4. Early Life Accelerator
5. Hospital CashAid</t>
  </si>
  <si>
    <t>1. Early Critical Care Rider III
2. Critical Care Rider III
3. Early Critical Care Waiver Rider
4. Critical Care Waiver Rider III
5. Payor benefit Rider
6. Payor benefit Plus Rider II
7. Payor benefit Plus Rider II (Spouse)</t>
  </si>
  <si>
    <t>Basic Coverage</t>
  </si>
  <si>
    <t>Death/TI Benefit - before multiplier expiry age</t>
  </si>
  <si>
    <t>Sum of:
1. Base Sum assured
2. Additional sum assured
3. Accumulated reversionary bonuses (if any)
4. Terminal bonus (if any)</t>
  </si>
  <si>
    <t>Sum of:
1. Sum Insured
2. Accumulated reversionary bonus (if any)
3. a non-guaranteed terminal bonus (if any)
less amounts owing (if any), outstanding premiums (if any) and future instalment premiums which are required to make up full years' premium</t>
  </si>
  <si>
    <t xml:space="preserve">Higher of:
- Guaranteed Death Benefit
or
- Sum of:
1. Insured amount under Whole Life Accumulator
2. Accumulated reversionary bonus (if any)
3. Terminal bonus (if any)
Less any indebtedness
</t>
  </si>
  <si>
    <t xml:space="preserve">Higher of:
- Sum of:
1. Basic Sum assured
2. Accumulated reversionary bonuses (if any)
3. Terminal bonus (if any)
Or 
- basic GB
less any indebtedness
</t>
  </si>
  <si>
    <t xml:space="preserve">Higher of: 
- Multiplier benefit 
or 
- Sum of:
1. Basic sum insured 2. Bonuses (if any)
</t>
  </si>
  <si>
    <t>Higher of:
- Sum of:
1. Sum assured 
2. bonuses (if any)
or
- Minimum Protection Value</t>
  </si>
  <si>
    <t>Higher of: 
- Sum of:
 1. Basic sum insured
 2. Accumulated reversionary bonus (if any)
 3. The claim bonus (if any)
or 
- Life Benefit Multiplier
less any amount owing to Manulife</t>
  </si>
  <si>
    <t>Death/TI Benefit - after multiplier expiry age</t>
  </si>
  <si>
    <t>Sum of:
1. Base Sum assured
2. Additional sum assured (if any)
2. Any accumulated reversionary bonuses
3. Terminal bonus</t>
  </si>
  <si>
    <t>Sum of:
1. Insured amount under Whole life accumulator
2. Accumulated reversionary bonus (if any)
3. Terminal Bonus (if any)
Less any indebtedness</t>
  </si>
  <si>
    <t xml:space="preserve">Higher of: 
- Multiplier benefit 
or 
- Sum of:
1. Basic sum insured 
2. Bonuses (if any)
</t>
  </si>
  <si>
    <t>Sum of:
1. Sum assured 
2. Bonuses (if any)</t>
  </si>
  <si>
    <t>Sum of:
 1. Basic sum insured
 2. Accumulated reversionary bonus (if any)
 3. The claim bonus (if any)</t>
  </si>
  <si>
    <t xml:space="preserve">TPD  </t>
  </si>
  <si>
    <t>Optional</t>
  </si>
  <si>
    <t>Embedded</t>
  </si>
  <si>
    <t>TPD - coverage age</t>
  </si>
  <si>
    <t>Whole of life</t>
  </si>
  <si>
    <t>TPD Definition 
(long)</t>
  </si>
  <si>
    <t>1. If the Assured is 70 Age Next Birthday (ANB) and below, and has suffered total and irrecoverable:
(a) Loss of the sight of both eyes;
(b) Loss of sight of one eye and loss by severance or loss of use of one limb at or above the ankle or wrist; or
(c) Loss by severance or loss of use of:
i. Both hands at or above the wrists;
ii. Both feet at or above the ankles; or
iii. One hand at or above the wrist and one foot at or above the ankle.
2. If the Assured is 18 ANB and below, TPD is defined as a state of permanent incapacity in which the Assured is confined to a home, hospital or institution, requiring constant care and medical attention for at least 6 consecutive months.
3. If the Assured is 19 ANB to 65 ANB, and has suffered a disability which is total and permanent and persists continuously for at least six 6 months, with the Assured incapable of performing any work or engaging in any occupation or profession to earn or obtain wages, compensation or profit, from the time when the disability started.
4. If the Assured is 19 ANB to 65 ANB, and in the event of the Assured becoming totally and permanently unable to perform (due to disease, illness or injury) at least 3 of the 6 “Activities of Daily Living” (despite the aid of special equipment) and requires the physical assistance of another person throughout the entire activity for at least 6 continuous months.
5. If the Assured is 66 ANB to 70 ANB, and in the event of the Assured becoming totally and permanently unable to perform (due to disease, illness or injury) at least 2 of the 6 “Activities of Daily Living” (despite the aid of special equipment) and requires the physical assistance of another person throughout the entire activity for at least 6 continuous months.</t>
  </si>
  <si>
    <t>1. Totally unable to
engage in any occupation, business or activity for income, remuneration or profit; and the disability must continue uninterrupted
for a period of at least 6 consecutive months from the time when disability started; and the disability must, in the view of a
medical examiner appointed by Us, be deemed permanent with no possibility of improvement in the foreseeable future
2. Total and irrecoverable loss of use of:
a) the entire sight in both eyes;
b) any two limbs at or above the wrist or ankle; or
c) the entire sight in one eye and any one limb at or above the wrist or ankle.</t>
  </si>
  <si>
    <t>1. age 18 to 64 covers for 3/6 ADLs
2. age 65 to 70 covers for 2/6 ADLs
3.At any age: Due to accident or sickness, suffers loss by complete severance or total and irreversible loss of use of:
(i) sight in both eyes;
(ii) any 2 limbs a or above the wrist or ankle; or
(iii) sight in one (1) eye and any one (1) limb at or above the wrist or ankle</t>
  </si>
  <si>
    <t>1. A disability where the life insured whose age is between 17 and 65 cannot perform any work or occupation
2. A disability where the life insured suffers from any of these:
- Total and irrecoverable loss of sight in both eyes; or
- Loss of two or more limbs, each above the wrist or ankle; or
- Total and irrecoverable loss of sight in one eye and loss of one limb at or above the wrist or ankle.
3. A disability where the life insured cannot do at least 3 out of 6 Activities of Daily Living without physical help from another person or mechanical equipment.
4. A disability where the Life insured has to be confined to a home, a hospital or other institution in order to receive constant care and medical attention.</t>
  </si>
  <si>
    <t>1. Under age 65: unable to carry out any occupation, or
there is total physical loss.
2. Age 65 and above:  severe disability (3/6 ADLs) or there is total physical loss</t>
  </si>
  <si>
    <t>1. Age 0 - 99: If the life insured has suffered: (a) total and irrecoverable loss of sight of both eyes; (b) total and irrecoverable loss of use of 2 limbs; or (c) total and irrecoverable loss of sight of 1 eye and total and irrecoverable loss of use of one 1 limb.
2. Age 0 - 18: The life insured required for a mimumum period of 6 consecutive months, due to an accident, illness or disease, constant care and attention and continous confinement to a home, hospital or similar institution. Such requirement for constant care and attention and continuous confinrmrnt to a home, hospital or similar institution is expected to be permanent.
3. Age 18 - 65: 
(a) The life insured has been, for a minimum of 6 consecutive monthds, contnously unable to engage in any occupation, buniness, work or profession whatsoever. This inability is expected to be continuous and permanent and must result from an accident, illness or disease; or
(b) Totally and permanently unable to perform at least 3/6 ADLs even with the aid of special equipments, and always require physical assistance of another person throughout the entire activity for a continuous period of at least 6 months.
4. Age 65 to 70: Totally and permanently unable to perform at least 2/6 ADLs even with the aid of special equipments, and always require physical assistance of another person throughout the entire activity for a continuous period of at least 6 months.</t>
  </si>
  <si>
    <t>TPD Definition (Short)</t>
  </si>
  <si>
    <t xml:space="preserve">1. Age ≤ 70 ANB: Total and irrecoverable loss of sight (both eyes), one eye and one limb, or both hands/feet. 
2. Age 18 and below: Permanent incapacity, confined for 6 months. 
3. Age 19-65: Continuous total disability for 6 months, unable to work. 
4. Age 19-65: Unable to perform 3/6 ADLs for 6 months. 
5. Age 66-70: Unable to perform 2/6 ADLs for 6 months. </t>
  </si>
  <si>
    <t xml:space="preserve">1. Total inability to work for 6 months, deemed permanent.
2. Irrecoverable loss of: both eyes, two limbs, or one eye and one limb. </t>
  </si>
  <si>
    <t xml:space="preserve">1. Age 18-64: Coverage for 3/6 ADLs. 
2. Age 65-70: Coverage for 2/6 ADLs. 
3. Any age: Irrecoverable loss of: both eyes, two limbs, or one eye and one limb. </t>
  </si>
  <si>
    <t xml:space="preserve">1. Age 17-65: Total inability to work. 
2. Irrecoverable loss of: both eyes, two limbs, or one eye and one limb. 
3. Unable to perform 3/6 ADLs. 
4. Confined for constant care. </t>
  </si>
  <si>
    <t xml:space="preserve">1. Age &lt; 65: Total inability to work or total physical loss. 
2. Age ≥ 65: Severe disability (3/6 ADLs) or total physical loss. </t>
  </si>
  <si>
    <t xml:space="preserve">1. Age 0-99: Total and irrecoverable loss of sight (both eyes), one eye and one limb, or both hands/feet. 
2. Age 0-18: Permanent incapacity, confined for 6 months. 
3. Age 18-65: Inability to work for 6 months or unable to perform 3/6 ADLs for 6 months. 
4. Age 65-70: Unable to perform 2/6 ADLs for 6 months. </t>
  </si>
  <si>
    <t>TPD Benefit (ADLs)</t>
  </si>
  <si>
    <t>- 3/6 ALDs: age 19 - 65
- 2/6 ADLs: age 66 to 70</t>
  </si>
  <si>
    <t>- 3/6 ADLs: age 18 - 64
- 2/6 ADLs: age 65 - 70</t>
  </si>
  <si>
    <t>- 3/6 ADLs: all ages</t>
  </si>
  <si>
    <t>- 3/6 ADLs: age 65 and above</t>
  </si>
  <si>
    <t>- 3/6 ADLs: age 18 - 65
- 2/6 ADLs: age 65 - 70</t>
  </si>
  <si>
    <t>TPD maximum aggregate amount</t>
  </si>
  <si>
    <t>$4,000,000
(per life)</t>
  </si>
  <si>
    <t>$3,000,000
(within insurer)</t>
  </si>
  <si>
    <t>$3,000,000
(per life)</t>
  </si>
  <si>
    <t>$4,000,000
(within Eitqa)</t>
  </si>
  <si>
    <t>$6,500,000
(all insurer)</t>
  </si>
  <si>
    <t>$5,000,000
(within Manulife)</t>
  </si>
  <si>
    <t>Advanced Critical Illness (CI)</t>
  </si>
  <si>
    <t>CI conditions - CI rider</t>
  </si>
  <si>
    <t>CI  maximum aggregate amount</t>
  </si>
  <si>
    <t>Early Critical Illness (ECI)</t>
  </si>
  <si>
    <t>ECI and Intermediate conditions - ECI rider</t>
  </si>
  <si>
    <t>CI conditions - ECI rider</t>
  </si>
  <si>
    <t>Total ECI and CI conditions - ECI rider</t>
  </si>
  <si>
    <t>Juvenile conditions - ECI rider</t>
  </si>
  <si>
    <t>Special conditions - ECI rider</t>
  </si>
  <si>
    <t>Mental conditions - ECI rider</t>
  </si>
  <si>
    <t>Other benefits - ECI rider</t>
  </si>
  <si>
    <t>1. Top 3 CI benefit
2. Monthly Payout Benefit</t>
  </si>
  <si>
    <t>1. Special Therapy Benefit</t>
  </si>
  <si>
    <t>Income Complete Life Secure</t>
  </si>
  <si>
    <t>Additonal Cover (AC): 
100%, 200%, 300%, 400%</t>
  </si>
  <si>
    <t>Booster: 
1x, 2x, 3x ,4x</t>
  </si>
  <si>
    <t>Booster:
1x, 2x, 3x ,4x</t>
  </si>
  <si>
    <t>Guaranteed Benefit (GB):
 2x, 3x, 4x, 5x</t>
  </si>
  <si>
    <t>Multiplier Benefit (MB): 
2x, 3x, 4x, 5x</t>
  </si>
  <si>
    <t>Multiplier Cover (MC): 
100%, 200%, 300%, 400%, 500%</t>
  </si>
  <si>
    <t>Life Multiplier Benefit (LBM): 
1x, 2x, 3x, 4x, 5x</t>
  </si>
  <si>
    <t>65, 75, 80</t>
  </si>
  <si>
    <t>Option to Purchase New Plan Without Health Underwriting at Covered Life-stage Events</t>
  </si>
  <si>
    <t>Option to purchase new plan without health underwriting at covered life-stage events - plan type</t>
  </si>
  <si>
    <t>1. Term</t>
  </si>
  <si>
    <t>Option to Purchase New Plan  Without Health Underwriting at Covered Life-stage Events - Coverage</t>
  </si>
  <si>
    <t>1. Death
2. TI
3. TPD (underwriting applies)</t>
  </si>
  <si>
    <t>Option to Purchase New Plan  Without Health Underwriting at Covered Life-stage Events – Maximum times</t>
  </si>
  <si>
    <t>Option to Purchase New Plan  Without Health Underwriting at Covered Life-stage Events – Covered events</t>
  </si>
  <si>
    <t>1. Life assured marries
2. Life assured divorces
3. Life assured is widowed
4. Life insured becomes a parent
5. Life Assured purchases a property
6. Life Assured or Life Assured’s child enrols into tertiary education; or
7. Life Assured enters full-time employment within one year from tertiary graduation</t>
  </si>
  <si>
    <t xml:space="preserve">1. Life insured turns 21 years old
2. Life assured marries
3. Life assured divorce
4. Life insured becomes a parent
5. Death of the life insured’s legal married spouse.
6. Life insured purchases a residential property </t>
  </si>
  <si>
    <t>1. Life assured marries
2. Life assured divorces
3. Life insured becomes a parent
4. Life insured graduates from tertiary education
5. life insured purchase his/her first house</t>
  </si>
  <si>
    <t>after age 65</t>
  </si>
  <si>
    <t>between age 55 - 70</t>
  </si>
  <si>
    <t>after age 50</t>
  </si>
  <si>
    <t>10 - 34 years</t>
  </si>
  <si>
    <t>5 - 15 years</t>
  </si>
  <si>
    <t>10 years</t>
  </si>
  <si>
    <t>10 - up to insured age 100</t>
  </si>
  <si>
    <t>20% - 80% of basic policy's sum assured</t>
  </si>
  <si>
    <t>Withdraw the accumulated reversionary bonus without surrender charge</t>
  </si>
  <si>
    <r>
      <t xml:space="preserve">3-year average (2021 to 2023): </t>
    </r>
    <r>
      <rPr>
        <sz val="7"/>
        <color rgb="FFFF0000"/>
        <rFont val="Aptos Narrow"/>
        <family val="2"/>
        <scheme val="minor"/>
      </rPr>
      <t>-2.51%</t>
    </r>
    <r>
      <rPr>
        <sz val="7"/>
        <rFont val="Aptos Narrow"/>
        <family val="2"/>
        <scheme val="minor"/>
      </rPr>
      <t xml:space="preserve">
5-year average (2019 to 2023): 2.52%
10-year average (2014 to 2023): 3.13%</t>
    </r>
  </si>
  <si>
    <r>
      <t xml:space="preserve">3-year average (2021 to 2023): </t>
    </r>
    <r>
      <rPr>
        <sz val="7"/>
        <color rgb="FFFF0000"/>
        <rFont val="Aptos Narrow"/>
        <family val="2"/>
        <scheme val="minor"/>
      </rPr>
      <t>-0.08%</t>
    </r>
    <r>
      <rPr>
        <sz val="7"/>
        <rFont val="Aptos Narrow"/>
        <family val="2"/>
        <scheme val="minor"/>
      </rPr>
      <t xml:space="preserve">
5-year average (2019 to 2023): 4.99%
10-year average (2014 to 2023): NA</t>
    </r>
  </si>
  <si>
    <r>
      <t xml:space="preserve">3-year average (2021 to 2023): </t>
    </r>
    <r>
      <rPr>
        <sz val="7"/>
        <color rgb="FFFF0000"/>
        <rFont val="Aptos Narrow"/>
        <family val="2"/>
        <scheme val="minor"/>
      </rPr>
      <t>-3.40%</t>
    </r>
    <r>
      <rPr>
        <sz val="7"/>
        <rFont val="Aptos Narrow"/>
        <family val="2"/>
        <scheme val="minor"/>
      </rPr>
      <t xml:space="preserve">
5-year average (2019 to 2023): NA
10-year average (2014 to 2023): NA</t>
    </r>
  </si>
  <si>
    <r>
      <t xml:space="preserve">3-year average (2021 to 2023): </t>
    </r>
    <r>
      <rPr>
        <sz val="7"/>
        <color rgb="FFFF0000"/>
        <rFont val="Aptos Narrow"/>
        <family val="2"/>
        <scheme val="minor"/>
      </rPr>
      <t>-2.48%</t>
    </r>
    <r>
      <rPr>
        <sz val="7"/>
        <rFont val="Aptos Narrow"/>
        <family val="2"/>
        <scheme val="minor"/>
      </rPr>
      <t xml:space="preserve">
5-year average (2019 to 2023): 1.26%
10-year average (2014 to 2023):NA</t>
    </r>
  </si>
  <si>
    <r>
      <t xml:space="preserve">3-year average (2021 to 2023): </t>
    </r>
    <r>
      <rPr>
        <sz val="7"/>
        <color rgb="FFFF0000"/>
        <rFont val="Aptos Narrow"/>
        <family val="2"/>
        <scheme val="minor"/>
      </rPr>
      <t>-1.48%</t>
    </r>
    <r>
      <rPr>
        <sz val="7"/>
        <rFont val="Aptos Narrow"/>
        <family val="2"/>
        <scheme val="minor"/>
      </rPr>
      <t xml:space="preserve">
5-year average (2019 to 2023): 2.72%
10-year average (2014 to 2023): 3.50%</t>
    </r>
  </si>
  <si>
    <r>
      <t xml:space="preserve">2022: </t>
    </r>
    <r>
      <rPr>
        <sz val="7"/>
        <color rgb="FFFF0000"/>
        <rFont val="Aptos Narrow"/>
        <family val="2"/>
        <scheme val="minor"/>
      </rPr>
      <t>-4.92%</t>
    </r>
    <r>
      <rPr>
        <sz val="7"/>
        <rFont val="Aptos Narrow"/>
        <family val="2"/>
        <scheme val="minor"/>
      </rPr>
      <t xml:space="preserve">
2023: 10.06%
3-year average (2021 to 2023): NA
5-year average (2019 to 2023): NA
10-year average (2014 to 2023): NA</t>
    </r>
  </si>
  <si>
    <t>1. Advanced Critical Secure
2. Early Critical Secure
3. Payor Premium Waiver
4. Enhanced Payor Premium Waiver
5. Dread Disease Premium Waiver
6. Hospital CashAid</t>
  </si>
  <si>
    <t>1. Death
2. TPD</t>
  </si>
  <si>
    <t>Sum of:
1. Base Sum assured
2. Additional sum assured (if any)
3. Accumulated reversionary bonuses (if any)
4. Terminal bonus (if any)</t>
  </si>
  <si>
    <t xml:space="preserve">Sum of:
1. Sum Insured
2. Accumulated reversionary bonus (if any)
3. a non-guaranteed terminal bonus (if any)
</t>
  </si>
  <si>
    <t xml:space="preserve">Higher of:
- Guaranteed Death Benefit
or
- Sum of:
1. Insured amount under Whole Life Accumulator
2. Accumulated reversionary bonus (if any)
3. Terminal bonus (if any)
</t>
  </si>
  <si>
    <t>Higher of:
- Guaranteed Death Benefit
or
- Sum of:
1. Insured amount under Whole Life Accumulator
2. Accumulated reversionary bonus (if any)
3. Terminal bonus (if any)</t>
  </si>
  <si>
    <t>Higher of:
- Sum of:
1. Basic Sum assured
2. Accumulated reversionary bonuses (if any)
3. Terminal bonus (if any)
Or 
- basic GB</t>
  </si>
  <si>
    <t>Higher of:
- Sum of:
1. Sum assured 
2. bonuses (if any)
or
- Multiplier Cover</t>
  </si>
  <si>
    <t xml:space="preserve">Higher of: 
- Sum of:
 1. Basic sum insured
 2. Accumulated reversionary bonus (if any)
 3. The claim bonus (if any)
or 
- Life Benefit Multiplier
</t>
  </si>
  <si>
    <t>Sum of:
1. Sum Insured
2. Accumulated reversionary bonus (if any)
3. a non-guaranteed terminal bonus (if any)</t>
  </si>
  <si>
    <t xml:space="preserve">Sum of:
1. Insured amount under Whole life accumulator
2. Accumulated reversionary bonus (if any)
3. Terminal Bonus (if any)
</t>
  </si>
  <si>
    <t>TPD rider</t>
  </si>
  <si>
    <t>- 3/6 ADLs: age 18 - 70</t>
  </si>
  <si>
    <t>$3,000,000
(within China Life)</t>
  </si>
  <si>
    <t>$6,500,000
(per life)</t>
  </si>
  <si>
    <t>Advanced Critical Illness (CI) rider</t>
  </si>
  <si>
    <t>Advanced CI conditions - CI rider</t>
  </si>
  <si>
    <t>CI maximum aggregate amount</t>
  </si>
  <si>
    <t>ICU Benefits - CI rider</t>
  </si>
  <si>
    <t>4 days stay in ICU within 1 hospital admission. 
Pays 20% of rider SA and pro-rated bonus (if any) or 20% of rider Multiplier Cover
(Major Impact Benefit)</t>
  </si>
  <si>
    <t>4 days stay in 1 hospital admission. 
Pays 20% of the rider sum insured 
(Recovery Plus Benefit)</t>
  </si>
  <si>
    <t>Child Benefit - CI rider</t>
  </si>
  <si>
    <t>Lump sum payment $10,000 per child upon diagnosis of advanced DD 
(Serious Illness of a Child Benefit)</t>
  </si>
  <si>
    <t>Early Critical Illness (ECI) rider</t>
  </si>
  <si>
    <t>Advanced CI conditions - ECI rider</t>
  </si>
  <si>
    <t>Benign Tumour Coverage - ECI rider</t>
  </si>
  <si>
    <t>Additional 20% SA, up to $25k
per life 
(Benign and Borderline Malignant Tumour Benefit)</t>
  </si>
  <si>
    <t>Additional 20% SA, up to
$25k per life 
(Special Benefit)</t>
  </si>
  <si>
    <t>Option to purchase term policy after DD diagnosis - ECI rider</t>
  </si>
  <si>
    <t>Yes
(Guaranteed Post-Early DD cover option)</t>
  </si>
  <si>
    <t>ICU Benefits - ECI rider</t>
  </si>
  <si>
    <t>4 or more days in 1 hospital admission, pays additional 20% of base SA, up to $25k  (Intensive Care Benefit)</t>
  </si>
  <si>
    <t>Additional Payout for specific conditions - ECI rider</t>
  </si>
  <si>
    <t>Pays out additional 20% of the Rider Sum insured for Major Cancer, Stroke with Permanent Neurological Deficit or Heart Attack of Specified Severity.  
(Top 3 CI benefit)</t>
  </si>
  <si>
    <t>Additional Payout 50% rider’s Multiplier Cover or Sum Assured for advanced stage Major Cancer, Heart Attack of Specified Severity, Stroke with Permanent Neurological Deficit 
(Advanced Restoration Benefit)</t>
  </si>
  <si>
    <t>Monthly Payout Benefit - ECI rider</t>
  </si>
  <si>
    <t>Yes, 12 monthly payouts @ 1% of rider SA for covered severe CI 
(Monthly Payout Benefit)</t>
  </si>
  <si>
    <r>
      <rPr>
        <b/>
        <sz val="11"/>
        <color theme="0"/>
        <rFont val="Aptos Narrow"/>
        <family val="2"/>
        <scheme val="minor"/>
      </rPr>
      <t>Profile:</t>
    </r>
    <r>
      <rPr>
        <sz val="11"/>
        <color theme="0"/>
        <rFont val="Aptos Narrow"/>
        <family val="2"/>
        <scheme val="minor"/>
      </rPr>
      <t xml:space="preserve">
ANB1 FNS 
100K for death, 50k for ECI, 50k for CI
3X multiplier with </t>
    </r>
    <r>
      <rPr>
        <b/>
        <sz val="11"/>
        <color theme="0"/>
        <rFont val="Aptos Narrow"/>
        <family val="2"/>
        <scheme val="minor"/>
      </rPr>
      <t>expiry age 80 and above</t>
    </r>
    <r>
      <rPr>
        <sz val="11"/>
        <color theme="0"/>
        <rFont val="Aptos Narrow"/>
        <family val="2"/>
        <scheme val="minor"/>
      </rPr>
      <t xml:space="preserve">
20 years premium payment term</t>
    </r>
  </si>
  <si>
    <t>Singlife 
Whole Life Choice</t>
  </si>
  <si>
    <t>China Life 
Multiplier Guardian</t>
  </si>
  <si>
    <t>China Life
Multiplier Guardian Plus</t>
  </si>
  <si>
    <t>China Taiping 
I-Secure Legacy (II)</t>
  </si>
  <si>
    <t>Etiqa 
Essential Lifetime secure</t>
  </si>
  <si>
    <t>Manulife 
LifeReady  Plus (II)</t>
  </si>
  <si>
    <t>Best Value</t>
  </si>
  <si>
    <t>2nd Best Value</t>
  </si>
  <si>
    <t>Sum Assured</t>
  </si>
  <si>
    <t>Death/TPD/TI</t>
  </si>
  <si>
    <t>Multiplier or Equivalent</t>
  </si>
  <si>
    <t>3x
(till ANB 80)</t>
  </si>
  <si>
    <t>3x
(till ALB 88)</t>
  </si>
  <si>
    <t>3x
(till ANB 86)</t>
  </si>
  <si>
    <t>3x
(till ANB 81)</t>
  </si>
  <si>
    <t>3x
(till ALB 80)</t>
  </si>
  <si>
    <t>Premium</t>
  </si>
  <si>
    <t>Premium Term (years)</t>
  </si>
  <si>
    <t>Annual Basic Premium (Death/TPD/TI)</t>
  </si>
  <si>
    <t>Annual Rider Premium (ECI)</t>
  </si>
  <si>
    <t>Annual Rider Premium (CI)</t>
  </si>
  <si>
    <t>Total Annual Premium</t>
  </si>
  <si>
    <t>Total Basic Premium</t>
  </si>
  <si>
    <t>Total Rider Premium (ECI)</t>
  </si>
  <si>
    <t>Total Rider Premium (CI)</t>
  </si>
  <si>
    <t>Total Premium Payable</t>
  </si>
  <si>
    <t>Death/TPD/TI @ Inception (SA)</t>
  </si>
  <si>
    <t>ECI @ Inception (SA)</t>
  </si>
  <si>
    <t>CI @ Inception (SA)</t>
  </si>
  <si>
    <t>Death/TPD/TI over Annual Basic Premium</t>
  </si>
  <si>
    <t>ECI over Annual Rider Premium (ECI)</t>
  </si>
  <si>
    <t>CI over Annual Rider Premium (CI)</t>
  </si>
  <si>
    <t xml:space="preserve">Guaranteed Death/TPD/TI </t>
  </si>
  <si>
    <t xml:space="preserve">Total Death/TPD/TI </t>
  </si>
  <si>
    <t>Guaranteed Surrender Value</t>
  </si>
  <si>
    <t>Total Surrender Value</t>
  </si>
  <si>
    <t>Guaranteed Death/TPD/TI over Total Basic Premium</t>
  </si>
  <si>
    <t>Total Death/TPD/TI over Total Basic Premium</t>
  </si>
  <si>
    <t>Guaranteed Surrender Value over Total Basic Premium</t>
  </si>
  <si>
    <t>Total Surrender Value over Total Basic Premium</t>
  </si>
  <si>
    <t>Notes</t>
  </si>
  <si>
    <t>1.</t>
  </si>
  <si>
    <t>The value comparison is based on the specified sum assured and the premium payment term.</t>
  </si>
  <si>
    <t>- Sum assured: Death/TPD/TI: $100k, ECI rider: $50k, CI rider: $50k</t>
  </si>
  <si>
    <t>- Premium Payment Term: 20 years</t>
  </si>
  <si>
    <t>2.</t>
  </si>
  <si>
    <t>The comparison includes two different ages (ANB 1 and ANB 30) and two different multiplier expiry ages (75 and below, and 80 and above).</t>
  </si>
  <si>
    <t>3.</t>
  </si>
  <si>
    <t>The values in the comparison are derived from the respective policy illustrations.</t>
  </si>
  <si>
    <t>4.</t>
  </si>
  <si>
    <t>Customer promotions are excluded from the comparison unless they are reflected in the policy illustration.</t>
  </si>
  <si>
    <t>Plan exclusions</t>
  </si>
  <si>
    <t>For the value comparison with a Multiplier Expiry Age of 75 or below, the following plans have been excluded from the comparison</t>
  </si>
  <si>
    <t>- China Life Whole Life Guardian Series 2 has is no multiplier benefit.</t>
  </si>
  <si>
    <t>- China Life Multiplier Guardian/ Guardian Plus only have multiplier expiry age is till age 88. Refer to Multiplier Exp. Age &gt;= 80 for the value comparison against other plans.</t>
  </si>
  <si>
    <t>For the value comparison with a Multiplier Expiry Age of 80 or above, the following plan has been excluded from the comparison</t>
  </si>
  <si>
    <r>
      <rPr>
        <b/>
        <sz val="11"/>
        <color theme="0"/>
        <rFont val="Aptos Narrow"/>
        <family val="2"/>
        <scheme val="minor"/>
      </rPr>
      <t>Profile:</t>
    </r>
    <r>
      <rPr>
        <sz val="11"/>
        <color theme="0"/>
        <rFont val="Aptos Narrow"/>
        <family val="2"/>
        <scheme val="minor"/>
      </rPr>
      <t xml:space="preserve">
ANB1 MNS 
100K for death, 50k for ECI, 50k for CI
3X multiplier with </t>
    </r>
    <r>
      <rPr>
        <b/>
        <sz val="11"/>
        <color theme="0"/>
        <rFont val="Aptos Narrow"/>
        <family val="2"/>
        <scheme val="minor"/>
      </rPr>
      <t>expiry age 75 and below</t>
    </r>
    <r>
      <rPr>
        <sz val="11"/>
        <color theme="0"/>
        <rFont val="Aptos Narrow"/>
        <family val="2"/>
        <scheme val="minor"/>
      </rPr>
      <t xml:space="preserve">
20 years premium payment term</t>
    </r>
  </si>
  <si>
    <t>Income 
Complete Life Secure</t>
  </si>
  <si>
    <t>3x
(till ANB 75)</t>
  </si>
  <si>
    <t>3x
(till ANB 76)</t>
  </si>
  <si>
    <t>3x
(till ALB 75)</t>
  </si>
  <si>
    <t>3x
(till ALB 70)</t>
  </si>
  <si>
    <t>Death/TPD/TI over Total Basic Premium</t>
  </si>
  <si>
    <t>Income 
Star Secure Pro</t>
  </si>
  <si>
    <r>
      <rPr>
        <b/>
        <sz val="11"/>
        <color theme="0"/>
        <rFont val="Aptos Narrow"/>
        <family val="2"/>
        <scheme val="minor"/>
      </rPr>
      <t>Profile:</t>
    </r>
    <r>
      <rPr>
        <sz val="11"/>
        <color theme="0"/>
        <rFont val="Aptos Narrow"/>
        <family val="2"/>
        <scheme val="minor"/>
      </rPr>
      <t xml:space="preserve">
ANB1 FNS 
100K for death, 50k for ECI, 50k for CI
3X multiplier with </t>
    </r>
    <r>
      <rPr>
        <b/>
        <sz val="11"/>
        <color theme="0"/>
        <rFont val="Aptos Narrow"/>
        <family val="2"/>
        <scheme val="minor"/>
      </rPr>
      <t>expiry age 75 and below</t>
    </r>
    <r>
      <rPr>
        <sz val="11"/>
        <color theme="0"/>
        <rFont val="Aptos Narrow"/>
        <family val="2"/>
        <scheme val="minor"/>
      </rPr>
      <t xml:space="preserve">
20 years premium payment term</t>
    </r>
  </si>
  <si>
    <r>
      <rPr>
        <b/>
        <sz val="11"/>
        <color theme="0"/>
        <rFont val="Aptos Narrow"/>
        <family val="2"/>
        <scheme val="minor"/>
      </rPr>
      <t>Profile:</t>
    </r>
    <r>
      <rPr>
        <sz val="11"/>
        <color theme="0"/>
        <rFont val="Aptos Narrow"/>
        <family val="2"/>
        <scheme val="minor"/>
      </rPr>
      <t xml:space="preserve">
ANB1 MNS 
100K for death, 50k for ECI, 50k for CI
3X multiplier with </t>
    </r>
    <r>
      <rPr>
        <b/>
        <sz val="11"/>
        <color theme="0"/>
        <rFont val="Aptos Narrow"/>
        <family val="2"/>
        <scheme val="minor"/>
      </rPr>
      <t>expiry age 80 and above</t>
    </r>
    <r>
      <rPr>
        <sz val="11"/>
        <color theme="0"/>
        <rFont val="Aptos Narrow"/>
        <family val="2"/>
        <scheme val="minor"/>
      </rPr>
      <t xml:space="preserve">
20 years premium payment term</t>
    </r>
  </si>
  <si>
    <t>China Life 
Multiplier Guardian Plus</t>
  </si>
  <si>
    <r>
      <rPr>
        <b/>
        <sz val="11"/>
        <color theme="0"/>
        <rFont val="Aptos Narrow"/>
        <family val="2"/>
        <scheme val="minor"/>
      </rPr>
      <t>Profile:</t>
    </r>
    <r>
      <rPr>
        <sz val="11"/>
        <color theme="0"/>
        <rFont val="Aptos Narrow"/>
        <family val="2"/>
        <scheme val="minor"/>
      </rPr>
      <t xml:space="preserve">
ANB30 MNS 
100K for death, 50k for ECI, 50k for CI
3X multiplier with </t>
    </r>
    <r>
      <rPr>
        <b/>
        <sz val="11"/>
        <color theme="0"/>
        <rFont val="Aptos Narrow"/>
        <family val="2"/>
        <scheme val="minor"/>
      </rPr>
      <t>expiry age 75 and below</t>
    </r>
    <r>
      <rPr>
        <sz val="11"/>
        <color theme="0"/>
        <rFont val="Aptos Narrow"/>
        <family val="2"/>
        <scheme val="minor"/>
      </rPr>
      <t xml:space="preserve">
20 years premium payment term</t>
    </r>
  </si>
  <si>
    <t>Etiqa
Essential Lifetime secure</t>
  </si>
  <si>
    <t>Coverage @ Policy Year 35 / ANB 65 / ALB 64</t>
  </si>
  <si>
    <r>
      <rPr>
        <b/>
        <sz val="11"/>
        <color theme="0"/>
        <rFont val="Aptos Narrow"/>
        <family val="2"/>
        <scheme val="minor"/>
      </rPr>
      <t>Profile:</t>
    </r>
    <r>
      <rPr>
        <sz val="11"/>
        <color theme="0"/>
        <rFont val="Aptos Narrow"/>
        <family val="2"/>
        <scheme val="minor"/>
      </rPr>
      <t xml:space="preserve">
ANB30 FNS 
100K for death, 50k for ECI, 50k for CI
3X multiplier with </t>
    </r>
    <r>
      <rPr>
        <b/>
        <sz val="11"/>
        <color theme="0"/>
        <rFont val="Aptos Narrow"/>
        <family val="2"/>
        <scheme val="minor"/>
      </rPr>
      <t>expiry age 75 and below</t>
    </r>
    <r>
      <rPr>
        <sz val="11"/>
        <color theme="0"/>
        <rFont val="Aptos Narrow"/>
        <family val="2"/>
        <scheme val="minor"/>
      </rPr>
      <t xml:space="preserve">
20 years premium payment term</t>
    </r>
  </si>
  <si>
    <t>Coverage @ Policy Year 50 / ANB 80 / ALB 79 |Policy Year 51 ALB 80 for Manulife</t>
  </si>
  <si>
    <t>Coverage @ Policy Year 60 / ANB 90 / ALB 89 | Policy Year 61 ANB 91 for China Taiping ALB 90 Manulife</t>
  </si>
  <si>
    <r>
      <rPr>
        <b/>
        <sz val="11"/>
        <color theme="0"/>
        <rFont val="Aptos Narrow"/>
        <family val="2"/>
        <scheme val="minor"/>
      </rPr>
      <t>Profile:</t>
    </r>
    <r>
      <rPr>
        <sz val="11"/>
        <color theme="0"/>
        <rFont val="Aptos Narrow"/>
        <family val="2"/>
        <scheme val="minor"/>
      </rPr>
      <t xml:space="preserve">
ANB30 MNS 
100K for death, 50k for ECI, 50k for CI
3X multiplier with </t>
    </r>
    <r>
      <rPr>
        <b/>
        <sz val="11"/>
        <color theme="0"/>
        <rFont val="Aptos Narrow"/>
        <family val="2"/>
        <scheme val="minor"/>
      </rPr>
      <t>expiry age 80 and above</t>
    </r>
    <r>
      <rPr>
        <sz val="11"/>
        <color theme="0"/>
        <rFont val="Aptos Narrow"/>
        <family val="2"/>
        <scheme val="minor"/>
      </rPr>
      <t xml:space="preserve">
20 years premium payment term</t>
    </r>
  </si>
  <si>
    <t>Coverage @ Policy Year 60 / ANB 90 / ALB 89 | Policy Year 61 ALB 90 for Manulife</t>
  </si>
  <si>
    <r>
      <rPr>
        <b/>
        <sz val="11"/>
        <color theme="0"/>
        <rFont val="Aptos Narrow"/>
        <family val="2"/>
        <scheme val="minor"/>
      </rPr>
      <t>Profile:</t>
    </r>
    <r>
      <rPr>
        <sz val="11"/>
        <color theme="0"/>
        <rFont val="Aptos Narrow"/>
        <family val="2"/>
        <scheme val="minor"/>
      </rPr>
      <t xml:space="preserve">
ANB30 FNS 
100K for death, 50k for ECI, 50k for CI
3X multiplier with </t>
    </r>
    <r>
      <rPr>
        <b/>
        <sz val="11"/>
        <color theme="0"/>
        <rFont val="Aptos Narrow"/>
        <family val="2"/>
        <scheme val="minor"/>
      </rPr>
      <t>expiry age 80 and above</t>
    </r>
    <r>
      <rPr>
        <sz val="11"/>
        <color theme="0"/>
        <rFont val="Aptos Narrow"/>
        <family val="2"/>
        <scheme val="minor"/>
      </rPr>
      <t xml:space="preserve">
20 years premium payment term</t>
    </r>
  </si>
  <si>
    <t>Singlife Elite Term II</t>
  </si>
  <si>
    <t>China Life Term Guardian</t>
  </si>
  <si>
    <t>China Taiping i-Protect</t>
  </si>
  <si>
    <t>Etiqa Essential Term Life Cover</t>
  </si>
  <si>
    <t>Manulife
ManuProtect Term II</t>
  </si>
  <si>
    <t>Income
TermLife Solitaire</t>
  </si>
  <si>
    <t>Tokio Marine Term Assure II</t>
  </si>
  <si>
    <t>Age 30</t>
  </si>
  <si>
    <t>Age 40</t>
  </si>
  <si>
    <t>Age 50</t>
  </si>
  <si>
    <t xml:space="preserve">DOB </t>
  </si>
  <si>
    <t>Etiqa Essential term life cover</t>
  </si>
  <si>
    <t>FWD Future First</t>
  </si>
  <si>
    <t>FWD Term Life Plus</t>
  </si>
  <si>
    <t>Great Eastern GREAT Term</t>
  </si>
  <si>
    <t>HSBC Life Term Protect Advantage</t>
  </si>
  <si>
    <t>HSBC Life Term Protector</t>
  </si>
  <si>
    <t>Manulife ManuProtect Term</t>
  </si>
  <si>
    <t>Prudential PruActive Protect</t>
  </si>
  <si>
    <t>Prudential PruActive Term</t>
  </si>
  <si>
    <t>Tokio Marine Term Assure (II)</t>
  </si>
  <si>
    <t>Percent</t>
  </si>
  <si>
    <t>Yearly Discount</t>
  </si>
  <si>
    <t>Discounted Premium</t>
  </si>
  <si>
    <t>Number of years</t>
  </si>
  <si>
    <t>Total Discount</t>
  </si>
  <si>
    <t>https://www.prudential.com.sg/products/promotions</t>
  </si>
  <si>
    <t>https://www.manulife.com.sg/en/promotions/latest-customer-offers.html</t>
  </si>
  <si>
    <t>https://www.insurance.hsbc.com.sg/hsbclife/promotions/</t>
  </si>
  <si>
    <t>https://www.tokiomarine.com/sg/en/life/products/personal/promotions.html</t>
  </si>
  <si>
    <t>https://singlife.com/en/promotions</t>
  </si>
  <si>
    <t>https://www.greateasternlife.com/sg/en/personal-insurance/our-products.html?gift=true</t>
  </si>
  <si>
    <t>https://www.fwd.com.sg/insurance-promotions/</t>
  </si>
  <si>
    <t>https://www.etiqa.com.sg/promotions/</t>
  </si>
  <si>
    <t>https://www.sg.cntaiping.com/en/promotions.html</t>
  </si>
  <si>
    <t>https://www.chinalife.com.sg/</t>
  </si>
  <si>
    <t>Important Notes:
1. This insurance product comparsion has been produced by Propel Product Management on behalf of PIAS, and is solely meant for FA Representatives of PIAS as a quick reference and not meant to be reproduced in any manner.
2. The product comparison encompasses only relevant approved products by PIAS only.  It is an overview of similar product category based on prescribed age and for standard lives.
3. The information is obtained from the latest policy illustrations and product information provided by the relevant life insurance product providers. PIAS and Propel shall not be liable for any damages, or in any other way whatsoever, for errors of fact on the placemat and no warranty or representation is given to this effect.  In the event of any discrepancy, the insurance product provider’s authorized documents shall apply.
4. This product comparison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t>
  </si>
  <si>
    <t xml:space="preserve">STRICTLY FOR PIAS' FA REPRESENTATIVES REFERENCE ONLY </t>
  </si>
  <si>
    <t>(NOT FOR CIRCULATION TO PROSPECTS OR CLIENTS)</t>
  </si>
  <si>
    <t>STRICTLY FOR PIAS' FA REPRESENTATIVES REFERENCE ONLY</t>
  </si>
  <si>
    <t xml:space="preserve">The above are similar products from non-providers of PIAS. We have included them for your reference to facilitate your comparisons against similar products from PIAS approved suite.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</si>
</sst>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00"/>
    <numFmt numFmtId="165" formatCode="_(&quot;$&quot;* #,##0_);_(&quot;$&quot;* \(#,##0\);_(&quot;$&quot;* &quot;-&quot;??_);_(@_)"/>
  </numFmts>
  <fonts count="34" x14ac:knownFonts="1">
    <font>
      <sz val="11"/>
      <color theme="1"/>
      <name val="Aptos Narrow"/>
      <family val="2"/>
      <scheme val="minor"/>
    </font>
    <font>
      <b/>
      <sz val="11"/>
      <color theme="0"/>
      <name val="Aptos Narrow"/>
      <family val="2"/>
      <scheme val="minor"/>
    </font>
    <font>
      <sz val="7"/>
      <color theme="1"/>
      <name val="Aptos Narrow"/>
      <family val="2"/>
      <scheme val="minor"/>
    </font>
    <font>
      <b/>
      <sz val="12"/>
      <color theme="0"/>
      <name val="Aptos Narrow"/>
      <family val="2"/>
      <scheme val="minor"/>
    </font>
    <font>
      <b/>
      <sz val="7"/>
      <color theme="1"/>
      <name val="Aptos Narrow"/>
      <family val="2"/>
      <scheme val="minor"/>
    </font>
    <font>
      <b/>
      <sz val="7"/>
      <name val="Aptos Narrow"/>
      <family val="2"/>
      <scheme val="minor"/>
    </font>
    <font>
      <sz val="7"/>
      <name val="Aptos Narrow"/>
      <family val="2"/>
      <scheme val="minor"/>
    </font>
    <font>
      <sz val="11"/>
      <color theme="1"/>
      <name val="Aptos Narrow"/>
      <family val="2"/>
      <scheme val="minor"/>
    </font>
    <font>
      <b/>
      <sz val="11"/>
      <color theme="1"/>
      <name val="Aptos Narrow"/>
      <family val="2"/>
      <scheme val="minor"/>
    </font>
    <font>
      <sz val="10"/>
      <color theme="1"/>
      <name val="Aptos Narrow"/>
      <family val="2"/>
      <scheme val="minor"/>
    </font>
    <font>
      <u/>
      <sz val="11"/>
      <color theme="10"/>
      <name val="Aptos Narrow"/>
      <family val="2"/>
      <scheme val="minor"/>
    </font>
    <font>
      <sz val="11"/>
      <color rgb="FFFF0000"/>
      <name val="Aptos Narrow"/>
      <family val="2"/>
      <scheme val="minor"/>
    </font>
    <font>
      <u/>
      <sz val="11"/>
      <color rgb="FF0000CC"/>
      <name val="Aptos Narrow"/>
      <family val="2"/>
      <scheme val="minor"/>
    </font>
    <font>
      <b/>
      <sz val="11"/>
      <name val="Aptos Narrow"/>
      <family val="2"/>
      <scheme val="minor"/>
    </font>
    <font>
      <sz val="11"/>
      <color rgb="FF0000CC"/>
      <name val="Aptos Narrow"/>
      <family val="2"/>
      <scheme val="minor"/>
    </font>
    <font>
      <sz val="12"/>
      <color rgb="FF000000"/>
      <name val="Aptos Narrow"/>
      <family val="2"/>
      <scheme val="minor"/>
    </font>
    <font>
      <u/>
      <sz val="11"/>
      <color indexed="12"/>
      <name val="Calibri"/>
      <family val="2"/>
    </font>
    <font>
      <b/>
      <sz val="7"/>
      <color rgb="FF0000CC"/>
      <name val="Aptos Narrow"/>
      <family val="2"/>
      <scheme val="minor"/>
    </font>
    <font>
      <sz val="11"/>
      <color theme="0"/>
      <name val="Aptos Narrow"/>
      <family val="2"/>
      <scheme val="minor"/>
    </font>
    <font>
      <b/>
      <sz val="11"/>
      <color rgb="FF0000CC"/>
      <name val="Aptos Narrow"/>
      <family val="2"/>
      <scheme val="minor"/>
    </font>
    <font>
      <sz val="11"/>
      <name val="Aptos Narrow"/>
      <family val="2"/>
      <scheme val="minor"/>
    </font>
    <font>
      <sz val="9"/>
      <color theme="1"/>
      <name val="Aptos Narrow"/>
      <family val="2"/>
      <scheme val="minor"/>
    </font>
    <font>
      <sz val="9"/>
      <name val="Aptos Narrow"/>
      <family val="2"/>
      <scheme val="minor"/>
    </font>
    <font>
      <b/>
      <sz val="9"/>
      <name val="Aptos Narrow"/>
      <family val="2"/>
      <scheme val="minor"/>
    </font>
    <font>
      <b/>
      <sz val="9"/>
      <color theme="0"/>
      <name val="Aptos Narrow"/>
      <family val="2"/>
      <scheme val="minor"/>
    </font>
    <font>
      <b/>
      <u/>
      <sz val="9"/>
      <name val="Aptos Narrow"/>
      <family val="2"/>
      <scheme val="minor"/>
    </font>
    <font>
      <i/>
      <sz val="9"/>
      <name val="Aptos Narrow"/>
      <family val="2"/>
      <scheme val="minor"/>
    </font>
    <font>
      <sz val="9"/>
      <color rgb="FF0000CC"/>
      <name val="Aptos Narrow"/>
      <family val="2"/>
      <scheme val="minor"/>
    </font>
    <font>
      <b/>
      <sz val="9"/>
      <color rgb="FF0000CC"/>
      <name val="Aptos Narrow"/>
      <family val="2"/>
      <scheme val="minor"/>
    </font>
    <font>
      <sz val="7"/>
      <color rgb="FFFF0000"/>
      <name val="Aptos Narrow"/>
      <family val="2"/>
      <scheme val="minor"/>
    </font>
    <font>
      <u/>
      <sz val="11"/>
      <color theme="1"/>
      <name val="Aptos Narrow"/>
      <family val="2"/>
      <scheme val="minor"/>
    </font>
    <font>
      <sz val="10"/>
      <name val="Arial"/>
      <family val="2"/>
    </font>
    <font>
      <sz val="14"/>
      <color indexed="8"/>
      <name val="Arial"/>
      <family val="2"/>
    </font>
    <font>
      <b/>
      <sz val="11"/>
      <color rgb="FF0000CC"/>
      <name val="Aptos Narrow"/>
      <family val="2"/>
    </font>
  </fonts>
  <fills count="20">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FFCCCC"/>
        <bgColor indexed="64"/>
      </patternFill>
    </fill>
    <fill>
      <patternFill patternType="solid">
        <fgColor rgb="FFCCEC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0000CC"/>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8">
    <xf numFmtId="0" fontId="0" fillId="0" borderId="0"/>
    <xf numFmtId="44" fontId="7" fillId="0" borderId="0" applyFont="0" applyFill="0" applyBorder="0" applyAlignment="0" applyProtection="0"/>
    <xf numFmtId="9" fontId="7"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6" fillId="0" borderId="0" applyNumberFormat="0" applyFill="0" applyBorder="0" applyAlignment="0" applyProtection="0">
      <alignment vertical="top"/>
      <protection locked="0"/>
    </xf>
    <xf numFmtId="0" fontId="31" fillId="0" borderId="0"/>
    <xf numFmtId="0" fontId="7" fillId="0" borderId="0"/>
  </cellStyleXfs>
  <cellXfs count="167">
    <xf numFmtId="0" fontId="0" fillId="0" borderId="0" xfId="0"/>
    <xf numFmtId="0" fontId="6" fillId="0" borderId="2" xfId="0" applyFont="1" applyBorder="1" applyAlignment="1">
      <alignment horizontal="left" vertical="top" wrapText="1"/>
    </xf>
    <xf numFmtId="17" fontId="6" fillId="0" borderId="2" xfId="0" quotePrefix="1" applyNumberFormat="1" applyFont="1" applyBorder="1" applyAlignment="1">
      <alignment horizontal="left" vertical="top" wrapText="1"/>
    </xf>
    <xf numFmtId="6" fontId="6" fillId="0" borderId="2" xfId="0" applyNumberFormat="1" applyFont="1" applyBorder="1" applyAlignment="1">
      <alignment horizontal="left" vertical="top" wrapText="1"/>
    </xf>
    <xf numFmtId="0" fontId="6" fillId="0" borderId="2" xfId="0" quotePrefix="1" applyFont="1" applyBorder="1" applyAlignment="1">
      <alignment horizontal="left" vertical="top" wrapText="1"/>
    </xf>
    <xf numFmtId="10" fontId="6" fillId="0" borderId="2" xfId="0" applyNumberFormat="1" applyFont="1" applyBorder="1" applyAlignment="1">
      <alignment horizontal="left" vertical="top" wrapText="1"/>
    </xf>
    <xf numFmtId="10" fontId="6" fillId="0" borderId="2" xfId="0" quotePrefix="1" applyNumberFormat="1" applyFont="1" applyBorder="1" applyAlignment="1">
      <alignment horizontal="left" vertical="top" wrapText="1"/>
    </xf>
    <xf numFmtId="6" fontId="6" fillId="0" borderId="2" xfId="0" quotePrefix="1" applyNumberFormat="1" applyFont="1" applyBorder="1" applyAlignment="1">
      <alignment horizontal="left" vertical="top" wrapText="1"/>
    </xf>
    <xf numFmtId="8" fontId="6" fillId="0" borderId="2" xfId="0" applyNumberFormat="1" applyFont="1" applyBorder="1" applyAlignment="1">
      <alignment horizontal="left" vertical="top" wrapText="1"/>
    </xf>
    <xf numFmtId="164" fontId="6" fillId="0" borderId="2" xfId="0" applyNumberFormat="1" applyFont="1" applyBorder="1" applyAlignment="1">
      <alignment horizontal="left" vertical="top" wrapText="1"/>
    </xf>
    <xf numFmtId="0" fontId="3" fillId="2" borderId="0" xfId="0" applyFont="1" applyFill="1" applyAlignment="1">
      <alignment horizontal="center"/>
    </xf>
    <xf numFmtId="0" fontId="0" fillId="2" borderId="0" xfId="0" applyFill="1"/>
    <xf numFmtId="0" fontId="9" fillId="2" borderId="0" xfId="0" applyFont="1" applyFill="1" applyAlignment="1">
      <alignment horizontal="center" vertical="center"/>
    </xf>
    <xf numFmtId="0" fontId="4" fillId="7" borderId="2" xfId="0" applyFont="1" applyFill="1" applyBorder="1" applyAlignment="1">
      <alignment horizontal="left" vertical="top" wrapText="1"/>
    </xf>
    <xf numFmtId="0" fontId="0" fillId="4" borderId="0" xfId="0" applyFill="1" applyAlignment="1">
      <alignment vertical="top"/>
    </xf>
    <xf numFmtId="0" fontId="0" fillId="4"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4" borderId="0" xfId="0" applyFill="1"/>
    <xf numFmtId="165" fontId="0" fillId="4" borderId="0" xfId="1" applyNumberFormat="1" applyFont="1" applyFill="1"/>
    <xf numFmtId="0" fontId="0" fillId="5" borderId="0" xfId="0" applyFill="1"/>
    <xf numFmtId="165" fontId="0" fillId="5" borderId="0" xfId="1" applyNumberFormat="1" applyFont="1" applyFill="1"/>
    <xf numFmtId="0" fontId="0" fillId="0" borderId="0" xfId="0" applyAlignment="1">
      <alignment vertical="top" wrapText="1"/>
    </xf>
    <xf numFmtId="165" fontId="0" fillId="4" borderId="0" xfId="1" applyNumberFormat="1" applyFont="1" applyFill="1" applyAlignment="1">
      <alignment vertical="top" wrapText="1"/>
    </xf>
    <xf numFmtId="165" fontId="0" fillId="5" borderId="0" xfId="1" applyNumberFormat="1" applyFont="1" applyFill="1" applyAlignment="1">
      <alignment vertical="top" wrapText="1"/>
    </xf>
    <xf numFmtId="14" fontId="0" fillId="0" borderId="0" xfId="0" applyNumberFormat="1"/>
    <xf numFmtId="0" fontId="0" fillId="3" borderId="0" xfId="0" applyFill="1"/>
    <xf numFmtId="0" fontId="10" fillId="0" borderId="0" xfId="3"/>
    <xf numFmtId="0" fontId="8" fillId="7" borderId="2" xfId="0" applyFont="1" applyFill="1" applyBorder="1" applyAlignment="1">
      <alignment horizontal="left" vertical="top" wrapText="1"/>
    </xf>
    <xf numFmtId="0" fontId="8" fillId="8" borderId="0" xfId="0" applyFont="1" applyFill="1" applyAlignment="1">
      <alignment vertical="center" wrapText="1"/>
    </xf>
    <xf numFmtId="0" fontId="8" fillId="9" borderId="0" xfId="0" applyFont="1" applyFill="1" applyAlignment="1">
      <alignment vertical="center" wrapText="1"/>
    </xf>
    <xf numFmtId="0" fontId="8" fillId="7" borderId="2" xfId="0" applyFont="1" applyFill="1" applyBorder="1" applyAlignment="1">
      <alignment horizontal="centerContinuous"/>
    </xf>
    <xf numFmtId="0" fontId="0" fillId="7" borderId="2" xfId="0" applyFill="1" applyBorder="1" applyAlignment="1">
      <alignment horizontal="centerContinuous"/>
    </xf>
    <xf numFmtId="0" fontId="0" fillId="0" borderId="2" xfId="0" applyBorder="1"/>
    <xf numFmtId="165" fontId="0" fillId="0" borderId="2" xfId="0" applyNumberFormat="1" applyBorder="1"/>
    <xf numFmtId="0" fontId="0" fillId="0" borderId="2" xfId="0" applyBorder="1" applyAlignment="1">
      <alignment horizontal="center" vertical="center" wrapText="1"/>
    </xf>
    <xf numFmtId="0" fontId="0" fillId="0" borderId="2" xfId="0" applyBorder="1" applyAlignment="1">
      <alignment horizontal="center" wrapText="1"/>
    </xf>
    <xf numFmtId="165" fontId="0" fillId="6" borderId="2" xfId="0" applyNumberFormat="1" applyFill="1" applyBorder="1"/>
    <xf numFmtId="2" fontId="0" fillId="0" borderId="2" xfId="0" applyNumberFormat="1" applyBorder="1"/>
    <xf numFmtId="0" fontId="8" fillId="10" borderId="2" xfId="0" applyFont="1" applyFill="1" applyBorder="1"/>
    <xf numFmtId="10" fontId="0" fillId="0" borderId="2" xfId="2" applyNumberFormat="1" applyFont="1" applyBorder="1"/>
    <xf numFmtId="0" fontId="8" fillId="7" borderId="3" xfId="0" applyFont="1" applyFill="1" applyBorder="1" applyAlignment="1">
      <alignment horizontal="centerContinuous"/>
    </xf>
    <xf numFmtId="0" fontId="0" fillId="7" borderId="3" xfId="0" applyFill="1" applyBorder="1" applyAlignment="1">
      <alignment horizontal="centerContinuous"/>
    </xf>
    <xf numFmtId="0" fontId="0" fillId="0" borderId="4" xfId="0" applyBorder="1"/>
    <xf numFmtId="2" fontId="0" fillId="0" borderId="0" xfId="0" applyNumberFormat="1"/>
    <xf numFmtId="0" fontId="8" fillId="7" borderId="5" xfId="0" applyFont="1" applyFill="1" applyBorder="1" applyAlignment="1">
      <alignment horizontal="centerContinuous"/>
    </xf>
    <xf numFmtId="0" fontId="0" fillId="7" borderId="6" xfId="0" applyFill="1" applyBorder="1" applyAlignment="1">
      <alignment horizontal="centerContinuous"/>
    </xf>
    <xf numFmtId="165" fontId="0" fillId="0" borderId="4" xfId="0" applyNumberFormat="1" applyBorder="1"/>
    <xf numFmtId="0" fontId="8" fillId="7" borderId="0" xfId="0" applyFont="1" applyFill="1" applyAlignment="1">
      <alignment horizontal="left" vertical="top" wrapText="1"/>
    </xf>
    <xf numFmtId="0" fontId="8" fillId="6" borderId="2" xfId="0" applyFont="1" applyFill="1" applyBorder="1" applyAlignment="1">
      <alignment wrapText="1"/>
    </xf>
    <xf numFmtId="0" fontId="8" fillId="10" borderId="2" xfId="0" applyFont="1" applyFill="1" applyBorder="1" applyAlignment="1">
      <alignment wrapText="1"/>
    </xf>
    <xf numFmtId="0" fontId="8" fillId="6" borderId="5" xfId="0" applyFont="1" applyFill="1" applyBorder="1" applyAlignment="1">
      <alignment wrapText="1"/>
    </xf>
    <xf numFmtId="0" fontId="8" fillId="11" borderId="2" xfId="0" applyFont="1" applyFill="1" applyBorder="1" applyAlignment="1">
      <alignment horizontal="center" wrapText="1"/>
    </xf>
    <xf numFmtId="0" fontId="8" fillId="12" borderId="2" xfId="0" applyFont="1" applyFill="1" applyBorder="1" applyAlignment="1">
      <alignment horizontal="center" wrapText="1"/>
    </xf>
    <xf numFmtId="0" fontId="0" fillId="0" borderId="2" xfId="0" applyBorder="1" applyAlignment="1">
      <alignment vertical="center"/>
    </xf>
    <xf numFmtId="0" fontId="8" fillId="0" borderId="2" xfId="0" applyFont="1" applyBorder="1"/>
    <xf numFmtId="0" fontId="12" fillId="0" borderId="2" xfId="3" applyFont="1" applyBorder="1" applyAlignment="1">
      <alignment horizontal="center"/>
    </xf>
    <xf numFmtId="0" fontId="8" fillId="4" borderId="2" xfId="0" applyFont="1" applyFill="1" applyBorder="1" applyAlignment="1">
      <alignment horizontal="centerContinuous"/>
    </xf>
    <xf numFmtId="0" fontId="0" fillId="4" borderId="2" xfId="0" applyFill="1" applyBorder="1" applyAlignment="1">
      <alignment horizontal="centerContinuous"/>
    </xf>
    <xf numFmtId="0" fontId="0" fillId="4" borderId="3" xfId="0" applyFill="1" applyBorder="1" applyAlignment="1">
      <alignment horizontal="centerContinuous"/>
    </xf>
    <xf numFmtId="0" fontId="8" fillId="11" borderId="2" xfId="0" applyFont="1" applyFill="1" applyBorder="1" applyAlignment="1">
      <alignment horizontal="centerContinuous"/>
    </xf>
    <xf numFmtId="0" fontId="0" fillId="11" borderId="2" xfId="0" applyFill="1" applyBorder="1" applyAlignment="1">
      <alignment horizontal="centerContinuous"/>
    </xf>
    <xf numFmtId="0" fontId="0" fillId="11" borderId="3" xfId="0" applyFill="1" applyBorder="1" applyAlignment="1">
      <alignment horizontal="centerContinuous"/>
    </xf>
    <xf numFmtId="0" fontId="8" fillId="12" borderId="2" xfId="0" applyFont="1" applyFill="1" applyBorder="1" applyAlignment="1">
      <alignment horizontal="centerContinuous"/>
    </xf>
    <xf numFmtId="0" fontId="0" fillId="12" borderId="2" xfId="0" applyFill="1" applyBorder="1" applyAlignment="1">
      <alignment horizontal="centerContinuous"/>
    </xf>
    <xf numFmtId="0" fontId="0" fillId="12" borderId="3" xfId="0" applyFill="1" applyBorder="1" applyAlignment="1">
      <alignment horizontal="centerContinuous"/>
    </xf>
    <xf numFmtId="0" fontId="8" fillId="0" borderId="0" xfId="0" applyFont="1"/>
    <xf numFmtId="0" fontId="13" fillId="7" borderId="8" xfId="0" applyFont="1" applyFill="1" applyBorder="1"/>
    <xf numFmtId="0" fontId="15" fillId="0" borderId="2" xfId="0" applyFont="1" applyBorder="1" applyAlignment="1">
      <alignment horizontal="left" vertical="center"/>
    </xf>
    <xf numFmtId="0" fontId="16" fillId="0" borderId="2" xfId="5" applyBorder="1" applyAlignment="1" applyProtection="1"/>
    <xf numFmtId="0" fontId="15" fillId="0" borderId="2" xfId="0" applyFont="1" applyBorder="1" applyAlignment="1">
      <alignment vertical="center" readingOrder="1"/>
    </xf>
    <xf numFmtId="0" fontId="8" fillId="13" borderId="2" xfId="0" applyFont="1" applyFill="1" applyBorder="1" applyAlignment="1">
      <alignment wrapText="1"/>
    </xf>
    <xf numFmtId="0" fontId="8" fillId="15" borderId="5" xfId="0" applyFont="1" applyFill="1" applyBorder="1" applyAlignment="1">
      <alignment wrapText="1"/>
    </xf>
    <xf numFmtId="0" fontId="8" fillId="16" borderId="5" xfId="0" applyFont="1" applyFill="1" applyBorder="1" applyAlignment="1">
      <alignment wrapText="1"/>
    </xf>
    <xf numFmtId="0" fontId="8" fillId="15" borderId="5" xfId="0" applyFont="1" applyFill="1" applyBorder="1"/>
    <xf numFmtId="0" fontId="8" fillId="17" borderId="2" xfId="0" applyFont="1" applyFill="1" applyBorder="1" applyAlignment="1">
      <alignment wrapText="1"/>
    </xf>
    <xf numFmtId="0" fontId="8" fillId="14" borderId="2" xfId="0" applyFont="1" applyFill="1" applyBorder="1" applyAlignment="1">
      <alignment wrapText="1"/>
    </xf>
    <xf numFmtId="0" fontId="20" fillId="2" borderId="2" xfId="0" applyFont="1" applyFill="1" applyBorder="1" applyAlignment="1">
      <alignment horizontal="left" vertical="top" wrapText="1"/>
    </xf>
    <xf numFmtId="6" fontId="20" fillId="2" borderId="2" xfId="0" applyNumberFormat="1" applyFont="1" applyFill="1" applyBorder="1" applyAlignment="1">
      <alignment horizontal="left" vertical="top" wrapText="1"/>
    </xf>
    <xf numFmtId="0" fontId="20" fillId="2" borderId="2" xfId="0" applyFont="1" applyFill="1" applyBorder="1" applyAlignment="1">
      <alignment horizontal="center" vertical="center"/>
    </xf>
    <xf numFmtId="6" fontId="19" fillId="2" borderId="2" xfId="0" applyNumberFormat="1" applyFont="1" applyFill="1" applyBorder="1" applyAlignment="1">
      <alignment horizontal="left" vertical="top" wrapText="1"/>
    </xf>
    <xf numFmtId="0" fontId="19" fillId="2" borderId="2" xfId="0" applyFont="1" applyFill="1" applyBorder="1" applyAlignment="1">
      <alignment horizontal="left" vertical="top" wrapText="1"/>
    </xf>
    <xf numFmtId="10" fontId="20" fillId="2" borderId="2" xfId="0" applyNumberFormat="1" applyFont="1" applyFill="1" applyBorder="1" applyAlignment="1">
      <alignment horizontal="left" vertical="top" wrapText="1"/>
    </xf>
    <xf numFmtId="0" fontId="4" fillId="13" borderId="2" xfId="0" applyFont="1" applyFill="1" applyBorder="1" applyAlignment="1">
      <alignment horizontal="left" vertical="top" wrapText="1"/>
    </xf>
    <xf numFmtId="0" fontId="4" fillId="14" borderId="2" xfId="0" applyFont="1" applyFill="1" applyBorder="1" applyAlignment="1">
      <alignment horizontal="left" vertical="top" wrapText="1"/>
    </xf>
    <xf numFmtId="0" fontId="5" fillId="14" borderId="2" xfId="0" applyFont="1" applyFill="1" applyBorder="1" applyAlignment="1">
      <alignment horizontal="left" vertical="top" wrapText="1"/>
    </xf>
    <xf numFmtId="0" fontId="5" fillId="13" borderId="2" xfId="0" applyFont="1" applyFill="1" applyBorder="1" applyAlignment="1">
      <alignment horizontal="left" vertical="top" wrapText="1"/>
    </xf>
    <xf numFmtId="0" fontId="21" fillId="0" borderId="6" xfId="0" applyFont="1" applyBorder="1" applyAlignment="1">
      <alignment vertical="top"/>
    </xf>
    <xf numFmtId="0" fontId="21" fillId="0" borderId="2" xfId="0" applyFont="1" applyBorder="1" applyAlignment="1">
      <alignment vertical="top"/>
    </xf>
    <xf numFmtId="0" fontId="22" fillId="0" borderId="2" xfId="0" quotePrefix="1" applyFont="1" applyBorder="1" applyAlignment="1">
      <alignment horizontal="left" vertical="top" wrapText="1"/>
    </xf>
    <xf numFmtId="0" fontId="22" fillId="0" borderId="2" xfId="0" applyFont="1" applyBorder="1" applyAlignment="1">
      <alignment horizontal="left" vertical="top"/>
    </xf>
    <xf numFmtId="0" fontId="21" fillId="0" borderId="12" xfId="0" applyFont="1" applyBorder="1" applyAlignment="1">
      <alignment vertical="top"/>
    </xf>
    <xf numFmtId="0" fontId="21" fillId="0" borderId="7" xfId="0" applyFont="1" applyBorder="1" applyAlignment="1">
      <alignment vertical="top"/>
    </xf>
    <xf numFmtId="0" fontId="22" fillId="0" borderId="9" xfId="0" applyFont="1" applyBorder="1" applyAlignment="1">
      <alignment horizontal="left" vertical="top"/>
    </xf>
    <xf numFmtId="0" fontId="22" fillId="0" borderId="7" xfId="0" quotePrefix="1" applyFont="1" applyBorder="1" applyAlignment="1">
      <alignment horizontal="left" vertical="top" wrapText="1"/>
    </xf>
    <xf numFmtId="0" fontId="8" fillId="14" borderId="2" xfId="0" applyFont="1" applyFill="1" applyBorder="1" applyAlignment="1">
      <alignment horizontal="left" vertical="top" wrapText="1"/>
    </xf>
    <xf numFmtId="0" fontId="22" fillId="0" borderId="12" xfId="0" quotePrefix="1" applyFont="1" applyBorder="1" applyAlignment="1">
      <alignment horizontal="left" vertical="top" wrapText="1"/>
    </xf>
    <xf numFmtId="0" fontId="22" fillId="0" borderId="5" xfId="0" quotePrefix="1" applyFont="1" applyBorder="1" applyAlignment="1">
      <alignment horizontal="left" vertical="top" wrapText="1"/>
    </xf>
    <xf numFmtId="0" fontId="18" fillId="15" borderId="2" xfId="0" applyFont="1" applyFill="1" applyBorder="1" applyAlignment="1">
      <alignment wrapText="1"/>
    </xf>
    <xf numFmtId="0" fontId="4" fillId="18" borderId="2" xfId="0" applyFont="1" applyFill="1" applyBorder="1" applyAlignment="1">
      <alignment horizontal="left" vertical="top" wrapText="1"/>
    </xf>
    <xf numFmtId="0" fontId="5" fillId="18" borderId="2" xfId="0" applyFont="1" applyFill="1" applyBorder="1" applyAlignment="1">
      <alignment horizontal="left" vertical="top" wrapText="1"/>
    </xf>
    <xf numFmtId="0" fontId="23" fillId="18" borderId="4" xfId="0" applyFont="1" applyFill="1" applyBorder="1"/>
    <xf numFmtId="0" fontId="23" fillId="18" borderId="11" xfId="0" applyFont="1" applyFill="1" applyBorder="1"/>
    <xf numFmtId="0" fontId="1" fillId="15" borderId="9" xfId="0" applyFont="1" applyFill="1" applyBorder="1"/>
    <xf numFmtId="0" fontId="1" fillId="15" borderId="12" xfId="0" applyFont="1" applyFill="1" applyBorder="1"/>
    <xf numFmtId="0" fontId="0" fillId="0" borderId="13" xfId="0" quotePrefix="1" applyBorder="1" applyAlignment="1">
      <alignment horizontal="right" vertical="top"/>
    </xf>
    <xf numFmtId="0" fontId="1" fillId="15" borderId="13" xfId="0" applyFont="1" applyFill="1" applyBorder="1"/>
    <xf numFmtId="0" fontId="0" fillId="0" borderId="10" xfId="0" applyBorder="1"/>
    <xf numFmtId="6" fontId="14" fillId="2" borderId="2" xfId="0" applyNumberFormat="1" applyFont="1" applyFill="1" applyBorder="1" applyAlignment="1">
      <alignment horizontal="left" vertical="top" wrapText="1"/>
    </xf>
    <xf numFmtId="0" fontId="14" fillId="2" borderId="2" xfId="0" applyFont="1" applyFill="1" applyBorder="1" applyAlignment="1">
      <alignment horizontal="left" vertical="top" wrapText="1"/>
    </xf>
    <xf numFmtId="0" fontId="24" fillId="19" borderId="10" xfId="0" applyFont="1" applyFill="1" applyBorder="1"/>
    <xf numFmtId="0" fontId="24" fillId="19" borderId="4" xfId="0" applyFont="1" applyFill="1" applyBorder="1"/>
    <xf numFmtId="0" fontId="1" fillId="15" borderId="0" xfId="0" applyFont="1" applyFill="1" applyAlignment="1">
      <alignment horizontal="centerContinuous" vertical="center"/>
    </xf>
    <xf numFmtId="0" fontId="0" fillId="15" borderId="0" xfId="0" applyFill="1" applyAlignment="1">
      <alignment horizontal="centerContinuous" vertical="center"/>
    </xf>
    <xf numFmtId="0" fontId="18" fillId="15" borderId="0" xfId="0" applyFont="1" applyFill="1" applyAlignment="1">
      <alignment horizontal="centerContinuous" vertical="center"/>
    </xf>
    <xf numFmtId="0" fontId="3" fillId="15" borderId="0" xfId="0" applyFont="1" applyFill="1" applyAlignment="1">
      <alignment horizontal="centerContinuous" vertical="center"/>
    </xf>
    <xf numFmtId="0" fontId="2" fillId="2" borderId="0" xfId="0" applyFont="1" applyFill="1" applyAlignment="1">
      <alignment vertical="top" wrapText="1"/>
    </xf>
    <xf numFmtId="0" fontId="8" fillId="6" borderId="2" xfId="0" applyFont="1" applyFill="1" applyBorder="1" applyAlignment="1">
      <alignment horizontal="center" vertical="center"/>
    </xf>
    <xf numFmtId="0" fontId="0" fillId="0" borderId="14" xfId="0" applyBorder="1" applyAlignment="1">
      <alignment horizontal="left" wrapText="1"/>
    </xf>
    <xf numFmtId="0" fontId="0" fillId="0" borderId="14" xfId="0" applyBorder="1" applyAlignment="1">
      <alignment horizontal="left" vertical="top" wrapText="1"/>
    </xf>
    <xf numFmtId="0" fontId="31" fillId="0" borderId="0" xfId="6"/>
    <xf numFmtId="0" fontId="0" fillId="0" borderId="14" xfId="0" applyBorder="1" applyAlignment="1">
      <alignment wrapText="1"/>
    </xf>
    <xf numFmtId="0" fontId="1" fillId="15" borderId="14" xfId="0" applyFont="1" applyFill="1" applyBorder="1" applyAlignment="1">
      <alignment wrapText="1"/>
    </xf>
    <xf numFmtId="0" fontId="0" fillId="0" borderId="14" xfId="0" quotePrefix="1" applyBorder="1" applyAlignment="1">
      <alignment horizontal="left" vertical="top" wrapText="1"/>
    </xf>
    <xf numFmtId="0" fontId="0" fillId="0" borderId="13" xfId="0" applyBorder="1" applyAlignment="1">
      <alignment vertical="top"/>
    </xf>
    <xf numFmtId="0" fontId="30" fillId="0" borderId="13" xfId="0" applyFont="1" applyBorder="1" applyAlignment="1">
      <alignment vertical="top"/>
    </xf>
    <xf numFmtId="0" fontId="0" fillId="0" borderId="13" xfId="0" applyBorder="1" applyAlignment="1">
      <alignment horizontal="right" vertical="top"/>
    </xf>
    <xf numFmtId="0" fontId="0" fillId="0" borderId="11" xfId="0" applyBorder="1" applyAlignment="1">
      <alignment horizontal="right" vertical="top"/>
    </xf>
    <xf numFmtId="0" fontId="0" fillId="0" borderId="14" xfId="0" quotePrefix="1" applyBorder="1" applyAlignment="1">
      <alignment horizontal="left" wrapText="1"/>
    </xf>
    <xf numFmtId="0" fontId="8" fillId="0" borderId="2" xfId="0" applyFont="1" applyBorder="1" applyAlignment="1">
      <alignment wrapText="1"/>
    </xf>
    <xf numFmtId="0" fontId="32" fillId="0" borderId="0" xfId="7" applyFont="1" applyAlignment="1">
      <alignment horizontal="center"/>
    </xf>
    <xf numFmtId="0" fontId="29" fillId="2" borderId="0" xfId="0" applyFont="1" applyFill="1" applyAlignment="1">
      <alignment horizontal="left" vertical="top" wrapText="1"/>
    </xf>
    <xf numFmtId="0" fontId="1" fillId="15" borderId="0" xfId="0" applyFont="1" applyFill="1" applyAlignment="1">
      <alignment horizontal="center"/>
    </xf>
    <xf numFmtId="0" fontId="3" fillId="15" borderId="1" xfId="0" applyFont="1" applyFill="1" applyBorder="1" applyAlignment="1">
      <alignment horizontal="center"/>
    </xf>
    <xf numFmtId="0" fontId="2" fillId="2" borderId="0" xfId="0" applyFont="1" applyFill="1" applyAlignment="1">
      <alignment horizontal="left" vertical="top" wrapText="1"/>
    </xf>
    <xf numFmtId="0" fontId="8" fillId="6" borderId="2" xfId="0" applyFont="1" applyFill="1" applyBorder="1" applyAlignment="1">
      <alignment horizontal="left" vertical="center" wrapText="1"/>
    </xf>
    <xf numFmtId="0" fontId="8" fillId="13" borderId="2" xfId="0" applyFont="1" applyFill="1" applyBorder="1" applyAlignment="1">
      <alignment horizontal="left" vertical="center" wrapText="1"/>
    </xf>
    <xf numFmtId="0" fontId="8" fillId="14" borderId="2" xfId="0" applyFont="1" applyFill="1" applyBorder="1" applyAlignment="1">
      <alignment horizontal="left" vertical="center" wrapText="1"/>
    </xf>
    <xf numFmtId="0" fontId="8" fillId="6" borderId="2" xfId="0" applyFont="1" applyFill="1" applyBorder="1" applyAlignment="1">
      <alignment horizontal="center" vertical="center"/>
    </xf>
    <xf numFmtId="0" fontId="3" fillId="15" borderId="0" xfId="0" applyFont="1" applyFill="1" applyAlignment="1">
      <alignment horizontal="center"/>
    </xf>
    <xf numFmtId="0" fontId="18" fillId="16" borderId="5" xfId="0" applyFont="1" applyFill="1" applyBorder="1" applyAlignment="1">
      <alignment horizontal="center" wrapText="1"/>
    </xf>
    <xf numFmtId="0" fontId="1" fillId="16" borderId="3" xfId="0" applyFont="1" applyFill="1" applyBorder="1" applyAlignment="1">
      <alignment horizontal="center" wrapText="1"/>
    </xf>
    <xf numFmtId="0" fontId="1" fillId="16" borderId="6" xfId="0" applyFont="1" applyFill="1"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8" fillId="10" borderId="5" xfId="0" applyFont="1" applyFill="1" applyBorder="1" applyAlignment="1">
      <alignment horizontal="center" wrapText="1"/>
    </xf>
    <xf numFmtId="0" fontId="8" fillId="10" borderId="3" xfId="0" applyFont="1" applyFill="1" applyBorder="1" applyAlignment="1">
      <alignment horizontal="center" wrapText="1"/>
    </xf>
    <xf numFmtId="0" fontId="8" fillId="10" borderId="6" xfId="0" applyFont="1" applyFill="1" applyBorder="1" applyAlignment="1">
      <alignment horizontal="center" wrapText="1"/>
    </xf>
    <xf numFmtId="0" fontId="1" fillId="15" borderId="2" xfId="0" applyFont="1" applyFill="1" applyBorder="1" applyAlignment="1">
      <alignment horizontal="center"/>
    </xf>
    <xf numFmtId="0" fontId="3" fillId="15" borderId="5" xfId="0" applyFont="1" applyFill="1" applyBorder="1" applyAlignment="1">
      <alignment horizontal="center" vertical="center"/>
    </xf>
    <xf numFmtId="0" fontId="3" fillId="15" borderId="3" xfId="0" applyFont="1" applyFill="1" applyBorder="1" applyAlignment="1">
      <alignment horizontal="center" vertical="center"/>
    </xf>
    <xf numFmtId="0" fontId="3" fillId="15" borderId="6" xfId="0" applyFont="1" applyFill="1" applyBorder="1" applyAlignment="1">
      <alignment horizontal="center" vertical="center"/>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wrapText="1"/>
    </xf>
    <xf numFmtId="0" fontId="1" fillId="15" borderId="5" xfId="0" applyFont="1" applyFill="1" applyBorder="1" applyAlignment="1">
      <alignment horizontal="center"/>
    </xf>
    <xf numFmtId="0" fontId="1" fillId="15" borderId="3" xfId="0" applyFont="1" applyFill="1" applyBorder="1" applyAlignment="1">
      <alignment horizontal="center"/>
    </xf>
    <xf numFmtId="0" fontId="1" fillId="15" borderId="6" xfId="0" applyFont="1" applyFill="1" applyBorder="1" applyAlignment="1">
      <alignment horizontal="center"/>
    </xf>
    <xf numFmtId="0" fontId="1" fillId="15" borderId="5" xfId="0" applyFont="1" applyFill="1" applyBorder="1" applyAlignment="1">
      <alignment horizontal="center" wrapText="1"/>
    </xf>
    <xf numFmtId="0" fontId="1" fillId="15" borderId="3" xfId="0" applyFont="1" applyFill="1" applyBorder="1" applyAlignment="1">
      <alignment horizontal="center" wrapText="1"/>
    </xf>
    <xf numFmtId="0" fontId="1" fillId="15" borderId="6" xfId="0" applyFont="1" applyFill="1" applyBorder="1" applyAlignment="1">
      <alignment horizontal="center" wrapText="1"/>
    </xf>
    <xf numFmtId="0" fontId="1" fillId="15" borderId="5" xfId="0" applyFont="1" applyFill="1" applyBorder="1" applyAlignment="1">
      <alignment horizontal="center" vertical="top" wrapText="1"/>
    </xf>
    <xf numFmtId="0" fontId="1" fillId="15" borderId="6" xfId="0" applyFont="1" applyFill="1" applyBorder="1" applyAlignment="1">
      <alignment horizontal="center" vertical="top" wrapText="1"/>
    </xf>
    <xf numFmtId="0" fontId="33" fillId="2" borderId="0" xfId="6" applyFont="1" applyFill="1" applyAlignment="1">
      <alignment horizontal="left" vertical="top"/>
    </xf>
    <xf numFmtId="0" fontId="1" fillId="15" borderId="1" xfId="0" applyFont="1" applyFill="1" applyBorder="1" applyAlignment="1">
      <alignment horizontal="center"/>
    </xf>
    <xf numFmtId="0" fontId="1" fillId="15" borderId="1" xfId="0" applyFont="1" applyFill="1" applyBorder="1" applyAlignment="1">
      <alignment horizontal="center" vertical="center"/>
    </xf>
    <xf numFmtId="0" fontId="0" fillId="0" borderId="0" xfId="0" applyAlignment="1">
      <alignment horizontal="center"/>
    </xf>
  </cellXfs>
  <cellStyles count="8">
    <cellStyle name="Currency" xfId="1" builtinId="4"/>
    <cellStyle name="Hyperlink" xfId="3" builtinId="8"/>
    <cellStyle name="Hyperlink 2" xfId="4" xr:uid="{A0ED89CE-1BC5-402C-A610-98637E9306FF}"/>
    <cellStyle name="Hyperlink 3" xfId="5" xr:uid="{B8CC5134-D36A-4890-AD97-0EA8333EDD76}"/>
    <cellStyle name="Normal" xfId="0" builtinId="0"/>
    <cellStyle name="Normal 3 2" xfId="6" xr:uid="{192AFAA4-AA78-4A4B-A5AD-071B691CDE26}"/>
    <cellStyle name="Normal 4 2" xfId="7" xr:uid="{94E5D7CE-94CF-407A-A1AE-9848495B6452}"/>
    <cellStyle name="Percent" xfId="2" builtinId="5"/>
  </cellStyles>
  <dxfs count="450">
    <dxf>
      <font>
        <color rgb="FF006100"/>
      </font>
      <fill>
        <patternFill>
          <bgColor rgb="FFC6EFCE"/>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ill>
        <patternFill>
          <bgColor rgb="FF92D050"/>
        </patternFill>
      </fill>
    </dxf>
    <dxf>
      <fill>
        <patternFill>
          <bgColor rgb="FF00B050"/>
        </patternFill>
      </fill>
    </dxf>
    <dxf>
      <font>
        <b/>
        <i val="0"/>
        <color rgb="FF0000CC"/>
      </font>
      <fill>
        <patternFill patternType="none">
          <bgColor auto="1"/>
        </patternFill>
      </fill>
    </dxf>
    <dxf>
      <font>
        <b/>
        <i val="0"/>
        <color rgb="FF0000CC"/>
      </font>
      <fill>
        <patternFill patternType="none">
          <bgColor auto="1"/>
        </patternFill>
      </fill>
    </dxf>
    <dxf>
      <font>
        <b/>
        <i val="0"/>
        <color rgb="FF0000CC"/>
      </font>
      <fill>
        <patternFill patternType="none">
          <bgColor auto="1"/>
        </patternFill>
      </fill>
    </dxf>
    <dxf>
      <font>
        <b/>
        <i val="0"/>
        <color rgb="FF0000CC"/>
      </font>
      <fill>
        <patternFill patternType="none">
          <bgColor auto="1"/>
        </patternFill>
      </fill>
    </dxf>
    <dxf>
      <font>
        <b/>
        <i val="0"/>
        <color rgb="FF0000CC"/>
      </font>
      <fill>
        <patternFill patternType="none">
          <bgColor auto="1"/>
        </patternFill>
      </fill>
    </dxf>
    <dxf>
      <font>
        <b/>
        <i val="0"/>
        <color rgb="FF0000CC"/>
      </font>
      <fill>
        <patternFill patternType="none">
          <bgColor auto="1"/>
        </patternFill>
      </fill>
    </dxf>
    <dxf>
      <font>
        <strike val="0"/>
        <outline val="0"/>
        <shadow val="0"/>
        <u/>
        <vertAlign val="baseline"/>
        <sz val="11"/>
        <color rgb="FF0000CC"/>
        <name val="Calibri"/>
        <family val="2"/>
      </fon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b/>
        <strike val="0"/>
        <outline val="0"/>
        <shadow val="0"/>
        <u val="none"/>
        <vertAlign val="baseline"/>
        <sz val="11"/>
        <color auto="1"/>
        <name val="Aptos Narrow"/>
        <family val="2"/>
        <scheme val="minor"/>
      </font>
      <fill>
        <patternFill patternType="solid">
          <fgColor indexed="64"/>
          <bgColor theme="0" tint="-0.14999847407452621"/>
        </patternFill>
      </fill>
      <border diagonalUp="0" diagonalDown="0" outline="0">
        <left style="thin">
          <color indexed="64"/>
        </left>
        <right style="thin">
          <color indexed="64"/>
        </right>
        <top/>
        <bottom/>
      </border>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9"/>
        <color auto="1"/>
        <name val="Aptos Narrow"/>
        <family val="2"/>
        <scheme val="minor"/>
      </font>
      <fill>
        <patternFill patternType="none">
          <fgColor indexed="64"/>
          <bgColor indexed="65"/>
        </patternFill>
      </fill>
      <alignment horizontal="left" vertical="top" textRotation="0" wrapText="0"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auto="1"/>
        <name val="Aptos Narrow"/>
        <family val="2"/>
        <scheme val="minor"/>
      </font>
      <fill>
        <patternFill patternType="none">
          <fgColor indexed="64"/>
          <bgColor indexed="65"/>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auto="1"/>
        <name val="Aptos Narrow"/>
        <family val="2"/>
        <scheme val="minor"/>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9"/>
        <name val="Aptos Narrow"/>
        <family val="2"/>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style="thin">
          <color indexed="64"/>
        </right>
        <top style="thin">
          <color indexed="64"/>
        </top>
        <bottom/>
      </border>
    </dxf>
    <dxf>
      <font>
        <strike val="0"/>
        <outline val="0"/>
        <shadow val="0"/>
        <u val="none"/>
        <vertAlign val="baseline"/>
        <sz val="9"/>
        <name val="Aptos Narrow"/>
        <family val="2"/>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9"/>
        <name val="Aptos Narrow"/>
        <family val="2"/>
        <scheme val="minor"/>
      </font>
    </dxf>
    <dxf>
      <border outline="0">
        <left style="thin">
          <color indexed="64"/>
        </left>
        <right style="thin">
          <color indexed="64"/>
        </right>
        <top style="thin">
          <color indexed="64"/>
        </top>
        <bottom style="thin">
          <color indexed="64"/>
        </bottom>
      </border>
    </dxf>
    <dxf>
      <font>
        <strike val="0"/>
        <outline val="0"/>
        <shadow val="0"/>
        <u val="none"/>
        <vertAlign val="baseline"/>
        <sz val="9"/>
        <name val="Aptos Narrow"/>
        <family val="2"/>
        <scheme val="minor"/>
      </font>
    </dxf>
    <dxf>
      <border outline="0">
        <bottom style="thin">
          <color indexed="64"/>
        </bottom>
      </border>
    </dxf>
    <dxf>
      <font>
        <b/>
        <i val="0"/>
        <strike val="0"/>
        <condense val="0"/>
        <extend val="0"/>
        <outline val="0"/>
        <shadow val="0"/>
        <u val="none"/>
        <vertAlign val="baseline"/>
        <sz val="9"/>
        <color auto="1"/>
        <name val="Aptos Narrow"/>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s>
  <tableStyles count="0" defaultTableStyle="TableStyleMedium2" defaultPivotStyle="PivotStyleLight16"/>
  <colors>
    <mruColors>
      <color rgb="FF0000CC"/>
      <color rgb="FFFFFFCC"/>
      <color rgb="FFCCECFF"/>
      <color rgb="FFFFCCCC"/>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Features!A1"/></Relationships>
</file>

<file path=xl/drawings/_rels/drawing3.xml.rels><?xml version="1.0" encoding="UTF-8" standalone="yes"?>
<Relationships xmlns="http://schemas.openxmlformats.org/package/2006/relationships"><Relationship Id="rId1" Type="http://schemas.openxmlformats.org/officeDocument/2006/relationships/hyperlink" Target="#Features!A1"/></Relationships>
</file>

<file path=xl/drawings/_rels/drawing4.xml.rels><?xml version="1.0" encoding="UTF-8" standalone="yes"?>
<Relationships xmlns="http://schemas.openxmlformats.org/package/2006/relationships"><Relationship Id="rId1" Type="http://schemas.openxmlformats.org/officeDocument/2006/relationships/hyperlink" Target="#Feature_summary!A1"/></Relationships>
</file>

<file path=xl/drawings/_rels/drawing5.xml.rels><?xml version="1.0" encoding="UTF-8" standalone="yes"?>
<Relationships xmlns="http://schemas.openxmlformats.org/package/2006/relationships"><Relationship Id="rId1" Type="http://schemas.openxmlformats.org/officeDocument/2006/relationships/hyperlink" Target="#'Overview &amp; Important Notes'!A1"/></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hyperlink" Target="#Age_1_Overview!A1"/></Relationships>
</file>

<file path=xl/drawings/_rels/drawing8.xml.rels><?xml version="1.0" encoding="UTF-8" standalone="yes"?>
<Relationships xmlns="http://schemas.openxmlformats.org/package/2006/relationships"><Relationship Id="rId1" Type="http://schemas.openxmlformats.org/officeDocument/2006/relationships/hyperlink" Target="#Age_1_summary!A1"/></Relationships>
</file>

<file path=xl/drawings/_rels/drawing9.xml.rels><?xml version="1.0" encoding="UTF-8" standalone="yes"?>
<Relationships xmlns="http://schemas.openxmlformats.org/package/2006/relationships"><Relationship Id="rId1" Type="http://schemas.openxmlformats.org/officeDocument/2006/relationships/hyperlink" Target="#Age_1_Overview!A1"/></Relationships>
</file>

<file path=xl/drawings/_rels/drawing10.xml.rels><?xml version="1.0" encoding="UTF-8" standalone="yes"?>
<Relationships xmlns="http://schemas.openxmlformats.org/package/2006/relationships"><Relationship Id="rId1" Type="http://schemas.openxmlformats.org/officeDocument/2006/relationships/hyperlink" Target="#Age_1_Overview!A1"/></Relationships>
</file>

<file path=xl/drawings/_rels/drawing11.xml.rels><?xml version="1.0" encoding="UTF-8" standalone="yes"?>
<Relationships xmlns="http://schemas.openxmlformats.org/package/2006/relationships"><Relationship Id="rId1" Type="http://schemas.openxmlformats.org/officeDocument/2006/relationships/hyperlink" Target="#Age_1_Overview!A1"/></Relationships>
</file>

<file path=xl/drawings/_rels/drawing12.xml.rels><?xml version="1.0" encoding="UTF-8" standalone="yes"?>
<Relationships xmlns="http://schemas.openxmlformats.org/package/2006/relationships"><Relationship Id="rId1" Type="http://schemas.openxmlformats.org/officeDocument/2006/relationships/hyperlink" Target="#Age_30_Overview!A1"/></Relationships>
</file>

<file path=xl/drawings/_rels/drawing13.xml.rels><?xml version="1.0" encoding="UTF-8" standalone="yes"?>
<Relationships xmlns="http://schemas.openxmlformats.org/package/2006/relationships"><Relationship Id="rId1" Type="http://schemas.openxmlformats.org/officeDocument/2006/relationships/hyperlink" Target="#Age_30_Overview!A1"/></Relationships>
</file>

<file path=xl/drawings/_rels/drawing14.xml.rels><?xml version="1.0" encoding="UTF-8" standalone="yes"?>
<Relationships xmlns="http://schemas.openxmlformats.org/package/2006/relationships"><Relationship Id="rId1" Type="http://schemas.openxmlformats.org/officeDocument/2006/relationships/hyperlink" Target="#Age_30_summary!A1"/></Relationships>
</file>

<file path=xl/drawings/_rels/drawing15.xml.rels><?xml version="1.0" encoding="UTF-8" standalone="yes"?>
<Relationships xmlns="http://schemas.openxmlformats.org/package/2006/relationships"><Relationship Id="rId1" Type="http://schemas.openxmlformats.org/officeDocument/2006/relationships/hyperlink" Target="#Age_30_Overview!A1"/></Relationships>
</file>

<file path=xl/drawings/_rels/drawing16.xml.rels><?xml version="1.0" encoding="UTF-8" standalone="yes"?>
<Relationships xmlns="http://schemas.openxmlformats.org/package/2006/relationships"><Relationship Id="rId1" Type="http://schemas.openxmlformats.org/officeDocument/2006/relationships/hyperlink" Target="#Age_30_Overview!A1"/></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14</xdr:row>
      <xdr:rowOff>59972</xdr:rowOff>
    </xdr:from>
    <xdr:to>
      <xdr:col>9</xdr:col>
      <xdr:colOff>1</xdr:colOff>
      <xdr:row>24</xdr:row>
      <xdr:rowOff>18922</xdr:rowOff>
    </xdr:to>
    <xdr:pic>
      <xdr:nvPicPr>
        <xdr:cNvPr id="2" name="Picture 1" descr="PIAS.png">
          <a:extLst>
            <a:ext uri="{FF2B5EF4-FFF2-40B4-BE49-F238E27FC236}">
              <a16:creationId xmlns:a16="http://schemas.microsoft.com/office/drawing/2014/main" id="{F3001580-0F59-4498-B900-84266FAD13FB}"/>
            </a:ext>
          </a:extLst>
        </xdr:cNvPr>
        <xdr:cNvPicPr>
          <a:picLocks noChangeAspect="1"/>
        </xdr:cNvPicPr>
      </xdr:nvPicPr>
      <xdr:blipFill>
        <a:blip xmlns:r="http://schemas.openxmlformats.org/officeDocument/2006/relationships" r:embed="rId1" cstate="print"/>
        <a:stretch>
          <a:fillRect/>
        </a:stretch>
      </xdr:blipFill>
      <xdr:spPr>
        <a:xfrm>
          <a:off x="609601" y="2666012"/>
          <a:ext cx="4876800" cy="1776320"/>
        </a:xfrm>
        <a:prstGeom prst="rect">
          <a:avLst/>
        </a:prstGeom>
      </xdr:spPr>
    </xdr:pic>
    <xdr:clientData/>
  </xdr:twoCellAnchor>
  <xdr:twoCellAnchor>
    <xdr:from>
      <xdr:col>0</xdr:col>
      <xdr:colOff>57150</xdr:colOff>
      <xdr:row>24</xdr:row>
      <xdr:rowOff>41275</xdr:rowOff>
    </xdr:from>
    <xdr:to>
      <xdr:col>10</xdr:col>
      <xdr:colOff>43367</xdr:colOff>
      <xdr:row>39</xdr:row>
      <xdr:rowOff>50800</xdr:rowOff>
    </xdr:to>
    <xdr:sp macro="" textlink="">
      <xdr:nvSpPr>
        <xdr:cNvPr id="3" name="TextBox 2">
          <a:extLst>
            <a:ext uri="{FF2B5EF4-FFF2-40B4-BE49-F238E27FC236}">
              <a16:creationId xmlns:a16="http://schemas.microsoft.com/office/drawing/2014/main" id="{9772B2E6-1BE3-4E27-9B87-4E0215290C54}"/>
            </a:ext>
          </a:extLst>
        </xdr:cNvPr>
        <xdr:cNvSpPr txBox="1"/>
      </xdr:nvSpPr>
      <xdr:spPr>
        <a:xfrm>
          <a:off x="53340" y="4460875"/>
          <a:ext cx="6087932" cy="272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Limited-Pay</a:t>
          </a:r>
          <a:r>
            <a:rPr lang="en-US" sz="2800" b="1" baseline="0">
              <a:solidFill>
                <a:schemeClr val="dk1"/>
              </a:solidFill>
              <a:latin typeface="Arial" pitchFamily="34" charset="0"/>
              <a:ea typeface="+mn-ea"/>
              <a:cs typeface="Arial" pitchFamily="34" charset="0"/>
            </a:rPr>
            <a:t> </a:t>
          </a:r>
          <a:r>
            <a:rPr lang="en-US" sz="2800" b="1">
              <a:solidFill>
                <a:schemeClr val="dk1"/>
              </a:solidFill>
              <a:latin typeface="Arial" pitchFamily="34" charset="0"/>
              <a:ea typeface="+mn-ea"/>
              <a:cs typeface="Arial" pitchFamily="34" charset="0"/>
            </a:rPr>
            <a:t>Whole Life Placemat</a:t>
          </a:r>
        </a:p>
        <a:p>
          <a:pPr algn="ctr"/>
          <a:r>
            <a:rPr lang="en-US" sz="2800" b="1">
              <a:solidFill>
                <a:schemeClr val="dk1"/>
              </a:solidFill>
              <a:latin typeface="Arial" pitchFamily="34" charset="0"/>
              <a:ea typeface="+mn-ea"/>
              <a:cs typeface="Arial" pitchFamily="34" charset="0"/>
            </a:rPr>
            <a:t>(with Multiplier)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1014</xdr:colOff>
      <xdr:row>5</xdr:row>
      <xdr:rowOff>8242</xdr:rowOff>
    </xdr:from>
    <xdr:to>
      <xdr:col>10</xdr:col>
      <xdr:colOff>0</xdr:colOff>
      <xdr:row>5</xdr:row>
      <xdr:rowOff>200715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70A1F092-0AFD-46E2-B30D-CDA669685AE6}"/>
            </a:ext>
          </a:extLst>
        </xdr:cNvPr>
        <xdr:cNvSpPr/>
      </xdr:nvSpPr>
      <xdr:spPr>
        <a:xfrm>
          <a:off x="1014" y="1684642"/>
          <a:ext cx="12109706" cy="192473"/>
        </a:xfrm>
        <a:prstGeom prst="rect">
          <a:avLst/>
        </a:prstGeom>
        <a:solidFill>
          <a:schemeClr val="accent6">
            <a:lumMod val="20000"/>
            <a:lumOff val="80000"/>
          </a:schemeClr>
        </a:solid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For full product features comparison, refer to 'Feature' tab or click here.</a:t>
          </a:r>
          <a:endParaRPr lang="en-US">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1014</xdr:colOff>
      <xdr:row>26</xdr:row>
      <xdr:rowOff>3797</xdr:rowOff>
    </xdr:from>
    <xdr:to>
      <xdr:col>11</xdr:col>
      <xdr:colOff>0</xdr:colOff>
      <xdr:row>27</xdr:row>
      <xdr:rowOff>16565</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15E6BA5D-D9A1-8279-A869-3E299CA245AB}"/>
            </a:ext>
          </a:extLst>
        </xdr:cNvPr>
        <xdr:cNvSpPr/>
      </xdr:nvSpPr>
      <xdr:spPr>
        <a:xfrm>
          <a:off x="613927" y="10125145"/>
          <a:ext cx="8248464" cy="194985"/>
        </a:xfrm>
        <a:prstGeom prst="rect">
          <a:avLst/>
        </a:prstGeom>
        <a:solidFill>
          <a:schemeClr val="accent6">
            <a:lumMod val="20000"/>
            <a:lumOff val="80000"/>
          </a:schemeClr>
        </a:solid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For full product features comparison, refer to 'Feature' tab or click here.</a:t>
          </a:r>
          <a:endParaRPr lang="en-US">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xdr:rowOff>
    </xdr:from>
    <xdr:to>
      <xdr:col>0</xdr:col>
      <xdr:colOff>598170</xdr:colOff>
      <xdr:row>1</xdr:row>
      <xdr:rowOff>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3437FA4-B520-4759-951E-142CDBEA11FD}"/>
            </a:ext>
          </a:extLst>
        </xdr:cNvPr>
        <xdr:cNvSpPr/>
      </xdr:nvSpPr>
      <xdr:spPr>
        <a:xfrm>
          <a:off x="0" y="2"/>
          <a:ext cx="598170" cy="183172"/>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16565</xdr:rowOff>
    </xdr:from>
    <xdr:to>
      <xdr:col>0</xdr:col>
      <xdr:colOff>598170</xdr:colOff>
      <xdr:row>0</xdr:row>
      <xdr:rowOff>154608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AD9A6598-350C-4788-B91B-26A971DF505F}"/>
            </a:ext>
          </a:extLst>
        </xdr:cNvPr>
        <xdr:cNvSpPr/>
      </xdr:nvSpPr>
      <xdr:spPr>
        <a:xfrm>
          <a:off x="0" y="16565"/>
          <a:ext cx="598170" cy="13804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403861</xdr:colOff>
      <xdr:row>3</xdr:row>
      <xdr:rowOff>53340</xdr:rowOff>
    </xdr:from>
    <xdr:to>
      <xdr:col>1</xdr:col>
      <xdr:colOff>3257551</xdr:colOff>
      <xdr:row>10</xdr:row>
      <xdr:rowOff>37831</xdr:rowOff>
    </xdr:to>
    <xdr:pic>
      <xdr:nvPicPr>
        <xdr:cNvPr id="2" name="Picture 1" descr="PIAS.png">
          <a:extLst>
            <a:ext uri="{FF2B5EF4-FFF2-40B4-BE49-F238E27FC236}">
              <a16:creationId xmlns:a16="http://schemas.microsoft.com/office/drawing/2014/main" id="{583CDBE5-FE04-4692-9D17-BE86A11B1286}"/>
            </a:ext>
          </a:extLst>
        </xdr:cNvPr>
        <xdr:cNvPicPr>
          <a:picLocks noChangeAspect="1"/>
        </xdr:cNvPicPr>
      </xdr:nvPicPr>
      <xdr:blipFill>
        <a:blip xmlns:r="http://schemas.openxmlformats.org/officeDocument/2006/relationships" r:embed="rId1" cstate="print"/>
        <a:stretch>
          <a:fillRect/>
        </a:stretch>
      </xdr:blipFill>
      <xdr:spPr>
        <a:xfrm>
          <a:off x="400051" y="600075"/>
          <a:ext cx="3320415" cy="12475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9</xdr:col>
      <xdr:colOff>3549</xdr:colOff>
      <xdr:row>0</xdr:row>
      <xdr:rowOff>0</xdr:rowOff>
    </xdr:from>
    <xdr:to>
      <xdr:col>9</xdr:col>
      <xdr:colOff>592738</xdr:colOff>
      <xdr:row>0</xdr:row>
      <xdr:rowOff>231913</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96DC67B-750C-4088-B0EF-1CE0439CE9AD}"/>
            </a:ext>
          </a:extLst>
        </xdr:cNvPr>
        <xdr:cNvSpPr/>
      </xdr:nvSpPr>
      <xdr:spPr>
        <a:xfrm>
          <a:off x="11913940" y="0"/>
          <a:ext cx="589189" cy="23191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589189</xdr:colOff>
      <xdr:row>0</xdr:row>
      <xdr:rowOff>894260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FADCDE5-D8B3-449A-96B0-4EE0558B7AA3}"/>
            </a:ext>
          </a:extLst>
        </xdr:cNvPr>
        <xdr:cNvSpPr/>
      </xdr:nvSpPr>
      <xdr:spPr>
        <a:xfrm>
          <a:off x="0" y="0"/>
          <a:ext cx="589189" cy="894260"/>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18143</xdr:colOff>
      <xdr:row>0</xdr:row>
      <xdr:rowOff>0</xdr:rowOff>
    </xdr:from>
    <xdr:to>
      <xdr:col>9</xdr:col>
      <xdr:colOff>607332</xdr:colOff>
      <xdr:row>0</xdr:row>
      <xdr:rowOff>272143</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440E86A3-0D20-4E2E-8F0F-566511646B1F}"/>
            </a:ext>
          </a:extLst>
        </xdr:cNvPr>
        <xdr:cNvSpPr/>
      </xdr:nvSpPr>
      <xdr:spPr>
        <a:xfrm>
          <a:off x="11348357" y="0"/>
          <a:ext cx="589189" cy="27214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9072</xdr:colOff>
      <xdr:row>0</xdr:row>
      <xdr:rowOff>0</xdr:rowOff>
    </xdr:from>
    <xdr:to>
      <xdr:col>11</xdr:col>
      <xdr:colOff>602071</xdr:colOff>
      <xdr:row>0</xdr:row>
      <xdr:rowOff>299357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9172E72A-B643-4B1C-A970-A55ED43026E1}"/>
            </a:ext>
          </a:extLst>
        </xdr:cNvPr>
        <xdr:cNvSpPr/>
      </xdr:nvSpPr>
      <xdr:spPr>
        <a:xfrm>
          <a:off x="13135429" y="0"/>
          <a:ext cx="592999" cy="299357"/>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18143</xdr:colOff>
      <xdr:row>0</xdr:row>
      <xdr:rowOff>9073</xdr:rowOff>
    </xdr:from>
    <xdr:to>
      <xdr:col>12</xdr:col>
      <xdr:colOff>7166</xdr:colOff>
      <xdr:row>0</xdr:row>
      <xdr:rowOff>290287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3E257E97-2B4E-44A7-8149-5888F1ABB2B6}"/>
            </a:ext>
          </a:extLst>
        </xdr:cNvPr>
        <xdr:cNvSpPr/>
      </xdr:nvSpPr>
      <xdr:spPr>
        <a:xfrm>
          <a:off x="13144500" y="9073"/>
          <a:ext cx="596809" cy="281214"/>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9071</xdr:colOff>
      <xdr:row>0</xdr:row>
      <xdr:rowOff>18143</xdr:rowOff>
    </xdr:from>
    <xdr:to>
      <xdr:col>9</xdr:col>
      <xdr:colOff>605880</xdr:colOff>
      <xdr:row>0</xdr:row>
      <xdr:rowOff>353786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2EBB93B8-A28C-432F-A312-8984C60CD83B}"/>
            </a:ext>
          </a:extLst>
        </xdr:cNvPr>
        <xdr:cNvSpPr/>
      </xdr:nvSpPr>
      <xdr:spPr>
        <a:xfrm>
          <a:off x="11339285" y="18143"/>
          <a:ext cx="596809" cy="33564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18143</xdr:colOff>
      <xdr:row>0</xdr:row>
      <xdr:rowOff>9071</xdr:rowOff>
    </xdr:from>
    <xdr:to>
      <xdr:col>10</xdr:col>
      <xdr:colOff>7166</xdr:colOff>
      <xdr:row>0</xdr:row>
      <xdr:rowOff>317500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3CE8FF0-97BB-47F2-A146-956469F3CB97}"/>
            </a:ext>
          </a:extLst>
        </xdr:cNvPr>
        <xdr:cNvSpPr/>
      </xdr:nvSpPr>
      <xdr:spPr>
        <a:xfrm>
          <a:off x="11956143" y="9071"/>
          <a:ext cx="596809" cy="308429"/>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596809</xdr:colOff>
      <xdr:row>0</xdr:row>
      <xdr:rowOff>894260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E5F52D8-E401-443D-965D-E07684A3B781}"/>
            </a:ext>
          </a:extLst>
        </xdr:cNvPr>
        <xdr:cNvSpPr/>
      </xdr:nvSpPr>
      <xdr:spPr>
        <a:xfrm>
          <a:off x="0" y="0"/>
          <a:ext cx="592999" cy="898070"/>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18143</xdr:colOff>
      <xdr:row>0</xdr:row>
      <xdr:rowOff>0</xdr:rowOff>
    </xdr:from>
    <xdr:to>
      <xdr:col>12</xdr:col>
      <xdr:colOff>7166</xdr:colOff>
      <xdr:row>0</xdr:row>
      <xdr:rowOff>290286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AB22C723-3456-40E1-B654-56D42543ED6A}"/>
            </a:ext>
          </a:extLst>
        </xdr:cNvPr>
        <xdr:cNvSpPr/>
      </xdr:nvSpPr>
      <xdr:spPr>
        <a:xfrm>
          <a:off x="13752286" y="0"/>
          <a:ext cx="596809" cy="290286"/>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18143</xdr:colOff>
      <xdr:row>0</xdr:row>
      <xdr:rowOff>1</xdr:rowOff>
    </xdr:from>
    <xdr:to>
      <xdr:col>12</xdr:col>
      <xdr:colOff>9071</xdr:colOff>
      <xdr:row>0</xdr:row>
      <xdr:rowOff>290287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DFDDFFB-BBA4-D111-B814-88A7CDA1B65B}"/>
            </a:ext>
          </a:extLst>
        </xdr:cNvPr>
        <xdr:cNvSpPr/>
      </xdr:nvSpPr>
      <xdr:spPr>
        <a:xfrm>
          <a:off x="13144500" y="1"/>
          <a:ext cx="598714" cy="290286"/>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Back</a:t>
          </a:r>
          <a:endParaRPr 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g-s0007\product%20and%20research\Documents%20and%20Settings\User\Desktop\KEN\SP-WL\WHOLE%20LIFE\LPWhole%20Life%20with%20CI%20Benefit%20Comparison%20with%20Multiplier_1507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Content Page"/>
      <sheetName val="Summary"/>
      <sheetName val="Highlights "/>
      <sheetName val="ProductSpecification"/>
      <sheetName val="DB Ratios"/>
      <sheetName val="D.B. Ratio (FNS)"/>
      <sheetName val="D.B. Ratio (MNS)"/>
      <sheetName val="C.V. Ratio (MNS)"/>
      <sheetName val="C.V. Ratio (FNS)"/>
      <sheetName val="M0"/>
      <sheetName val="M10"/>
      <sheetName val="M20"/>
      <sheetName val="M30"/>
      <sheetName val="M40"/>
      <sheetName val="M50"/>
      <sheetName val="F0"/>
      <sheetName val="F10"/>
      <sheetName val="F20"/>
      <sheetName val="F30"/>
      <sheetName val="F40"/>
      <sheetName val="F50"/>
      <sheetName val="Workspace"/>
      <sheetName val="D.B. Ratio (MNS30) "/>
      <sheetName val="C.V. Ratio (MNS30)"/>
      <sheetName val="50KSA"/>
      <sheetName val="100KSA"/>
      <sheetName val="250KSA"/>
      <sheetName val="500KSA"/>
      <sheetName val="M30_AGE60_20YR"/>
      <sheetName val="TotalDB@Inception"/>
      <sheetName val="TotalDB@Age60"/>
      <sheetName val="CV3.25"/>
      <sheetName val="CV4.75"/>
      <sheetName val="MPB Summary"/>
      <sheetName val="MPB_Line"/>
      <sheetName val="Line_DB_M0"/>
      <sheetName val="Line_DB_M30"/>
      <sheetName val="Appendix (CI Table)"/>
      <sheetName val="Disclaimer"/>
      <sheetName val="Charting"/>
    </sheetNames>
    <sheetDataSet>
      <sheetData sheetId="0"/>
      <sheetData sheetId="1" refreshError="1"/>
      <sheetData sheetId="2" refreshError="1"/>
      <sheetData sheetId="3" refreshError="1"/>
      <sheetData sheetId="4" refreshError="1"/>
      <sheetData sheetId="5" refreshError="1"/>
      <sheetData sheetId="6">
        <row r="20">
          <cell r="A20" t="str">
            <v>FNS 0</v>
          </cell>
          <cell r="B20">
            <v>14.245014245014245</v>
          </cell>
          <cell r="C20">
            <v>6.1907238194289675</v>
          </cell>
          <cell r="D20">
            <v>14.836795252225519</v>
          </cell>
          <cell r="E20">
            <v>9.025270758122744</v>
          </cell>
          <cell r="F20">
            <v>13.265798359864929</v>
          </cell>
          <cell r="G20">
            <v>12.338062924120914</v>
          </cell>
          <cell r="H20">
            <v>5.5988533548329302</v>
          </cell>
          <cell r="I20">
            <v>12.850167052171678</v>
          </cell>
        </row>
        <row r="21">
          <cell r="A21" t="str">
            <v>FNS10</v>
          </cell>
          <cell r="B21">
            <v>11.574074074074074</v>
          </cell>
          <cell r="C21">
            <v>5.1836032262746476</v>
          </cell>
          <cell r="D21">
            <v>11.210762331838565</v>
          </cell>
          <cell r="E21">
            <v>7.8277886497064575</v>
          </cell>
          <cell r="F21">
            <v>10.54245735096799</v>
          </cell>
          <cell r="G21">
            <v>10.01001001001001</v>
          </cell>
          <cell r="H21">
            <v>4.6899475663862082</v>
          </cell>
          <cell r="I21">
            <v>9.7068530382450007</v>
          </cell>
        </row>
        <row r="22">
          <cell r="A22" t="str">
            <v>FNS20</v>
          </cell>
          <cell r="B22">
            <v>8.0601826974744757</v>
          </cell>
          <cell r="C22">
            <v>4.1350336591739856</v>
          </cell>
          <cell r="D22">
            <v>7.7881619937694708</v>
          </cell>
          <cell r="E22">
            <v>5.4716568176843952</v>
          </cell>
          <cell r="F22">
            <v>7.1500071500071503</v>
          </cell>
          <cell r="G22">
            <v>6.9979006298110571</v>
          </cell>
          <cell r="H22">
            <v>3.7422068542260742</v>
          </cell>
          <cell r="I22">
            <v>6.7640692640692643</v>
          </cell>
        </row>
        <row r="23">
          <cell r="A23" t="str">
            <v>FNS30</v>
          </cell>
          <cell r="B23">
            <v>6.2604340567612686</v>
          </cell>
          <cell r="C23">
            <v>3.1770641385708296</v>
          </cell>
          <cell r="D23">
            <v>5.4957133435919978</v>
          </cell>
          <cell r="E23">
            <v>3.9123630672926448</v>
          </cell>
          <cell r="F23">
            <v>4.294149221685454</v>
          </cell>
          <cell r="G23">
            <v>5.4854635216675813</v>
          </cell>
          <cell r="H23">
            <v>2.8890044490668516</v>
          </cell>
          <cell r="I23">
            <v>4.7673531655225023</v>
          </cell>
        </row>
        <row r="24">
          <cell r="A24" t="str">
            <v>FNS40</v>
          </cell>
          <cell r="B24">
            <v>4.6425255338904368</v>
          </cell>
          <cell r="C24">
            <v>2.4345590526643814</v>
          </cell>
          <cell r="D24">
            <v>3.3835222466587718</v>
          </cell>
          <cell r="E24">
            <v>2.705293553755947</v>
          </cell>
          <cell r="F24">
            <v>2.4925224327018944</v>
          </cell>
          <cell r="G24">
            <v>4.1000410004100045</v>
          </cell>
          <cell r="H24">
            <v>2.2087049479408245</v>
          </cell>
          <cell r="I24">
            <v>2.9895366218236172</v>
          </cell>
        </row>
        <row r="25">
          <cell r="A25" t="str">
            <v>FNS50</v>
          </cell>
          <cell r="B25">
            <v>2.0938023450586263</v>
          </cell>
          <cell r="C25">
            <v>1.8026202888518752</v>
          </cell>
          <cell r="D25">
            <v>2.097800925925926</v>
          </cell>
          <cell r="E25">
            <v>1.6836231570339371</v>
          </cell>
          <cell r="F25">
            <v>1.9094901661256445</v>
          </cell>
          <cell r="G25">
            <v>1.8248841198583889</v>
          </cell>
          <cell r="H25">
            <v>1.5979546180888462</v>
          </cell>
          <cell r="I25" t="str">
            <v>N.A.</v>
          </cell>
        </row>
        <row r="31">
          <cell r="A31" t="str">
            <v>FNS 0</v>
          </cell>
          <cell r="B31">
            <v>14.245014245014245</v>
          </cell>
          <cell r="C31">
            <v>4.9525790555431737</v>
          </cell>
          <cell r="D31">
            <v>14.836795252225519</v>
          </cell>
          <cell r="E31">
            <v>9.025270758122744</v>
          </cell>
          <cell r="F31">
            <v>4.8239266763145201</v>
          </cell>
          <cell r="G31">
            <v>12.338062924120914</v>
          </cell>
          <cell r="H31">
            <v>4.479082683866344</v>
          </cell>
          <cell r="I31">
            <v>12.850167052171678</v>
          </cell>
        </row>
        <row r="32">
          <cell r="A32" t="str">
            <v>FNS10</v>
          </cell>
          <cell r="B32">
            <v>11.574074074074074</v>
          </cell>
          <cell r="C32">
            <v>5.1836032262746476</v>
          </cell>
          <cell r="D32">
            <v>11.210762331838565</v>
          </cell>
          <cell r="E32">
            <v>7.8277886497064575</v>
          </cell>
          <cell r="F32">
            <v>3.8336208548974509</v>
          </cell>
          <cell r="G32">
            <v>10.01001001001001</v>
          </cell>
          <cell r="H32">
            <v>4.6899475663862082</v>
          </cell>
          <cell r="I32">
            <v>9.7068530382450007</v>
          </cell>
        </row>
        <row r="33">
          <cell r="A33" t="str">
            <v>FNS20</v>
          </cell>
          <cell r="B33">
            <v>8.0601826974744757</v>
          </cell>
          <cell r="C33">
            <v>4.1350336591739856</v>
          </cell>
          <cell r="D33">
            <v>7.7881619937694708</v>
          </cell>
          <cell r="E33">
            <v>5.4716568176843952</v>
          </cell>
          <cell r="F33">
            <v>2.8600028600028602</v>
          </cell>
          <cell r="G33">
            <v>6.9979006298110571</v>
          </cell>
          <cell r="H33">
            <v>3.7422068542260742</v>
          </cell>
          <cell r="I33">
            <v>6.7640692640692643</v>
          </cell>
        </row>
        <row r="34">
          <cell r="A34" t="str">
            <v>FNS30</v>
          </cell>
          <cell r="B34">
            <v>6.2604340567612686</v>
          </cell>
          <cell r="C34">
            <v>3.1770641385708296</v>
          </cell>
          <cell r="D34">
            <v>5.4957133435919978</v>
          </cell>
          <cell r="E34">
            <v>3.9123630672926448</v>
          </cell>
          <cell r="F34">
            <v>2.147074610842727</v>
          </cell>
          <cell r="G34">
            <v>5.4854635216675813</v>
          </cell>
          <cell r="H34">
            <v>2.8890044490668516</v>
          </cell>
          <cell r="I34">
            <v>4.7673531655225023</v>
          </cell>
        </row>
        <row r="35">
          <cell r="A35" t="str">
            <v>FNS40</v>
          </cell>
          <cell r="B35">
            <v>4.6425255338904368</v>
          </cell>
          <cell r="C35">
            <v>2.4345590526643814</v>
          </cell>
          <cell r="D35">
            <v>3.3835222466587718</v>
          </cell>
          <cell r="E35">
            <v>2.705293553755947</v>
          </cell>
          <cell r="F35">
            <v>1.6616816218012629</v>
          </cell>
          <cell r="G35">
            <v>4.1000410004100045</v>
          </cell>
          <cell r="H35">
            <v>2.2087049479408245</v>
          </cell>
          <cell r="I35">
            <v>2.9895366218236172</v>
          </cell>
        </row>
        <row r="36">
          <cell r="A36" t="str">
            <v>FNS50</v>
          </cell>
          <cell r="B36">
            <v>2.0938023450586263</v>
          </cell>
          <cell r="C36">
            <v>1.8026202888518752</v>
          </cell>
          <cell r="D36">
            <v>2.097800925925926</v>
          </cell>
          <cell r="E36">
            <v>1.6836231570339371</v>
          </cell>
          <cell r="F36">
            <v>1.9094901661256445</v>
          </cell>
          <cell r="G36">
            <v>1.8248841198583889</v>
          </cell>
          <cell r="H36">
            <v>1.5979546180888462</v>
          </cell>
          <cell r="I36" t="str">
            <v>N.A.</v>
          </cell>
        </row>
        <row r="42">
          <cell r="A42" t="str">
            <v>FNS 0</v>
          </cell>
          <cell r="B42">
            <v>14.245014245014245</v>
          </cell>
          <cell r="C42">
            <v>6.419830126538395</v>
          </cell>
          <cell r="D42">
            <v>14.836795252225519</v>
          </cell>
          <cell r="E42">
            <v>10.236040914560769</v>
          </cell>
          <cell r="F42">
            <v>5.8433188615533043</v>
          </cell>
          <cell r="G42">
            <v>12.338062924120914</v>
          </cell>
          <cell r="H42">
            <v>5.8060557197885876</v>
          </cell>
          <cell r="I42">
            <v>12.850167052171678</v>
          </cell>
        </row>
        <row r="43">
          <cell r="A43" t="str">
            <v>FNS10</v>
          </cell>
          <cell r="B43">
            <v>11.574074074074074</v>
          </cell>
          <cell r="C43">
            <v>5.1836032262746476</v>
          </cell>
          <cell r="D43">
            <v>11.210762331838565</v>
          </cell>
          <cell r="E43">
            <v>8.6326418786692756</v>
          </cell>
          <cell r="F43">
            <v>4.5066896683917959</v>
          </cell>
          <cell r="G43">
            <v>10.01001001001001</v>
          </cell>
          <cell r="H43">
            <v>4.6899475663862082</v>
          </cell>
          <cell r="I43">
            <v>9.7068530382450007</v>
          </cell>
        </row>
        <row r="44">
          <cell r="A44" t="str">
            <v>FNS20</v>
          </cell>
          <cell r="B44">
            <v>8.0601826974744757</v>
          </cell>
          <cell r="C44">
            <v>4.1350336591739856</v>
          </cell>
          <cell r="D44">
            <v>7.7881619937694708</v>
          </cell>
          <cell r="E44">
            <v>5.9917268548916613</v>
          </cell>
          <cell r="F44">
            <v>3.8874302874302873</v>
          </cell>
          <cell r="G44">
            <v>6.9979006298110571</v>
          </cell>
          <cell r="H44">
            <v>3.7422068542260742</v>
          </cell>
          <cell r="I44">
            <v>6.7640692640692643</v>
          </cell>
        </row>
        <row r="45">
          <cell r="A45" t="str">
            <v>FNS30</v>
          </cell>
          <cell r="B45">
            <v>6.2604340567612686</v>
          </cell>
          <cell r="C45">
            <v>3.1770641385708296</v>
          </cell>
          <cell r="D45">
            <v>5.4957133435919978</v>
          </cell>
          <cell r="E45">
            <v>4.2359467918622844</v>
          </cell>
          <cell r="F45">
            <v>2.7217391304347824</v>
          </cell>
          <cell r="G45">
            <v>5.4854635216675813</v>
          </cell>
          <cell r="H45">
            <v>2.8890044490668516</v>
          </cell>
          <cell r="I45">
            <v>4.7673531655225023</v>
          </cell>
        </row>
        <row r="46">
          <cell r="A46" t="str">
            <v>FNS40</v>
          </cell>
          <cell r="B46">
            <v>4.6425255338904368</v>
          </cell>
          <cell r="C46">
            <v>2.4345590526643814</v>
          </cell>
          <cell r="D46">
            <v>3.3835222466587718</v>
          </cell>
          <cell r="E46">
            <v>2.8967577644865528</v>
          </cell>
          <cell r="F46">
            <v>1.964506480558325</v>
          </cell>
          <cell r="G46">
            <v>4.1000410004100045</v>
          </cell>
          <cell r="H46">
            <v>2.2087049479408245</v>
          </cell>
          <cell r="I46">
            <v>2.9895366218236172</v>
          </cell>
        </row>
        <row r="47">
          <cell r="A47" t="str">
            <v>FNS50</v>
          </cell>
          <cell r="B47">
            <v>2.0938023450586263</v>
          </cell>
          <cell r="C47">
            <v>1.8026202888518752</v>
          </cell>
          <cell r="D47">
            <v>2.097800925925926</v>
          </cell>
          <cell r="E47">
            <v>1.780041850061332</v>
          </cell>
          <cell r="F47">
            <v>1.9094901661256445</v>
          </cell>
          <cell r="G47">
            <v>1.8248841198583889</v>
          </cell>
          <cell r="H47">
            <v>1.5979546180888462</v>
          </cell>
          <cell r="I47" t="str">
            <v>N.A.</v>
          </cell>
        </row>
        <row r="53">
          <cell r="A53" t="str">
            <v>FNS 0</v>
          </cell>
          <cell r="B53">
            <v>14.245014245014245</v>
          </cell>
          <cell r="C53">
            <v>19.137607409058266</v>
          </cell>
          <cell r="D53">
            <v>16.674362017804153</v>
          </cell>
          <cell r="E53">
            <v>12.117418772563177</v>
          </cell>
          <cell r="F53">
            <v>11.61041968162084</v>
          </cell>
          <cell r="G53">
            <v>12.338062924120914</v>
          </cell>
          <cell r="H53">
            <v>17.307936934515812</v>
          </cell>
          <cell r="I53">
            <v>14.441685941917244</v>
          </cell>
        </row>
        <row r="54">
          <cell r="A54" t="str">
            <v>FNS10</v>
          </cell>
          <cell r="B54">
            <v>11.574074074074074</v>
          </cell>
          <cell r="C54">
            <v>12.261917103817206</v>
          </cell>
          <cell r="D54">
            <v>11.210762331838565</v>
          </cell>
          <cell r="E54">
            <v>9.8535159817351605</v>
          </cell>
          <cell r="F54">
            <v>8.2177496645581751</v>
          </cell>
          <cell r="G54">
            <v>10.01001001001001</v>
          </cell>
          <cell r="H54">
            <v>11.094164767237903</v>
          </cell>
          <cell r="I54">
            <v>9.7068530382450007</v>
          </cell>
        </row>
        <row r="55">
          <cell r="A55" t="str">
            <v>FNS20</v>
          </cell>
          <cell r="B55">
            <v>8.0601826974744757</v>
          </cell>
          <cell r="C55">
            <v>7.6696273507666355</v>
          </cell>
          <cell r="D55">
            <v>7.7881619937694708</v>
          </cell>
          <cell r="E55">
            <v>6.7656817684394834</v>
          </cell>
          <cell r="F55">
            <v>6.5792935792935792</v>
          </cell>
          <cell r="G55">
            <v>6.9979006298110571</v>
          </cell>
          <cell r="H55">
            <v>6.941015335563689</v>
          </cell>
          <cell r="I55">
            <v>6.7640692640692643</v>
          </cell>
        </row>
        <row r="56">
          <cell r="A56" t="str">
            <v>FNS30</v>
          </cell>
          <cell r="B56">
            <v>6.2604340567612686</v>
          </cell>
          <cell r="C56">
            <v>4.8491148699309941</v>
          </cell>
          <cell r="D56">
            <v>5.4957133435919978</v>
          </cell>
          <cell r="E56">
            <v>4.7082003129890451</v>
          </cell>
          <cell r="F56">
            <v>3.9745571658615138</v>
          </cell>
          <cell r="G56">
            <v>5.4854635216675813</v>
          </cell>
          <cell r="H56">
            <v>4.4094528225573466</v>
          </cell>
          <cell r="I56">
            <v>4.7673531655225023</v>
          </cell>
        </row>
        <row r="57">
          <cell r="A57" t="str">
            <v>FNS40</v>
          </cell>
          <cell r="B57">
            <v>4.6425255338904368</v>
          </cell>
          <cell r="C57">
            <v>3.1632517918354628</v>
          </cell>
          <cell r="D57">
            <v>3.3835222466587718</v>
          </cell>
          <cell r="E57">
            <v>3.1742150237889399</v>
          </cell>
          <cell r="F57">
            <v>2.4066467264872049</v>
          </cell>
          <cell r="G57">
            <v>4.1000410004100045</v>
          </cell>
          <cell r="H57">
            <v>2.8697968433188885</v>
          </cell>
          <cell r="I57">
            <v>2.9895366218236172</v>
          </cell>
        </row>
        <row r="58">
          <cell r="A58" t="str">
            <v>FNS50</v>
          </cell>
          <cell r="B58">
            <v>2.0938023450586263</v>
          </cell>
          <cell r="C58">
            <v>1.8901987929654547</v>
          </cell>
          <cell r="D58">
            <v>2.097800925925926</v>
          </cell>
          <cell r="E58">
            <v>1.9134232869134378</v>
          </cell>
          <cell r="F58">
            <v>1.9094901661256445</v>
          </cell>
          <cell r="G58">
            <v>1.8248841198583889</v>
          </cell>
          <cell r="H58">
            <v>1.6755896452540748</v>
          </cell>
          <cell r="I58" t="str">
            <v>N.A.</v>
          </cell>
        </row>
        <row r="75">
          <cell r="A75" t="str">
            <v>FNS 0</v>
          </cell>
          <cell r="B75">
            <v>7.9957356076759059</v>
          </cell>
          <cell r="C75">
            <v>11.904761904761905</v>
          </cell>
          <cell r="D75">
            <v>10.668563300142248</v>
          </cell>
          <cell r="E75">
            <v>6.0913705583756341</v>
          </cell>
          <cell r="F75">
            <v>4.8801436714296873</v>
          </cell>
          <cell r="G75">
            <v>11.111111111111111</v>
          </cell>
          <cell r="H75">
            <v>10.721247563352826</v>
          </cell>
          <cell r="I75">
            <v>9.3095422808378583</v>
          </cell>
          <cell r="J75">
            <v>4.3335066736002776</v>
          </cell>
          <cell r="K75">
            <v>9.6993210475266736</v>
          </cell>
        </row>
        <row r="76">
          <cell r="A76" t="str">
            <v>FNS10</v>
          </cell>
          <cell r="B76">
            <v>6.8933823529411766</v>
          </cell>
          <cell r="C76">
            <v>9.4893029675638374</v>
          </cell>
          <cell r="D76">
            <v>8.6705202312138727</v>
          </cell>
          <cell r="E76">
            <v>4.8859934853420199</v>
          </cell>
          <cell r="F76">
            <v>4.0728552344335469</v>
          </cell>
          <cell r="G76">
            <v>8.4118438761776577</v>
          </cell>
          <cell r="H76">
            <v>8.5470085470085468</v>
          </cell>
          <cell r="I76">
            <v>7.5757575757575761</v>
          </cell>
          <cell r="J76">
            <v>3.7038408829956664</v>
          </cell>
          <cell r="K76">
            <v>7.3421439060205582</v>
          </cell>
        </row>
        <row r="77">
          <cell r="A77" t="str">
            <v>FNS20</v>
          </cell>
          <cell r="B77">
            <v>4.8885412592882282</v>
          </cell>
          <cell r="C77">
            <v>6.4366632337796084</v>
          </cell>
          <cell r="D77">
            <v>6.0704168352893566</v>
          </cell>
          <cell r="E77">
            <v>3.7759597230962871</v>
          </cell>
          <cell r="F77">
            <v>3.2631963661045269</v>
          </cell>
          <cell r="G77">
            <v>5.8657907085875172</v>
          </cell>
          <cell r="H77">
            <v>5.7870370370370372</v>
          </cell>
          <cell r="I77">
            <v>5.3097345132743365</v>
          </cell>
          <cell r="J77">
            <v>2.9479393903661339</v>
          </cell>
          <cell r="K77">
            <v>5.13083632632119</v>
          </cell>
        </row>
        <row r="78">
          <cell r="A78" t="str">
            <v>FNS30</v>
          </cell>
          <cell r="B78">
            <v>3.5330695308083664</v>
          </cell>
          <cell r="C78">
            <v>3.8446751249519417</v>
          </cell>
          <cell r="D78">
            <v>4.804612427930814</v>
          </cell>
          <cell r="E78">
            <v>2.8639618138424821</v>
          </cell>
          <cell r="F78">
            <v>2.5431315104166665</v>
          </cell>
          <cell r="G78">
            <v>4.2186972662841713</v>
          </cell>
          <cell r="H78">
            <v>3.4349506225848003</v>
          </cell>
          <cell r="I78">
            <v>4.2372881355932206</v>
          </cell>
          <cell r="J78">
            <v>2.2928417480625489</v>
          </cell>
          <cell r="K78">
            <v>3.6845983787767134</v>
          </cell>
        </row>
        <row r="79">
          <cell r="A79" t="str">
            <v>FNS40</v>
          </cell>
          <cell r="B79">
            <v>2.4765801658231936</v>
          </cell>
          <cell r="C79">
            <v>2.2156573116691285</v>
          </cell>
          <cell r="D79">
            <v>3.5394053798961775</v>
          </cell>
          <cell r="E79">
            <v>1.874136910633261</v>
          </cell>
          <cell r="F79">
            <v>1.9345952052992432</v>
          </cell>
          <cell r="G79">
            <v>2.5799793601651189</v>
          </cell>
          <cell r="H79">
            <v>1.9639934533551555</v>
          </cell>
          <cell r="I79">
            <v>3.0800821355236141</v>
          </cell>
          <cell r="J79">
            <v>1.7473963793947018</v>
          </cell>
          <cell r="K79" t="str">
            <v>N.A.</v>
          </cell>
        </row>
        <row r="80">
          <cell r="A80" t="str">
            <v>FNS50</v>
          </cell>
          <cell r="B80">
            <v>1.4874628134296644</v>
          </cell>
          <cell r="C80" t="str">
            <v>N.A.</v>
          </cell>
          <cell r="D80">
            <v>2.0505249343832022</v>
          </cell>
          <cell r="E80">
            <v>1.1846336097478423</v>
          </cell>
          <cell r="F80">
            <v>1.3678992350707477</v>
          </cell>
          <cell r="G80" t="str">
            <v>N.A.</v>
          </cell>
          <cell r="H80" t="str">
            <v>N.A.</v>
          </cell>
          <cell r="I80">
            <v>1.8889308651303363</v>
          </cell>
          <cell r="J80">
            <v>1.2138721307097511</v>
          </cell>
          <cell r="K80" t="str">
            <v>N.A.</v>
          </cell>
        </row>
        <row r="86">
          <cell r="A86" t="str">
            <v>FNS 0</v>
          </cell>
          <cell r="B86">
            <v>7.9957356076759059</v>
          </cell>
          <cell r="C86">
            <v>4.329004329004329</v>
          </cell>
          <cell r="D86">
            <v>10.668563300142248</v>
          </cell>
          <cell r="E86">
            <v>2.5380710659898478</v>
          </cell>
          <cell r="F86">
            <v>3.9041149371437496</v>
          </cell>
          <cell r="G86">
            <v>11.111111111111111</v>
          </cell>
          <cell r="H86">
            <v>3.8986354775828458</v>
          </cell>
          <cell r="I86">
            <v>9.3095422808378583</v>
          </cell>
          <cell r="J86">
            <v>3.466805338880222</v>
          </cell>
          <cell r="K86">
            <v>9.6993210475266736</v>
          </cell>
        </row>
        <row r="87">
          <cell r="A87" t="str">
            <v>FNS10</v>
          </cell>
          <cell r="B87">
            <v>6.8933823529411766</v>
          </cell>
          <cell r="C87">
            <v>3.4506556245686681</v>
          </cell>
          <cell r="D87">
            <v>8.6705202312138727</v>
          </cell>
          <cell r="E87">
            <v>2.0358306188925082</v>
          </cell>
          <cell r="F87">
            <v>4.0728552344335469</v>
          </cell>
          <cell r="G87">
            <v>8.4118438761776577</v>
          </cell>
          <cell r="H87">
            <v>3.1080031080031079</v>
          </cell>
          <cell r="I87">
            <v>7.5757575757575761</v>
          </cell>
          <cell r="J87">
            <v>3.7038408829956664</v>
          </cell>
          <cell r="K87">
            <v>7.3421439060205582</v>
          </cell>
        </row>
        <row r="88">
          <cell r="A88" t="str">
            <v>FNS20</v>
          </cell>
          <cell r="B88">
            <v>4.8885412592882282</v>
          </cell>
          <cell r="C88">
            <v>2.5746652935118433</v>
          </cell>
          <cell r="D88">
            <v>6.0704168352893566</v>
          </cell>
          <cell r="E88">
            <v>1.5733165512901195</v>
          </cell>
          <cell r="F88">
            <v>3.2631963661045269</v>
          </cell>
          <cell r="G88">
            <v>5.8657907085875172</v>
          </cell>
          <cell r="H88">
            <v>2.3148148148148149</v>
          </cell>
          <cell r="I88">
            <v>5.3097345132743365</v>
          </cell>
          <cell r="J88">
            <v>2.9479393903661339</v>
          </cell>
          <cell r="K88">
            <v>5.13083632632119</v>
          </cell>
        </row>
        <row r="89">
          <cell r="A89" t="str">
            <v>FNS30</v>
          </cell>
          <cell r="B89">
            <v>3.5330695308083664</v>
          </cell>
          <cell r="C89">
            <v>1.9223375624759709</v>
          </cell>
          <cell r="D89">
            <v>4.804612427930814</v>
          </cell>
          <cell r="E89">
            <v>1.1933174224343674</v>
          </cell>
          <cell r="F89">
            <v>2.5431315104166665</v>
          </cell>
          <cell r="G89">
            <v>4.2186972662841713</v>
          </cell>
          <cell r="H89">
            <v>1.7174753112924002</v>
          </cell>
          <cell r="I89">
            <v>4.2372881355932206</v>
          </cell>
          <cell r="J89">
            <v>2.2928417480625489</v>
          </cell>
          <cell r="K89">
            <v>3.6845983787767134</v>
          </cell>
        </row>
        <row r="90">
          <cell r="A90" t="str">
            <v>FNS40</v>
          </cell>
          <cell r="B90">
            <v>2.4765801658231936</v>
          </cell>
          <cell r="C90">
            <v>1.4771048744460857</v>
          </cell>
          <cell r="D90">
            <v>3.5394053798961775</v>
          </cell>
          <cell r="E90">
            <v>0.98638784770171628</v>
          </cell>
          <cell r="F90">
            <v>1.9345952052992432</v>
          </cell>
          <cell r="G90">
            <v>2.5799793601651189</v>
          </cell>
          <cell r="H90">
            <v>1.3093289689034371</v>
          </cell>
          <cell r="I90">
            <v>3.0800821355236141</v>
          </cell>
          <cell r="J90">
            <v>1.7473963793947018</v>
          </cell>
          <cell r="K90" t="str">
            <v>N.A.</v>
          </cell>
        </row>
        <row r="91">
          <cell r="A91" t="str">
            <v>FNS50</v>
          </cell>
          <cell r="B91">
            <v>1.4874628134296644</v>
          </cell>
          <cell r="C91" t="str">
            <v>N.A.</v>
          </cell>
          <cell r="D91">
            <v>2.0505249343832022</v>
          </cell>
          <cell r="E91">
            <v>0.8461668641056016</v>
          </cell>
          <cell r="F91">
            <v>1.3678992350707477</v>
          </cell>
          <cell r="G91" t="str">
            <v>N.A.</v>
          </cell>
          <cell r="H91" t="str">
            <v>N.A.</v>
          </cell>
          <cell r="I91">
            <v>1.8889308651303363</v>
          </cell>
          <cell r="J91">
            <v>1.2138721307097511</v>
          </cell>
          <cell r="K91" t="str">
            <v>N.A.</v>
          </cell>
        </row>
        <row r="97">
          <cell r="A97" t="str">
            <v>FNS 0</v>
          </cell>
          <cell r="B97">
            <v>9.1896588486140729</v>
          </cell>
          <cell r="C97">
            <v>5.2438095238095235</v>
          </cell>
          <cell r="D97">
            <v>10.668563300142248</v>
          </cell>
          <cell r="E97">
            <v>7.186548223350254</v>
          </cell>
          <cell r="F97">
            <v>5.0607480284219566</v>
          </cell>
          <cell r="G97">
            <v>11.111111111111111</v>
          </cell>
          <cell r="H97">
            <v>4.7224951267056534</v>
          </cell>
          <cell r="I97">
            <v>9.3095422808378583</v>
          </cell>
          <cell r="J97">
            <v>4.4938810885768765</v>
          </cell>
          <cell r="K97">
            <v>9.6993210475266736</v>
          </cell>
        </row>
        <row r="98">
          <cell r="A98" t="str">
            <v>FNS10</v>
          </cell>
          <cell r="B98">
            <v>7.6767233455882353</v>
          </cell>
          <cell r="C98">
            <v>4.056487232574189</v>
          </cell>
          <cell r="D98">
            <v>8.6705202312138727</v>
          </cell>
          <cell r="E98">
            <v>5.0614820846905539</v>
          </cell>
          <cell r="F98">
            <v>4.0728552344335469</v>
          </cell>
          <cell r="G98">
            <v>8.4118438761776577</v>
          </cell>
          <cell r="H98">
            <v>3.6536752136752138</v>
          </cell>
          <cell r="I98">
            <v>7.5757575757575761</v>
          </cell>
          <cell r="J98">
            <v>3.7038408829956664</v>
          </cell>
          <cell r="K98">
            <v>7.3421439060205582</v>
          </cell>
        </row>
        <row r="99">
          <cell r="A99" t="str">
            <v>FNS20</v>
          </cell>
          <cell r="B99">
            <v>5.4285686351192801</v>
          </cell>
          <cell r="C99">
            <v>3.4995880535530381</v>
          </cell>
          <cell r="D99">
            <v>6.0704168352893566</v>
          </cell>
          <cell r="E99">
            <v>3.4089364380113278</v>
          </cell>
          <cell r="F99">
            <v>3.2631963661045269</v>
          </cell>
          <cell r="G99">
            <v>5.8657907085875172</v>
          </cell>
          <cell r="H99">
            <v>2.6409259259259259</v>
          </cell>
          <cell r="I99">
            <v>5.3097345132743365</v>
          </cell>
          <cell r="J99">
            <v>2.9479393903661339</v>
          </cell>
          <cell r="K99">
            <v>5.13083632632119</v>
          </cell>
        </row>
        <row r="100">
          <cell r="A100" t="str">
            <v>FNS30</v>
          </cell>
          <cell r="B100">
            <v>3.8512153759185979</v>
          </cell>
          <cell r="C100">
            <v>2.4368512110726646</v>
          </cell>
          <cell r="D100">
            <v>4.804612427930814</v>
          </cell>
          <cell r="E100">
            <v>2.2328400954653937</v>
          </cell>
          <cell r="F100">
            <v>2.5431315104166665</v>
          </cell>
          <cell r="G100">
            <v>4.2186972662841713</v>
          </cell>
          <cell r="H100">
            <v>2.1771575783598109</v>
          </cell>
          <cell r="I100">
            <v>4.2372881355932206</v>
          </cell>
          <cell r="J100">
            <v>2.2928417480625489</v>
          </cell>
          <cell r="K100">
            <v>3.6845983787767134</v>
          </cell>
        </row>
        <row r="101">
          <cell r="A101" t="str">
            <v>FNS40</v>
          </cell>
          <cell r="B101">
            <v>2.657079788952299</v>
          </cell>
          <cell r="C101">
            <v>1.7462924667651403</v>
          </cell>
          <cell r="D101">
            <v>3.5394053798961775</v>
          </cell>
          <cell r="E101">
            <v>1.4040441901755771</v>
          </cell>
          <cell r="F101">
            <v>1.9345952052992432</v>
          </cell>
          <cell r="G101">
            <v>2.5799793601651189</v>
          </cell>
          <cell r="H101">
            <v>1.4080916530278231</v>
          </cell>
          <cell r="I101">
            <v>3.0800821355236141</v>
          </cell>
          <cell r="J101">
            <v>1.7473963793947018</v>
          </cell>
          <cell r="K101" t="str">
            <v>N.A.</v>
          </cell>
        </row>
        <row r="102">
          <cell r="A102" t="str">
            <v>FNS50</v>
          </cell>
          <cell r="B102">
            <v>1.5702252443688909</v>
          </cell>
          <cell r="C102" t="str">
            <v>N.A.</v>
          </cell>
          <cell r="D102">
            <v>2.0505249343832022</v>
          </cell>
          <cell r="E102">
            <v>1.0017515654086986</v>
          </cell>
          <cell r="F102">
            <v>1.3678992350707477</v>
          </cell>
          <cell r="G102" t="str">
            <v>N.A.</v>
          </cell>
          <cell r="H102" t="str">
            <v>N.A.</v>
          </cell>
          <cell r="I102">
            <v>1.8889308651303363</v>
          </cell>
          <cell r="J102">
            <v>1.2138721307097511</v>
          </cell>
          <cell r="K102" t="str">
            <v>N.A.</v>
          </cell>
        </row>
        <row r="108">
          <cell r="A108" t="str">
            <v>FNS 0</v>
          </cell>
          <cell r="B108">
            <v>10.817777185501066</v>
          </cell>
          <cell r="C108">
            <v>10.053809523809523</v>
          </cell>
          <cell r="D108">
            <v>10.668563300142248</v>
          </cell>
          <cell r="E108">
            <v>14.831215621562157</v>
          </cell>
          <cell r="F108">
            <v>15.086163816662763</v>
          </cell>
          <cell r="G108">
            <v>12.487244444444444</v>
          </cell>
          <cell r="H108">
            <v>8.9446003898635471</v>
          </cell>
          <cell r="I108">
            <v>8.4865629420084865</v>
          </cell>
          <cell r="J108">
            <v>13.396325186340787</v>
          </cell>
          <cell r="K108">
            <v>10.900601357904947</v>
          </cell>
        </row>
        <row r="109">
          <cell r="A109" t="str">
            <v>FNS10</v>
          </cell>
          <cell r="B109">
            <v>8.7140625000000007</v>
          </cell>
          <cell r="C109">
            <v>7.160041407867495</v>
          </cell>
          <cell r="D109">
            <v>8.6705202312138727</v>
          </cell>
          <cell r="E109">
            <v>9.1144543973941374</v>
          </cell>
          <cell r="F109">
            <v>9.6344205141572452</v>
          </cell>
          <cell r="G109">
            <v>8.4118438761776577</v>
          </cell>
          <cell r="H109">
            <v>6.3779642579642584</v>
          </cell>
          <cell r="I109">
            <v>6.9124423963133639</v>
          </cell>
          <cell r="J109">
            <v>8.7615096855439099</v>
          </cell>
          <cell r="K109">
            <v>7.3421439060205582</v>
          </cell>
        </row>
        <row r="110">
          <cell r="A110" t="str">
            <v>FNS20</v>
          </cell>
          <cell r="B110">
            <v>6.1228783730934691</v>
          </cell>
          <cell r="C110">
            <v>5.7194129763130794</v>
          </cell>
          <cell r="D110">
            <v>6.0704168352893566</v>
          </cell>
          <cell r="E110">
            <v>5.7652139710509758</v>
          </cell>
          <cell r="F110">
            <v>6.0525505142797469</v>
          </cell>
          <cell r="G110">
            <v>5.8657907085875172</v>
          </cell>
          <cell r="H110">
            <v>4.2274305555555554</v>
          </cell>
          <cell r="I110">
            <v>4.8076923076923075</v>
          </cell>
          <cell r="J110">
            <v>5.4678143977359825</v>
          </cell>
          <cell r="K110">
            <v>5.13083632632119</v>
          </cell>
        </row>
        <row r="111">
          <cell r="A111" t="str">
            <v>FNS30</v>
          </cell>
          <cell r="B111">
            <v>4.2574053137365739</v>
          </cell>
          <cell r="C111">
            <v>3.4659169550173012</v>
          </cell>
          <cell r="D111">
            <v>4.804612427930814</v>
          </cell>
          <cell r="E111">
            <v>3.5120644391408113</v>
          </cell>
          <cell r="F111">
            <v>3.8815511067708335</v>
          </cell>
          <cell r="G111">
            <v>4.2186972662841713</v>
          </cell>
          <cell r="H111">
            <v>3.0413911550021466</v>
          </cell>
          <cell r="I111">
            <v>3.8597619813444837</v>
          </cell>
          <cell r="J111">
            <v>3.4995368459668916</v>
          </cell>
          <cell r="K111">
            <v>3.6845983787767134</v>
          </cell>
        </row>
        <row r="112">
          <cell r="A112" t="str">
            <v>FNS40</v>
          </cell>
          <cell r="B112">
            <v>2.882168622806073</v>
          </cell>
          <cell r="C112">
            <v>2.1043131462333826</v>
          </cell>
          <cell r="D112">
            <v>3.5394053798961775</v>
          </cell>
          <cell r="E112">
            <v>1.8431939238508581</v>
          </cell>
          <cell r="F112">
            <v>2.5136427653877704</v>
          </cell>
          <cell r="G112">
            <v>2.5799793601651189</v>
          </cell>
          <cell r="H112">
            <v>1.7292962356792143</v>
          </cell>
          <cell r="I112">
            <v>2.7662517289073305</v>
          </cell>
          <cell r="J112">
            <v>2.2704130845040891</v>
          </cell>
          <cell r="K112" t="str">
            <v>N.A.</v>
          </cell>
        </row>
        <row r="113">
          <cell r="A113" t="str">
            <v>FNS50</v>
          </cell>
          <cell r="B113">
            <v>1.6726391840203996</v>
          </cell>
          <cell r="C113" t="str">
            <v>N.A.</v>
          </cell>
          <cell r="D113">
            <v>2.0505249343832022</v>
          </cell>
          <cell r="E113">
            <v>1.1363090201387713</v>
          </cell>
          <cell r="F113">
            <v>1.434357251507425</v>
          </cell>
          <cell r="G113" t="str">
            <v>N.A.</v>
          </cell>
          <cell r="H113" t="str">
            <v>N.A.</v>
          </cell>
          <cell r="I113">
            <v>1.6084928422068521</v>
          </cell>
          <cell r="J113">
            <v>1.2728468943081537</v>
          </cell>
          <cell r="K113" t="str">
            <v>N.A.</v>
          </cell>
        </row>
      </sheetData>
      <sheetData sheetId="7">
        <row r="20">
          <cell r="A20" t="str">
            <v>MNS 0</v>
          </cell>
          <cell r="B20">
            <v>13.009540329575021</v>
          </cell>
          <cell r="C20">
            <v>5.4441323141917639</v>
          </cell>
          <cell r="D20">
            <v>13.550135501355014</v>
          </cell>
          <cell r="E20">
            <v>8.639308855291576</v>
          </cell>
          <cell r="F20">
            <v>11.889321227842629</v>
          </cell>
          <cell r="G20">
            <v>11.24859392575928</v>
          </cell>
          <cell r="H20">
            <v>4.9132323172768899</v>
          </cell>
          <cell r="I20">
            <v>11.720581340834505</v>
          </cell>
        </row>
        <row r="21">
          <cell r="A21" t="str">
            <v>MNS10</v>
          </cell>
          <cell r="B21">
            <v>10.552233556102708</v>
          </cell>
          <cell r="C21">
            <v>4.551992862475192</v>
          </cell>
          <cell r="D21">
            <v>10.21659174499387</v>
          </cell>
          <cell r="E21">
            <v>7.2020165646380985</v>
          </cell>
          <cell r="F21">
            <v>9.5287595287595295</v>
          </cell>
          <cell r="G21">
            <v>9.1365920511649161</v>
          </cell>
          <cell r="H21">
            <v>4.0804668054025379</v>
          </cell>
          <cell r="I21">
            <v>8.8464260438782727</v>
          </cell>
        </row>
        <row r="22">
          <cell r="A22" t="str">
            <v>MNS20</v>
          </cell>
          <cell r="B22">
            <v>7.2904009720534626</v>
          </cell>
          <cell r="C22">
            <v>3.6112555613335644</v>
          </cell>
          <cell r="D22">
            <v>7.0521861777150914</v>
          </cell>
          <cell r="E22">
            <v>4.936808846761453</v>
          </cell>
          <cell r="F22">
            <v>6.603275224511358</v>
          </cell>
          <cell r="G22">
            <v>6.3291139240506329</v>
          </cell>
          <cell r="H22">
            <v>3.268102017072565</v>
          </cell>
          <cell r="I22">
            <v>6.1251990689697413</v>
          </cell>
        </row>
        <row r="23">
          <cell r="A23" t="str">
            <v>MNS30</v>
          </cell>
          <cell r="B23">
            <v>5.6753688989784337</v>
          </cell>
          <cell r="C23">
            <v>2.8139527030829665</v>
          </cell>
          <cell r="D23">
            <v>4.9790878311093412</v>
          </cell>
          <cell r="E23">
            <v>3.4725839497169844</v>
          </cell>
          <cell r="F23">
            <v>4.1050903119868636</v>
          </cell>
          <cell r="G23">
            <v>4.9825610363726955</v>
          </cell>
          <cell r="H23">
            <v>2.5611867514931719</v>
          </cell>
          <cell r="I23">
            <v>4.3233895373973192</v>
          </cell>
        </row>
        <row r="24">
          <cell r="A24" t="str">
            <v>MNS40</v>
          </cell>
          <cell r="B24">
            <v>4.1724617524339358</v>
          </cell>
          <cell r="C24">
            <v>2.128438492384447</v>
          </cell>
          <cell r="D24">
            <v>3.0303030303030303</v>
          </cell>
          <cell r="E24">
            <v>2.4283504637621482</v>
          </cell>
          <cell r="F24">
            <v>2.3137436372049978</v>
          </cell>
          <cell r="G24">
            <v>3.6941263391207979</v>
          </cell>
          <cell r="H24">
            <v>1.9311580768755408</v>
          </cell>
          <cell r="I24">
            <v>2.6838432635534084</v>
          </cell>
        </row>
        <row r="25">
          <cell r="A25" t="str">
            <v>MNS50</v>
          </cell>
          <cell r="B25">
            <v>1.8708373868143382</v>
          </cell>
          <cell r="C25">
            <v>1.5543397164884356</v>
          </cell>
          <cell r="D25">
            <v>1.8678346000257633</v>
          </cell>
          <cell r="E25">
            <v>1.523660267293544</v>
          </cell>
          <cell r="F25">
            <v>1.639344262295082</v>
          </cell>
          <cell r="G25">
            <v>1.6261749113734674</v>
          </cell>
          <cell r="H25">
            <v>1.6216518481239166</v>
          </cell>
          <cell r="I25" t="str">
            <v>N.A.</v>
          </cell>
        </row>
        <row r="31">
          <cell r="A31" t="str">
            <v>MNS 0</v>
          </cell>
          <cell r="B31">
            <v>13.009540329575021</v>
          </cell>
          <cell r="C31">
            <v>4.3553058513534113</v>
          </cell>
          <cell r="D31">
            <v>13.550135501355014</v>
          </cell>
          <cell r="E31">
            <v>8.639308855291576</v>
          </cell>
          <cell r="F31">
            <v>4.3233895373973192</v>
          </cell>
          <cell r="G31">
            <v>11.24859392575928</v>
          </cell>
          <cell r="H31">
            <v>3.9305858538215119</v>
          </cell>
          <cell r="I31">
            <v>11.720581340834505</v>
          </cell>
        </row>
        <row r="32">
          <cell r="A32" t="str">
            <v>MNS10</v>
          </cell>
          <cell r="B32">
            <v>10.552233556102708</v>
          </cell>
          <cell r="C32">
            <v>4.551992862475192</v>
          </cell>
          <cell r="D32">
            <v>10.21659174499387</v>
          </cell>
          <cell r="E32">
            <v>7.2020165646380985</v>
          </cell>
          <cell r="F32">
            <v>3.4650034650034649</v>
          </cell>
          <cell r="G32">
            <v>9.1365920511649161</v>
          </cell>
          <cell r="H32">
            <v>4.0804668054025379</v>
          </cell>
          <cell r="I32">
            <v>8.8464260438782727</v>
          </cell>
        </row>
        <row r="33">
          <cell r="A33" t="str">
            <v>MNS20</v>
          </cell>
          <cell r="B33">
            <v>7.2904009720534626</v>
          </cell>
          <cell r="C33">
            <v>3.6112555613335644</v>
          </cell>
          <cell r="D33">
            <v>7.0521861777150914</v>
          </cell>
          <cell r="E33">
            <v>4.936808846761453</v>
          </cell>
          <cell r="F33">
            <v>2.6413100898045432</v>
          </cell>
          <cell r="G33">
            <v>6.3291139240506329</v>
          </cell>
          <cell r="H33">
            <v>3.268102017072565</v>
          </cell>
          <cell r="I33">
            <v>6.1251990689697413</v>
          </cell>
        </row>
        <row r="34">
          <cell r="A34" t="str">
            <v>MNS30</v>
          </cell>
          <cell r="B34">
            <v>5.6753688989784337</v>
          </cell>
          <cell r="C34">
            <v>2.8139527030829665</v>
          </cell>
          <cell r="D34">
            <v>4.9790878311093412</v>
          </cell>
          <cell r="E34">
            <v>3.4725839497169844</v>
          </cell>
          <cell r="F34">
            <v>2.0525451559934318</v>
          </cell>
          <cell r="G34">
            <v>4.9825610363726955</v>
          </cell>
          <cell r="H34">
            <v>2.5611867514931719</v>
          </cell>
          <cell r="I34">
            <v>4.3233895373973192</v>
          </cell>
        </row>
        <row r="35">
          <cell r="A35" t="str">
            <v>MNS40</v>
          </cell>
          <cell r="B35">
            <v>4.1724617524339358</v>
          </cell>
          <cell r="C35">
            <v>2.128438492384447</v>
          </cell>
          <cell r="D35">
            <v>3.0303030303030303</v>
          </cell>
          <cell r="E35">
            <v>2.4283504637621482</v>
          </cell>
          <cell r="F35">
            <v>1.5424957581366652</v>
          </cell>
          <cell r="G35">
            <v>3.6941263391207979</v>
          </cell>
          <cell r="H35">
            <v>1.9311580768755408</v>
          </cell>
          <cell r="I35">
            <v>2.6838432635534084</v>
          </cell>
        </row>
        <row r="36">
          <cell r="A36" t="str">
            <v>MNS50</v>
          </cell>
          <cell r="B36">
            <v>1.8708373868143382</v>
          </cell>
          <cell r="C36">
            <v>1.5543397164884356</v>
          </cell>
          <cell r="D36">
            <v>1.8678346000257633</v>
          </cell>
          <cell r="E36">
            <v>1.523660267293544</v>
          </cell>
          <cell r="F36">
            <v>1.639344262295082</v>
          </cell>
          <cell r="G36">
            <v>1.6261749113734674</v>
          </cell>
          <cell r="H36">
            <v>1.6216518481239166</v>
          </cell>
          <cell r="I36" t="str">
            <v>N.A.</v>
          </cell>
        </row>
        <row r="41">
          <cell r="A41" t="str">
            <v>MNS 0</v>
          </cell>
          <cell r="B41">
            <v>13.009540329575021</v>
          </cell>
          <cell r="C41">
            <v>5.6456087628753728</v>
          </cell>
          <cell r="D41">
            <v>13.550135501355014</v>
          </cell>
          <cell r="E41">
            <v>9.8869978401727856</v>
          </cell>
          <cell r="F41">
            <v>5.2370082144401211</v>
          </cell>
          <cell r="G41">
            <v>11.24859392575928</v>
          </cell>
          <cell r="H41">
            <v>5.0950612188746733</v>
          </cell>
          <cell r="I41">
            <v>11.720581340834505</v>
          </cell>
        </row>
        <row r="42">
          <cell r="A42" t="str">
            <v>MNS10</v>
          </cell>
          <cell r="B42">
            <v>10.552233556102708</v>
          </cell>
          <cell r="C42">
            <v>4.551992862475192</v>
          </cell>
          <cell r="D42">
            <v>10.21659174499387</v>
          </cell>
          <cell r="E42">
            <v>8.009746729084144</v>
          </cell>
          <cell r="F42">
            <v>4.0733541233541235</v>
          </cell>
          <cell r="G42">
            <v>9.1365920511649161</v>
          </cell>
          <cell r="H42">
            <v>4.0804668054025379</v>
          </cell>
          <cell r="I42">
            <v>8.8464260438782727</v>
          </cell>
        </row>
        <row r="43">
          <cell r="A43" t="str">
            <v>MNS20</v>
          </cell>
          <cell r="B43">
            <v>7.2904009720534626</v>
          </cell>
          <cell r="C43">
            <v>3.6112555613335644</v>
          </cell>
          <cell r="D43">
            <v>7.0521861777150914</v>
          </cell>
          <cell r="E43">
            <v>5.4968799368088463</v>
          </cell>
          <cell r="F43">
            <v>3.0134178552562072</v>
          </cell>
          <cell r="G43">
            <v>6.3291139240506329</v>
          </cell>
          <cell r="H43">
            <v>3.268102017072565</v>
          </cell>
          <cell r="I43">
            <v>6.1251990689697413</v>
          </cell>
        </row>
        <row r="44">
          <cell r="A44" t="str">
            <v>MNS30</v>
          </cell>
          <cell r="B44">
            <v>5.6753688989784337</v>
          </cell>
          <cell r="C44">
            <v>2.8139527030829665</v>
          </cell>
          <cell r="D44">
            <v>4.9790878311093412</v>
          </cell>
          <cell r="E44">
            <v>3.8209119005451955</v>
          </cell>
          <cell r="F44">
            <v>2.2725985221674878</v>
          </cell>
          <cell r="G44">
            <v>4.9825610363726955</v>
          </cell>
          <cell r="H44">
            <v>2.5611867514931719</v>
          </cell>
          <cell r="I44">
            <v>4.3233895373973192</v>
          </cell>
        </row>
        <row r="45">
          <cell r="A45" t="str">
            <v>MNS40</v>
          </cell>
          <cell r="B45">
            <v>4.1724617524339358</v>
          </cell>
          <cell r="C45">
            <v>2.128438492384447</v>
          </cell>
          <cell r="D45">
            <v>3.0303030303030303</v>
          </cell>
          <cell r="E45">
            <v>2.6238643502314853</v>
          </cell>
          <cell r="F45">
            <v>1.6574579669905907</v>
          </cell>
          <cell r="G45">
            <v>3.6941263391207979</v>
          </cell>
          <cell r="H45">
            <v>1.9311580768755408</v>
          </cell>
          <cell r="I45">
            <v>2.6838432635534084</v>
          </cell>
        </row>
        <row r="46">
          <cell r="A46" t="str">
            <v>MNS50</v>
          </cell>
          <cell r="B46">
            <v>1.8708373868143382</v>
          </cell>
          <cell r="C46">
            <v>1.5543397164884356</v>
          </cell>
          <cell r="D46">
            <v>1.8678346000257633</v>
          </cell>
          <cell r="E46">
            <v>1.6175351530190241</v>
          </cell>
          <cell r="F46">
            <v>1.639344262295082</v>
          </cell>
          <cell r="G46">
            <v>1.6261749113734674</v>
          </cell>
          <cell r="H46">
            <v>1.6216518481239166</v>
          </cell>
          <cell r="I46" t="str">
            <v>N.A</v>
          </cell>
        </row>
        <row r="52">
          <cell r="A52" t="str">
            <v>MNS 0</v>
          </cell>
          <cell r="B52">
            <v>13.009540329575021</v>
          </cell>
          <cell r="C52">
            <v>16.829642211624311</v>
          </cell>
          <cell r="D52">
            <v>15.228346883468834</v>
          </cell>
          <cell r="E52">
            <v>11.820964722822174</v>
          </cell>
          <cell r="F52">
            <v>10.405706874189365</v>
          </cell>
          <cell r="G52">
            <v>11.24859392575928</v>
          </cell>
          <cell r="H52">
            <v>15.188451938761473</v>
          </cell>
          <cell r="I52">
            <v>13.17219878105954</v>
          </cell>
        </row>
        <row r="53">
          <cell r="A53" t="str">
            <v>MNS10</v>
          </cell>
          <cell r="B53">
            <v>10.552233556102708</v>
          </cell>
          <cell r="C53">
            <v>10.767830156042315</v>
          </cell>
          <cell r="D53">
            <v>10.21659174499387</v>
          </cell>
          <cell r="E53">
            <v>9.2338494778537985</v>
          </cell>
          <cell r="F53">
            <v>7.4275814275814271</v>
          </cell>
          <cell r="G53">
            <v>9.1365920511649161</v>
          </cell>
          <cell r="H53">
            <v>9.6524258375158123</v>
          </cell>
          <cell r="I53">
            <v>8.8464260438782727</v>
          </cell>
        </row>
        <row r="54">
          <cell r="A54" t="str">
            <v>MNS20</v>
          </cell>
          <cell r="B54">
            <v>7.2904009720534626</v>
          </cell>
          <cell r="C54">
            <v>6.6981279251170047</v>
          </cell>
          <cell r="D54">
            <v>7.0521861777150914</v>
          </cell>
          <cell r="E54">
            <v>6.3314375987361773</v>
          </cell>
          <cell r="F54">
            <v>5.0134706814580028</v>
          </cell>
          <cell r="G54">
            <v>6.3291139240506329</v>
          </cell>
          <cell r="H54">
            <v>6.0616494764500573</v>
          </cell>
          <cell r="I54">
            <v>6.1251990689697413</v>
          </cell>
        </row>
        <row r="55">
          <cell r="A55" t="str">
            <v>MNS30</v>
          </cell>
          <cell r="B55">
            <v>5.6753688989784337</v>
          </cell>
          <cell r="C55">
            <v>4.2949022432830946</v>
          </cell>
          <cell r="D55">
            <v>4.9790878311093412</v>
          </cell>
          <cell r="E55">
            <v>4.3317567802201618</v>
          </cell>
          <cell r="F55">
            <v>3.3270935960591133</v>
          </cell>
          <cell r="G55">
            <v>4.9825610363726955</v>
          </cell>
          <cell r="H55">
            <v>3.9091086045630101</v>
          </cell>
          <cell r="I55">
            <v>4.3233895373973192</v>
          </cell>
        </row>
        <row r="56">
          <cell r="A56" t="str">
            <v>MNS40</v>
          </cell>
          <cell r="B56">
            <v>4.1724617524339358</v>
          </cell>
          <cell r="C56">
            <v>2.7655056744170206</v>
          </cell>
          <cell r="D56">
            <v>3.0303030303030303</v>
          </cell>
          <cell r="E56">
            <v>2.9083931182659466</v>
          </cell>
          <cell r="F56">
            <v>2.0541107511954344</v>
          </cell>
          <cell r="G56">
            <v>3.6941263391207979</v>
          </cell>
          <cell r="H56">
            <v>2.5091768631813127</v>
          </cell>
          <cell r="I56">
            <v>2.6838432635534084</v>
          </cell>
        </row>
        <row r="57">
          <cell r="A57" t="str">
            <v>MNS50</v>
          </cell>
          <cell r="B57">
            <v>1.8708373868143382</v>
          </cell>
          <cell r="C57">
            <v>1.62985575727431</v>
          </cell>
          <cell r="D57">
            <v>1.8678346000257633</v>
          </cell>
          <cell r="E57">
            <v>1.7481694310217231</v>
          </cell>
          <cell r="F57">
            <v>1.639344262295082</v>
          </cell>
          <cell r="G57">
            <v>1.6261749113734674</v>
          </cell>
          <cell r="H57">
            <v>1.6216518481239166</v>
          </cell>
          <cell r="I57" t="str">
            <v>N.A.</v>
          </cell>
        </row>
        <row r="73">
          <cell r="A73" t="str">
            <v>MNS 0</v>
          </cell>
          <cell r="B73">
            <v>7.8084331077563771</v>
          </cell>
          <cell r="C73">
            <v>10.667183863460046</v>
          </cell>
          <cell r="D73">
            <v>9.7339390006489293</v>
          </cell>
          <cell r="E73">
            <v>5.825242718446602</v>
          </cell>
          <cell r="F73">
            <v>4.2990782776172791</v>
          </cell>
          <cell r="G73">
            <v>10.137875101378752</v>
          </cell>
          <cell r="H73">
            <v>9.5902353966870102</v>
          </cell>
          <cell r="I73">
            <v>8.4865629420084865</v>
          </cell>
          <cell r="J73">
            <v>3.9041149371437496</v>
          </cell>
          <cell r="K73">
            <v>8.8417329796640143</v>
          </cell>
        </row>
        <row r="74">
          <cell r="A74" t="str">
            <v>MNS10</v>
          </cell>
          <cell r="B74">
            <v>6.5189048239895699</v>
          </cell>
          <cell r="C74">
            <v>8.5883822610868208</v>
          </cell>
          <cell r="D74">
            <v>7.9113924050632916</v>
          </cell>
          <cell r="E74">
            <v>4.61716044632551</v>
          </cell>
          <cell r="F74">
            <v>3.5404747068486944</v>
          </cell>
          <cell r="G74">
            <v>7.659313725490196</v>
          </cell>
          <cell r="H74">
            <v>7.7301475755446241</v>
          </cell>
          <cell r="I74">
            <v>6.9124423963133639</v>
          </cell>
          <cell r="J74">
            <v>3.2099637274098805</v>
          </cell>
          <cell r="K74">
            <v>6.6934404283801872</v>
          </cell>
        </row>
        <row r="75">
          <cell r="A75" t="str">
            <v>MNS20</v>
          </cell>
          <cell r="B75">
            <v>4.4154009184033907</v>
          </cell>
          <cell r="C75">
            <v>5.9438896814075131</v>
          </cell>
          <cell r="D75">
            <v>5.4904831625183013</v>
          </cell>
          <cell r="E75">
            <v>3.5874439461883409</v>
          </cell>
          <cell r="F75">
            <v>2.8660521850781859</v>
          </cell>
          <cell r="G75">
            <v>5.3168864313058277</v>
          </cell>
          <cell r="H75">
            <v>5.3504547886570357</v>
          </cell>
          <cell r="I75">
            <v>4.8076923076923075</v>
          </cell>
          <cell r="J75">
            <v>2.7868349915001533</v>
          </cell>
          <cell r="K75">
            <v>4.6511627906976747</v>
          </cell>
        </row>
        <row r="76">
          <cell r="A76" t="str">
            <v>MNS30</v>
          </cell>
          <cell r="B76">
            <v>3.1344032096288865</v>
          </cell>
          <cell r="C76">
            <v>3.6859565057132326</v>
          </cell>
          <cell r="D76">
            <v>4.369356248179435</v>
          </cell>
          <cell r="E76">
            <v>2.763067004374856</v>
          </cell>
          <cell r="F76">
            <v>2.2476759031161779</v>
          </cell>
          <cell r="G76">
            <v>3.8355323718932186</v>
          </cell>
          <cell r="H76">
            <v>3.3044196612969845</v>
          </cell>
          <cell r="I76">
            <v>3.8597619813444837</v>
          </cell>
          <cell r="J76">
            <v>2.0441119355695916</v>
          </cell>
          <cell r="K76">
            <v>3.3500837520938025</v>
          </cell>
        </row>
        <row r="77">
          <cell r="A77" t="str">
            <v>MNS40</v>
          </cell>
          <cell r="B77">
            <v>2.2174659185129482</v>
          </cell>
          <cell r="C77">
            <v>2.058177826564215</v>
          </cell>
          <cell r="D77">
            <v>3.1860662701784199</v>
          </cell>
          <cell r="E77">
            <v>1.8043684710351378</v>
          </cell>
          <cell r="F77">
            <v>1.6927806291727043</v>
          </cell>
          <cell r="G77">
            <v>2.3132084200786491</v>
          </cell>
          <cell r="H77">
            <v>1.8209408194233687</v>
          </cell>
          <cell r="I77">
            <v>2.7662517289073305</v>
          </cell>
          <cell r="J77">
            <v>1.5152203888055518</v>
          </cell>
          <cell r="K77" t="str">
            <v>N.A.</v>
          </cell>
        </row>
        <row r="78">
          <cell r="A78" t="str">
            <v>MNS50</v>
          </cell>
          <cell r="B78">
            <v>1.3332317537711413</v>
          </cell>
          <cell r="C78" t="str">
            <v>N.A.</v>
          </cell>
          <cell r="D78">
            <v>1.8477457501847745</v>
          </cell>
          <cell r="E78">
            <v>1.1406224539677368</v>
          </cell>
          <cell r="F78">
            <v>1.1428049003474128</v>
          </cell>
          <cell r="G78" t="str">
            <v>N.A.</v>
          </cell>
          <cell r="H78" t="str">
            <v>N.A.</v>
          </cell>
          <cell r="I78">
            <v>1.6084928422068521</v>
          </cell>
          <cell r="J78">
            <v>1.0008106566318717</v>
          </cell>
          <cell r="K78" t="str">
            <v>N.A.</v>
          </cell>
        </row>
        <row r="84">
          <cell r="A84" t="str">
            <v>MNS 0</v>
          </cell>
          <cell r="B84">
            <v>7.8084331077563771</v>
          </cell>
          <cell r="C84">
            <v>3.8789759503491079</v>
          </cell>
          <cell r="D84">
            <v>9.7339390006489293</v>
          </cell>
          <cell r="E84">
            <v>2.4271844660194173</v>
          </cell>
          <cell r="F84">
            <v>3.4392626220938229</v>
          </cell>
          <cell r="G84">
            <v>10.137875101378752</v>
          </cell>
          <cell r="H84">
            <v>3.4873583260680037</v>
          </cell>
          <cell r="I84">
            <v>8.4865629420084865</v>
          </cell>
          <cell r="J84">
            <v>3.1232919497149996</v>
          </cell>
          <cell r="K84">
            <v>8.8417329796640143</v>
          </cell>
        </row>
        <row r="85">
          <cell r="A85" t="str">
            <v>MNS10</v>
          </cell>
          <cell r="B85">
            <v>6.5189048239895699</v>
          </cell>
          <cell r="C85">
            <v>3.1230480949406623</v>
          </cell>
          <cell r="D85">
            <v>7.9113924050632916</v>
          </cell>
          <cell r="E85">
            <v>1.9238168526356292</v>
          </cell>
          <cell r="F85">
            <v>3.5404747068486944</v>
          </cell>
          <cell r="G85">
            <v>7.659313725490196</v>
          </cell>
          <cell r="H85">
            <v>2.8109627547434997</v>
          </cell>
          <cell r="I85">
            <v>6.9124423963133639</v>
          </cell>
          <cell r="J85">
            <v>3.2099637274098805</v>
          </cell>
          <cell r="K85">
            <v>6.6934404283801872</v>
          </cell>
        </row>
        <row r="86">
          <cell r="A86" t="str">
            <v>MNS20</v>
          </cell>
          <cell r="B86">
            <v>4.4154009184033907</v>
          </cell>
          <cell r="C86">
            <v>2.377555872563005</v>
          </cell>
          <cell r="D86">
            <v>5.4904831625183013</v>
          </cell>
          <cell r="E86">
            <v>1.4947683109118086</v>
          </cell>
          <cell r="F86">
            <v>2.8660521850781859</v>
          </cell>
          <cell r="G86">
            <v>5.3168864313058277</v>
          </cell>
          <cell r="H86">
            <v>2.1401819154628146</v>
          </cell>
          <cell r="I86">
            <v>4.8076923076923075</v>
          </cell>
          <cell r="J86">
            <v>2.7868349915001533</v>
          </cell>
          <cell r="K86">
            <v>4.6511627906976747</v>
          </cell>
        </row>
        <row r="87">
          <cell r="A87" t="str">
            <v>MNS30</v>
          </cell>
          <cell r="B87">
            <v>3.1344032096288865</v>
          </cell>
          <cell r="C87">
            <v>1.8429782528566163</v>
          </cell>
          <cell r="D87">
            <v>4.369356248179435</v>
          </cell>
          <cell r="E87">
            <v>1.1512779184895234</v>
          </cell>
          <cell r="F87">
            <v>2.2476759031161779</v>
          </cell>
          <cell r="G87">
            <v>3.8355323718932186</v>
          </cell>
          <cell r="H87">
            <v>1.6522098306484923</v>
          </cell>
          <cell r="I87">
            <v>3.8597619813444837</v>
          </cell>
          <cell r="J87">
            <v>2.0441119355695916</v>
          </cell>
          <cell r="K87">
            <v>3.3500837520938025</v>
          </cell>
        </row>
        <row r="88">
          <cell r="A88" t="str">
            <v>MNS40</v>
          </cell>
          <cell r="B88">
            <v>2.2174659185129482</v>
          </cell>
          <cell r="C88">
            <v>1.37211855104281</v>
          </cell>
          <cell r="D88">
            <v>3.1860662701784199</v>
          </cell>
          <cell r="E88">
            <v>0.94966761633428298</v>
          </cell>
          <cell r="F88">
            <v>1.6927806291727043</v>
          </cell>
          <cell r="G88">
            <v>2.3132084200786491</v>
          </cell>
          <cell r="H88">
            <v>1.2139605462822458</v>
          </cell>
          <cell r="I88">
            <v>2.7662517289073305</v>
          </cell>
          <cell r="J88">
            <v>1.5152203888055518</v>
          </cell>
          <cell r="K88" t="str">
            <v>N.A.</v>
          </cell>
        </row>
        <row r="89">
          <cell r="A89" t="str">
            <v>MNS50</v>
          </cell>
          <cell r="B89">
            <v>1.3332317537711413</v>
          </cell>
          <cell r="C89" t="str">
            <v>N.A.</v>
          </cell>
          <cell r="D89">
            <v>1.8477457501847745</v>
          </cell>
          <cell r="E89">
            <v>0.814730324262669</v>
          </cell>
          <cell r="F89">
            <v>1.1428049003474128</v>
          </cell>
          <cell r="G89" t="str">
            <v>N.A.</v>
          </cell>
          <cell r="H89" t="str">
            <v>N.A</v>
          </cell>
          <cell r="I89">
            <v>1.6084928422068521</v>
          </cell>
          <cell r="J89">
            <v>1.0008106566318717</v>
          </cell>
          <cell r="K89" t="str">
            <v>N.A.</v>
          </cell>
        </row>
        <row r="95">
          <cell r="A95" t="str">
            <v>MNS 0</v>
          </cell>
          <cell r="B95">
            <v>9.0399791775117126</v>
          </cell>
          <cell r="C95">
            <v>4.6986811481768811</v>
          </cell>
          <cell r="D95">
            <v>9.7339390006489293</v>
          </cell>
          <cell r="E95">
            <v>6.8725728155339807</v>
          </cell>
          <cell r="F95">
            <v>4.4581785665153388</v>
          </cell>
          <cell r="G95">
            <v>10.137875101378752</v>
          </cell>
          <cell r="H95">
            <v>4.2243068875326939</v>
          </cell>
          <cell r="I95">
            <v>8.4865629420084865</v>
          </cell>
          <cell r="J95">
            <v>4.0485984227375651</v>
          </cell>
          <cell r="K95">
            <v>8.8417329796640143</v>
          </cell>
        </row>
        <row r="96">
          <cell r="A96" t="str">
            <v>MNS10</v>
          </cell>
          <cell r="B96">
            <v>7.335962624945676</v>
          </cell>
          <cell r="C96">
            <v>3.6713616489693943</v>
          </cell>
          <cell r="D96">
            <v>7.9113924050632916</v>
          </cell>
          <cell r="E96">
            <v>4.782993459022701</v>
          </cell>
          <cell r="F96">
            <v>3.5404747068486944</v>
          </cell>
          <cell r="G96">
            <v>7.659313725490196</v>
          </cell>
          <cell r="H96">
            <v>3.3044834855938157</v>
          </cell>
          <cell r="I96">
            <v>6.9124423963133639</v>
          </cell>
          <cell r="J96">
            <v>3.2099637274098805</v>
          </cell>
          <cell r="K96">
            <v>6.6934404283801872</v>
          </cell>
        </row>
        <row r="97">
          <cell r="A97" t="str">
            <v>MNS20</v>
          </cell>
          <cell r="B97">
            <v>4.9905863652419642</v>
          </cell>
          <cell r="C97">
            <v>2.7125059438896812</v>
          </cell>
          <cell r="D97">
            <v>5.4904831625183013</v>
          </cell>
          <cell r="E97">
            <v>3.2387443946188341</v>
          </cell>
          <cell r="F97">
            <v>2.8660521850781859</v>
          </cell>
          <cell r="G97">
            <v>5.3168864313058277</v>
          </cell>
          <cell r="H97">
            <v>2.4416907437132158</v>
          </cell>
          <cell r="I97">
            <v>4.8076923076923075</v>
          </cell>
          <cell r="J97">
            <v>2.7868349915001533</v>
          </cell>
          <cell r="K97">
            <v>4.6511627906976747</v>
          </cell>
        </row>
        <row r="98">
          <cell r="A98" t="str">
            <v>MNS30</v>
          </cell>
          <cell r="B98">
            <v>3.4815320962888667</v>
          </cell>
          <cell r="C98">
            <v>2.0405639513453742</v>
          </cell>
          <cell r="D98">
            <v>4.369356248179435</v>
          </cell>
          <cell r="E98">
            <v>2.1541791388441172</v>
          </cell>
          <cell r="F98">
            <v>2.2476759031161779</v>
          </cell>
          <cell r="G98">
            <v>3.8355323718932186</v>
          </cell>
          <cell r="H98">
            <v>1.8293432465923172</v>
          </cell>
          <cell r="I98">
            <v>3.8597619813444837</v>
          </cell>
          <cell r="J98">
            <v>2.0441119355695916</v>
          </cell>
          <cell r="K98">
            <v>3.3500837520938025</v>
          </cell>
        </row>
        <row r="99">
          <cell r="A99" t="str">
            <v>MNS40</v>
          </cell>
          <cell r="B99">
            <v>2.405545593027516</v>
          </cell>
          <cell r="C99">
            <v>1.4743825466520308</v>
          </cell>
          <cell r="D99">
            <v>3.1860662701784199</v>
          </cell>
          <cell r="E99">
            <v>1.3517758784425451</v>
          </cell>
          <cell r="F99">
            <v>1.6927806291727043</v>
          </cell>
          <cell r="G99">
            <v>2.3132084200786491</v>
          </cell>
          <cell r="H99">
            <v>1.3044370257966615</v>
          </cell>
          <cell r="I99">
            <v>2.7662517289073305</v>
          </cell>
          <cell r="J99">
            <v>1.5152203888055518</v>
          </cell>
          <cell r="K99" t="str">
            <v>N.A.</v>
          </cell>
        </row>
        <row r="100">
          <cell r="A100" t="str">
            <v>MNS50</v>
          </cell>
          <cell r="B100">
            <v>1.4108410787749506</v>
          </cell>
          <cell r="C100" t="str">
            <v>N.A.</v>
          </cell>
          <cell r="D100">
            <v>1.8477457501847745</v>
          </cell>
          <cell r="E100">
            <v>0.96453478898484601</v>
          </cell>
          <cell r="F100">
            <v>1.1428049003474128</v>
          </cell>
          <cell r="G100" t="str">
            <v>N.A.</v>
          </cell>
          <cell r="H100" t="str">
            <v>N.A.</v>
          </cell>
          <cell r="I100">
            <v>1.6084928422068521</v>
          </cell>
          <cell r="J100">
            <v>1.0008106566318717</v>
          </cell>
          <cell r="K100" t="str">
            <v>N.A.</v>
          </cell>
        </row>
        <row r="106">
          <cell r="A106" t="str">
            <v>MNS 0</v>
          </cell>
          <cell r="B106">
            <v>10.710124934929723</v>
          </cell>
          <cell r="C106">
            <v>9.008650116369278</v>
          </cell>
          <cell r="D106">
            <v>9.7339390006489293</v>
          </cell>
          <cell r="E106">
            <v>13.088907766990291</v>
          </cell>
          <cell r="F106">
            <v>13.289895446416288</v>
          </cell>
          <cell r="G106">
            <v>11.393471208434713</v>
          </cell>
          <cell r="H106">
            <v>8.0010113339145601</v>
          </cell>
          <cell r="I106">
            <v>8.4865629420084865</v>
          </cell>
          <cell r="J106">
            <v>12.068931053330211</v>
          </cell>
          <cell r="K106">
            <v>9.9367992926613624</v>
          </cell>
        </row>
        <row r="107">
          <cell r="A107" t="str">
            <v>MNS10</v>
          </cell>
          <cell r="B107">
            <v>8.4101694915254246</v>
          </cell>
          <cell r="C107">
            <v>6.4802623360399751</v>
          </cell>
          <cell r="D107">
            <v>7.9113924050632916</v>
          </cell>
          <cell r="E107">
            <v>8.6129665255867636</v>
          </cell>
          <cell r="F107">
            <v>8.375063728544724</v>
          </cell>
          <cell r="G107">
            <v>7.659313725490196</v>
          </cell>
          <cell r="H107">
            <v>5.7684047786366834</v>
          </cell>
          <cell r="I107">
            <v>6.9124423963133639</v>
          </cell>
          <cell r="J107">
            <v>7.5932333964626197</v>
          </cell>
          <cell r="K107">
            <v>6.6934404283801872</v>
          </cell>
        </row>
        <row r="108">
          <cell r="A108" t="str">
            <v>MNS20</v>
          </cell>
          <cell r="B108">
            <v>5.7245496291063231</v>
          </cell>
          <cell r="C108">
            <v>4.3847123157394199</v>
          </cell>
          <cell r="D108">
            <v>5.4904831625183013</v>
          </cell>
          <cell r="E108">
            <v>5.477384155455904</v>
          </cell>
          <cell r="F108">
            <v>5.3159306644655384</v>
          </cell>
          <cell r="G108">
            <v>5.3168864313058277</v>
          </cell>
          <cell r="H108">
            <v>3.9085072231139648</v>
          </cell>
          <cell r="I108">
            <v>4.8076923076923075</v>
          </cell>
          <cell r="J108">
            <v>5.1689992475545523</v>
          </cell>
          <cell r="K108">
            <v>4.6511627906976747</v>
          </cell>
        </row>
        <row r="109">
          <cell r="A109" t="str">
            <v>MNS30</v>
          </cell>
          <cell r="B109">
            <v>3.9211885656970913</v>
          </cell>
          <cell r="C109">
            <v>2.9380759307040178</v>
          </cell>
          <cell r="D109">
            <v>4.369356248179435</v>
          </cell>
          <cell r="E109">
            <v>3.3883375546857013</v>
          </cell>
          <cell r="F109">
            <v>3.4306007588153848</v>
          </cell>
          <cell r="G109">
            <v>3.8355323718932186</v>
          </cell>
          <cell r="H109">
            <v>2.6118298223874432</v>
          </cell>
          <cell r="I109">
            <v>3.8597619813444837</v>
          </cell>
          <cell r="J109">
            <v>3.1199035179166406</v>
          </cell>
          <cell r="K109">
            <v>3.3500837520938025</v>
          </cell>
        </row>
        <row r="110">
          <cell r="A110" t="str">
            <v>MNS40</v>
          </cell>
          <cell r="B110">
            <v>2.6394304004936271</v>
          </cell>
          <cell r="C110">
            <v>1.8197173435784852</v>
          </cell>
          <cell r="D110">
            <v>3.1860662701784199</v>
          </cell>
          <cell r="E110">
            <v>1.7745773979107313</v>
          </cell>
          <cell r="F110">
            <v>2.1994501848516448</v>
          </cell>
          <cell r="G110">
            <v>2.3132084200786491</v>
          </cell>
          <cell r="H110">
            <v>1.6033383915022761</v>
          </cell>
          <cell r="I110">
            <v>2.7662517289073305</v>
          </cell>
          <cell r="J110">
            <v>1.9687440338197191</v>
          </cell>
          <cell r="K110" t="str">
            <v>N.A.</v>
          </cell>
        </row>
        <row r="111">
          <cell r="A111" t="str">
            <v>MNS50</v>
          </cell>
          <cell r="B111">
            <v>1.5068261465793082</v>
          </cell>
          <cell r="C111" t="str">
            <v>N.A.</v>
          </cell>
          <cell r="D111">
            <v>1.8477457501847745</v>
          </cell>
          <cell r="E111">
            <v>1.0940932051490957</v>
          </cell>
          <cell r="F111">
            <v>1.1983269336258915</v>
          </cell>
          <cell r="G111" t="str">
            <v>N.A.</v>
          </cell>
          <cell r="H111" t="str">
            <v>N.A.</v>
          </cell>
          <cell r="I111">
            <v>1.6084928422068521</v>
          </cell>
          <cell r="J111">
            <v>1.0494340415736747</v>
          </cell>
          <cell r="K111" t="str">
            <v>N.A.</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persons/person.xml><?xml version="1.0" encoding="utf-8"?>
<personList xmlns="http://schemas.microsoft.com/office/spreadsheetml/2018/threadedcomments" xmlns:x="http://schemas.openxmlformats.org/spreadsheetml/2006/main">
  <person displayName="Phil Chong" id="{644FE960-98EB-4F4E-AD56-514111955D4F}" userId="S::sg108432@singlife.com::029b4318-f728-494e-a671-95cf30d4432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0E0EE-30AB-4F3B-ABED-6559A779E632}" name="Table1" displayName="Table1" ref="A2:E10" headerRowDxfId="449" dataDxfId="447" totalsRowDxfId="445" headerRowBorderDxfId="448" tableBorderDxfId="446" totalsRowBorderDxfId="444">
  <autoFilter ref="A2:E10" xr:uid="{6720E0EE-30AB-4F3B-ABED-6559A779E632}"/>
  <tableColumns count="5">
    <tableColumn id="1" xr3:uid="{6F9B4B48-2200-46A2-91CE-790FFC91B410}" name="Provider" totalsRowLabel="Total" dataDxfId="443" totalsRowDxfId="442"/>
    <tableColumn id="2" xr3:uid="{753215C7-B86F-4622-8A85-B03ADB8B327B}" name="Plan" dataDxfId="441" totalsRowDxfId="440"/>
    <tableColumn id="3" xr3:uid="{BBDD4227-06A8-4027-A67F-E4E2EF8FDF97}" name="Feature - Main plan" dataDxfId="439" totalsRowDxfId="438"/>
    <tableColumn id="4" xr3:uid="{71C23E40-406A-4DD3-86BD-125B79248AD1}" name="Feature - Riders" dataDxfId="437" totalsRowDxfId="436"/>
    <tableColumn id="5" xr3:uid="{B3BC2B3F-5E28-4751-AC91-4F821918AD5A}" name="Value (Competitive)" totalsRowFunction="count" dataDxfId="435" totalsRowDxfId="43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B91629-460F-4D3F-B447-EA60C5C33CF8}" name="Table24" displayName="Table24" ref="B3:D8" totalsRowShown="0" headerRowDxfId="433" headerRowBorderDxfId="432" tableBorderDxfId="431" totalsRowBorderDxfId="430">
  <autoFilter ref="B3:D8" xr:uid="{4704E6C5-E316-4C55-BE55-9CC0AA41DA6E}"/>
  <sortState xmlns:xlrd2="http://schemas.microsoft.com/office/spreadsheetml/2017/richdata2" ref="B4:C8">
    <sortCondition ref="B3:B8"/>
  </sortState>
  <tableColumns count="3">
    <tableColumn id="2" xr3:uid="{AEB17C44-09D6-4958-8ED9-335CFD5B5A87}" name="Provider" dataDxfId="429"/>
    <tableColumn id="4" xr3:uid="{F1768A8B-FF15-4C46-9AF3-E33C1AACC008}" name="Plan" dataDxfId="428"/>
    <tableColumn id="6" xr3:uid="{3ABAA660-01EF-41A8-820B-1488CAE0D6D8}" name="Product Info" dataDxfId="427"/>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32" dT="2024-11-28T01:33:42.78" personId="{644FE960-98EB-4F4E-AD56-514111955D4F}" id="{1DD8C182-875F-427B-8DDB-FAA3494426D9}">
    <text>ML became 2nd instead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greateasternlife.com/sg/en/personal-insurance/our-products/life-insurance/great-flexi-protect-series.html" TargetMode="External"/><Relationship Id="rId7" Type="http://schemas.openxmlformats.org/officeDocument/2006/relationships/table" Target="../tables/table2.xml"/><Relationship Id="rId2" Type="http://schemas.openxmlformats.org/officeDocument/2006/relationships/hyperlink" Target="https://www.fwd.com.sg/personalised-financial-advice/life-protection/" TargetMode="External"/><Relationship Id="rId1" Type="http://schemas.openxmlformats.org/officeDocument/2006/relationships/hyperlink" Target="https://www.aia.com.sg/en/our-products/life-insurance/whole-life-insurance/aia-guaranteed-protect-plus-iv" TargetMode="External"/><Relationship Id="rId6" Type="http://schemas.openxmlformats.org/officeDocument/2006/relationships/printerSettings" Target="../printerSettings/printerSettings6.bin"/><Relationship Id="rId5" Type="http://schemas.openxmlformats.org/officeDocument/2006/relationships/hyperlink" Target="https://www.prudential.com.sg/products/life-insurance/whole-life-insurance/pruactive-life-iii" TargetMode="External"/><Relationship Id="rId4" Type="http://schemas.openxmlformats.org/officeDocument/2006/relationships/hyperlink" Target="https://www.insurance.hsbc.com.sg/life-and-critical-illness/products/life-treasure-iii/"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2.xml"/><Relationship Id="rId4" Type="http://schemas.microsoft.com/office/2017/10/relationships/threadedComment" Target="../threadedComments/threadedComment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prudential.com.sg/products/promo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2F033-6DAC-4060-85C6-B8C2BC927665}">
  <sheetPr>
    <pageSetUpPr fitToPage="1"/>
  </sheetPr>
  <dimension ref="A1:J48"/>
  <sheetViews>
    <sheetView showGridLines="0" zoomScale="75" zoomScaleNormal="75" workbookViewId="0">
      <selection activeCell="M45" sqref="M45"/>
    </sheetView>
  </sheetViews>
  <sheetFormatPr defaultRowHeight="14.5" x14ac:dyDescent="0.35"/>
  <sheetData>
    <row r="1" spans="1:10" x14ac:dyDescent="0.35">
      <c r="A1" s="120"/>
      <c r="B1" s="120"/>
      <c r="C1" s="120"/>
      <c r="D1" s="120"/>
      <c r="E1" s="120"/>
      <c r="F1" s="120"/>
      <c r="G1" s="120"/>
      <c r="H1" s="120"/>
      <c r="I1" s="120"/>
      <c r="J1" s="120"/>
    </row>
    <row r="2" spans="1:10" x14ac:dyDescent="0.35">
      <c r="A2" s="120"/>
      <c r="B2" s="120"/>
      <c r="C2" s="120"/>
      <c r="D2" s="120"/>
      <c r="E2" s="120"/>
      <c r="F2" s="120"/>
      <c r="G2" s="120"/>
      <c r="H2" s="120"/>
      <c r="I2" s="120"/>
      <c r="J2" s="120"/>
    </row>
    <row r="3" spans="1:10" ht="17.5" x14ac:dyDescent="0.35">
      <c r="A3" s="130" t="s">
        <v>469</v>
      </c>
      <c r="B3" s="130"/>
      <c r="C3" s="130"/>
      <c r="D3" s="130"/>
      <c r="E3" s="130"/>
      <c r="F3" s="130"/>
      <c r="G3" s="130"/>
      <c r="H3" s="130"/>
      <c r="I3" s="130"/>
      <c r="J3" s="130"/>
    </row>
    <row r="4" spans="1:10" ht="17.5" x14ac:dyDescent="0.35">
      <c r="A4" s="130" t="s">
        <v>470</v>
      </c>
      <c r="B4" s="130"/>
      <c r="C4" s="130"/>
      <c r="D4" s="130"/>
      <c r="E4" s="130"/>
      <c r="F4" s="130"/>
      <c r="G4" s="130"/>
      <c r="H4" s="130"/>
      <c r="I4" s="130"/>
      <c r="J4" s="130"/>
    </row>
    <row r="5" spans="1:10" x14ac:dyDescent="0.35">
      <c r="A5" s="120"/>
      <c r="B5" s="120"/>
      <c r="C5" s="120"/>
      <c r="D5" s="120"/>
      <c r="E5" s="120"/>
      <c r="F5" s="120"/>
      <c r="G5" s="120"/>
      <c r="H5" s="120"/>
      <c r="I5" s="120"/>
      <c r="J5" s="120"/>
    </row>
    <row r="6" spans="1:10" x14ac:dyDescent="0.35">
      <c r="A6" s="120"/>
      <c r="B6" s="120"/>
      <c r="C6" s="120"/>
      <c r="D6" s="120"/>
      <c r="E6" s="120"/>
      <c r="F6" s="120"/>
      <c r="G6" s="120"/>
      <c r="H6" s="120"/>
      <c r="I6" s="120"/>
      <c r="J6" s="120"/>
    </row>
    <row r="7" spans="1:10" x14ac:dyDescent="0.35">
      <c r="A7" s="120"/>
      <c r="B7" s="120"/>
      <c r="C7" s="120"/>
      <c r="D7" s="120"/>
      <c r="E7" s="120"/>
      <c r="F7" s="120"/>
      <c r="G7" s="120"/>
      <c r="H7" s="120"/>
      <c r="I7" s="120"/>
      <c r="J7" s="120"/>
    </row>
    <row r="8" spans="1:10" x14ac:dyDescent="0.35">
      <c r="A8" s="120"/>
      <c r="B8" s="120"/>
      <c r="C8" s="120"/>
      <c r="D8" s="120"/>
      <c r="E8" s="120"/>
      <c r="F8" s="120"/>
      <c r="G8" s="120"/>
      <c r="H8" s="120"/>
      <c r="I8" s="120"/>
      <c r="J8" s="120"/>
    </row>
    <row r="9" spans="1:10" x14ac:dyDescent="0.35">
      <c r="A9" s="120"/>
      <c r="B9" s="120"/>
      <c r="C9" s="120"/>
      <c r="D9" s="120"/>
      <c r="E9" s="120"/>
      <c r="F9" s="120"/>
      <c r="G9" s="120"/>
      <c r="H9" s="120"/>
      <c r="I9" s="120"/>
      <c r="J9" s="120"/>
    </row>
    <row r="10" spans="1:10" x14ac:dyDescent="0.35">
      <c r="A10" s="120"/>
      <c r="B10" s="120"/>
      <c r="C10" s="120"/>
      <c r="D10" s="120"/>
      <c r="E10" s="120"/>
      <c r="F10" s="120"/>
      <c r="G10" s="120"/>
      <c r="H10" s="120"/>
      <c r="I10" s="120"/>
      <c r="J10" s="120"/>
    </row>
    <row r="11" spans="1:10" x14ac:dyDescent="0.35">
      <c r="A11" s="120"/>
      <c r="B11" s="120"/>
      <c r="C11" s="120"/>
      <c r="D11" s="120"/>
      <c r="E11" s="120"/>
      <c r="F11" s="120"/>
      <c r="G11" s="120"/>
      <c r="H11" s="120"/>
      <c r="I11" s="120"/>
      <c r="J11" s="120"/>
    </row>
    <row r="12" spans="1:10" x14ac:dyDescent="0.35">
      <c r="A12" s="120"/>
      <c r="B12" s="120"/>
      <c r="C12" s="120"/>
      <c r="D12" s="120"/>
      <c r="E12" s="120"/>
      <c r="F12" s="120"/>
      <c r="G12" s="120"/>
      <c r="H12" s="120"/>
      <c r="I12" s="120"/>
      <c r="J12" s="120"/>
    </row>
    <row r="13" spans="1:10" x14ac:dyDescent="0.35">
      <c r="A13" s="120"/>
      <c r="B13" s="120"/>
      <c r="C13" s="120"/>
      <c r="D13" s="120"/>
      <c r="E13" s="120"/>
      <c r="F13" s="120"/>
      <c r="G13" s="120"/>
      <c r="H13" s="120"/>
      <c r="I13" s="120"/>
      <c r="J13" s="120"/>
    </row>
    <row r="14" spans="1:10" x14ac:dyDescent="0.35">
      <c r="A14" s="120"/>
      <c r="B14" s="120"/>
      <c r="C14" s="120"/>
      <c r="D14" s="120"/>
      <c r="E14" s="120"/>
      <c r="F14" s="120"/>
      <c r="G14" s="120"/>
      <c r="H14" s="120"/>
      <c r="I14" s="120"/>
      <c r="J14" s="120"/>
    </row>
    <row r="15" spans="1:10" x14ac:dyDescent="0.35">
      <c r="A15" s="120"/>
      <c r="B15" s="120"/>
      <c r="C15" s="120"/>
      <c r="D15" s="120"/>
      <c r="E15" s="120"/>
      <c r="F15" s="120"/>
      <c r="G15" s="120"/>
      <c r="H15" s="120"/>
      <c r="I15" s="120"/>
      <c r="J15" s="120"/>
    </row>
    <row r="16" spans="1:10" x14ac:dyDescent="0.35">
      <c r="A16" s="120"/>
      <c r="B16" s="120"/>
      <c r="C16" s="120"/>
      <c r="D16" s="120"/>
      <c r="E16" s="120"/>
      <c r="F16" s="120"/>
      <c r="G16" s="120"/>
      <c r="H16" s="120"/>
      <c r="I16" s="120"/>
      <c r="J16" s="120"/>
    </row>
    <row r="17" spans="1:10" x14ac:dyDescent="0.35">
      <c r="A17" s="120"/>
      <c r="B17" s="120"/>
      <c r="C17" s="120"/>
      <c r="D17" s="120"/>
      <c r="E17" s="120"/>
      <c r="F17" s="120"/>
      <c r="G17" s="120"/>
      <c r="H17" s="120"/>
      <c r="I17" s="120"/>
      <c r="J17" s="120"/>
    </row>
    <row r="18" spans="1:10" x14ac:dyDescent="0.35">
      <c r="A18" s="120"/>
      <c r="B18" s="120"/>
      <c r="C18" s="120"/>
      <c r="D18" s="120"/>
      <c r="E18" s="120"/>
      <c r="F18" s="120"/>
      <c r="G18" s="120"/>
      <c r="H18" s="120"/>
      <c r="I18" s="120"/>
      <c r="J18" s="120"/>
    </row>
    <row r="19" spans="1:10" x14ac:dyDescent="0.35">
      <c r="A19" s="120"/>
      <c r="B19" s="120"/>
      <c r="C19" s="120"/>
      <c r="D19" s="120"/>
      <c r="E19" s="120"/>
      <c r="F19" s="120"/>
      <c r="G19" s="120"/>
      <c r="H19" s="120"/>
      <c r="I19" s="120"/>
      <c r="J19" s="120"/>
    </row>
    <row r="20" spans="1:10" x14ac:dyDescent="0.35">
      <c r="A20" s="120"/>
      <c r="B20" s="120"/>
      <c r="C20" s="120"/>
      <c r="D20" s="120"/>
      <c r="E20" s="120"/>
      <c r="F20" s="120"/>
      <c r="G20" s="120"/>
      <c r="H20" s="120"/>
      <c r="I20" s="120"/>
      <c r="J20" s="120"/>
    </row>
    <row r="21" spans="1:10" x14ac:dyDescent="0.35">
      <c r="A21" s="120"/>
      <c r="B21" s="120"/>
      <c r="C21" s="120"/>
      <c r="D21" s="120"/>
      <c r="E21" s="120"/>
      <c r="F21" s="120"/>
      <c r="G21" s="120"/>
      <c r="H21" s="120"/>
      <c r="I21" s="120"/>
      <c r="J21" s="120"/>
    </row>
    <row r="22" spans="1:10" x14ac:dyDescent="0.35">
      <c r="A22" s="120"/>
      <c r="B22" s="120"/>
      <c r="C22" s="120"/>
      <c r="D22" s="120"/>
      <c r="E22" s="120"/>
      <c r="F22" s="120"/>
      <c r="G22" s="120"/>
      <c r="H22" s="120"/>
      <c r="I22" s="120"/>
      <c r="J22" s="120"/>
    </row>
    <row r="23" spans="1:10" x14ac:dyDescent="0.35">
      <c r="A23" s="120"/>
      <c r="B23" s="120"/>
      <c r="C23" s="120"/>
      <c r="D23" s="120"/>
      <c r="E23" s="120"/>
      <c r="F23" s="120"/>
      <c r="G23" s="120"/>
      <c r="H23" s="120"/>
      <c r="I23" s="120"/>
      <c r="J23" s="120"/>
    </row>
    <row r="24" spans="1:10" x14ac:dyDescent="0.35">
      <c r="A24" s="120"/>
      <c r="B24" s="120"/>
      <c r="C24" s="120"/>
      <c r="D24" s="120"/>
      <c r="E24" s="120"/>
      <c r="F24" s="120"/>
      <c r="G24" s="120"/>
      <c r="H24" s="120"/>
      <c r="I24" s="120"/>
      <c r="J24" s="120"/>
    </row>
    <row r="25" spans="1:10" x14ac:dyDescent="0.35">
      <c r="A25" s="120"/>
      <c r="B25" s="120"/>
      <c r="C25" s="120"/>
      <c r="D25" s="120"/>
      <c r="E25" s="120"/>
      <c r="F25" s="120"/>
      <c r="G25" s="120"/>
      <c r="H25" s="120"/>
      <c r="I25" s="120"/>
      <c r="J25" s="120"/>
    </row>
    <row r="26" spans="1:10" x14ac:dyDescent="0.35">
      <c r="A26" s="120"/>
      <c r="B26" s="120"/>
      <c r="C26" s="120"/>
      <c r="D26" s="120"/>
      <c r="E26" s="120"/>
      <c r="F26" s="120"/>
      <c r="G26" s="120"/>
      <c r="H26" s="120"/>
      <c r="I26" s="120"/>
      <c r="J26" s="120"/>
    </row>
    <row r="27" spans="1:10" x14ac:dyDescent="0.35">
      <c r="A27" s="120"/>
      <c r="B27" s="120"/>
      <c r="C27" s="120"/>
      <c r="D27" s="120"/>
      <c r="E27" s="120"/>
      <c r="F27" s="120"/>
      <c r="G27" s="120"/>
      <c r="H27" s="120"/>
      <c r="I27" s="120"/>
      <c r="J27" s="120"/>
    </row>
    <row r="28" spans="1:10" x14ac:dyDescent="0.35">
      <c r="A28" s="120"/>
      <c r="B28" s="120"/>
      <c r="C28" s="120"/>
      <c r="D28" s="120"/>
      <c r="E28" s="120"/>
      <c r="F28" s="120"/>
      <c r="G28" s="120"/>
      <c r="H28" s="120"/>
      <c r="I28" s="120"/>
      <c r="J28" s="120"/>
    </row>
    <row r="29" spans="1:10" x14ac:dyDescent="0.35">
      <c r="A29" s="120"/>
      <c r="B29" s="120"/>
      <c r="C29" s="120"/>
      <c r="D29" s="120"/>
      <c r="E29" s="120"/>
      <c r="F29" s="120"/>
      <c r="G29" s="120"/>
      <c r="H29" s="120"/>
      <c r="I29" s="120"/>
      <c r="J29" s="120"/>
    </row>
    <row r="30" spans="1:10" x14ac:dyDescent="0.35">
      <c r="A30" s="120"/>
      <c r="B30" s="120"/>
      <c r="C30" s="120"/>
      <c r="D30" s="120"/>
      <c r="E30" s="120"/>
      <c r="F30" s="120"/>
      <c r="G30" s="120"/>
      <c r="H30" s="120"/>
      <c r="I30" s="120"/>
      <c r="J30" s="120"/>
    </row>
    <row r="31" spans="1:10" x14ac:dyDescent="0.35">
      <c r="A31" s="120"/>
      <c r="B31" s="120"/>
      <c r="C31" s="120"/>
      <c r="D31" s="120"/>
      <c r="E31" s="120"/>
      <c r="F31" s="120"/>
      <c r="G31" s="120"/>
      <c r="H31" s="120"/>
      <c r="I31" s="120"/>
      <c r="J31" s="120"/>
    </row>
    <row r="32" spans="1:10" x14ac:dyDescent="0.35">
      <c r="A32" s="120"/>
      <c r="B32" s="120"/>
      <c r="C32" s="120"/>
      <c r="D32" s="120"/>
      <c r="E32" s="120"/>
      <c r="F32" s="120"/>
      <c r="G32" s="120"/>
      <c r="H32" s="120"/>
      <c r="I32" s="120"/>
      <c r="J32" s="120"/>
    </row>
    <row r="33" spans="1:10" x14ac:dyDescent="0.35">
      <c r="A33" s="120"/>
      <c r="B33" s="120"/>
      <c r="C33" s="120"/>
      <c r="D33" s="120"/>
      <c r="E33" s="120"/>
      <c r="F33" s="120"/>
      <c r="G33" s="120"/>
      <c r="H33" s="120"/>
      <c r="I33" s="120"/>
      <c r="J33" s="120"/>
    </row>
    <row r="34" spans="1:10" x14ac:dyDescent="0.35">
      <c r="A34" s="120"/>
      <c r="B34" s="120"/>
      <c r="C34" s="120"/>
      <c r="D34" s="120"/>
      <c r="E34" s="120"/>
      <c r="F34" s="120"/>
      <c r="G34" s="120"/>
      <c r="H34" s="120"/>
      <c r="I34" s="120"/>
      <c r="J34" s="120"/>
    </row>
    <row r="35" spans="1:10" x14ac:dyDescent="0.35">
      <c r="A35" s="120"/>
      <c r="B35" s="120"/>
      <c r="C35" s="120"/>
      <c r="D35" s="120"/>
      <c r="E35" s="120"/>
      <c r="F35" s="120"/>
      <c r="G35" s="120"/>
      <c r="H35" s="120"/>
      <c r="I35" s="120"/>
      <c r="J35" s="120"/>
    </row>
    <row r="36" spans="1:10" x14ac:dyDescent="0.35">
      <c r="A36" s="120"/>
      <c r="B36" s="120"/>
      <c r="C36" s="120"/>
      <c r="D36" s="120"/>
      <c r="E36" s="120"/>
      <c r="F36" s="120"/>
      <c r="G36" s="120"/>
      <c r="H36" s="120"/>
      <c r="I36" s="120"/>
      <c r="J36" s="120"/>
    </row>
    <row r="37" spans="1:10" x14ac:dyDescent="0.35">
      <c r="A37" s="120"/>
      <c r="B37" s="120"/>
      <c r="C37" s="120"/>
      <c r="D37" s="120"/>
      <c r="E37" s="120"/>
      <c r="F37" s="120"/>
      <c r="G37" s="120"/>
      <c r="H37" s="120"/>
      <c r="I37" s="120"/>
      <c r="J37" s="120"/>
    </row>
    <row r="38" spans="1:10" x14ac:dyDescent="0.35">
      <c r="A38" s="120"/>
      <c r="B38" s="120"/>
      <c r="C38" s="120"/>
      <c r="D38" s="120"/>
      <c r="E38" s="120"/>
      <c r="F38" s="120"/>
      <c r="G38" s="120"/>
      <c r="H38" s="120"/>
      <c r="I38" s="120"/>
      <c r="J38" s="120"/>
    </row>
    <row r="39" spans="1:10" x14ac:dyDescent="0.35">
      <c r="A39" s="120"/>
      <c r="B39" s="120"/>
      <c r="C39" s="120"/>
      <c r="D39" s="120"/>
      <c r="E39" s="120"/>
      <c r="F39" s="120"/>
      <c r="G39" s="120"/>
      <c r="H39" s="120"/>
      <c r="I39" s="120"/>
      <c r="J39" s="120"/>
    </row>
    <row r="40" spans="1:10" x14ac:dyDescent="0.35">
      <c r="A40" s="120"/>
      <c r="B40" s="120"/>
      <c r="C40" s="120"/>
      <c r="D40" s="120"/>
      <c r="E40" s="120"/>
      <c r="F40" s="120"/>
      <c r="G40" s="120"/>
      <c r="H40" s="120"/>
      <c r="I40" s="120"/>
      <c r="J40" s="120"/>
    </row>
    <row r="41" spans="1:10" x14ac:dyDescent="0.35">
      <c r="A41" s="120"/>
      <c r="B41" s="120"/>
      <c r="C41" s="120"/>
      <c r="D41" s="120"/>
      <c r="E41" s="120"/>
      <c r="F41" s="120"/>
      <c r="G41" s="120"/>
      <c r="H41" s="120"/>
      <c r="I41" s="120"/>
      <c r="J41" s="120"/>
    </row>
    <row r="42" spans="1:10" x14ac:dyDescent="0.35">
      <c r="A42" s="120"/>
      <c r="B42" s="120"/>
      <c r="C42" s="120"/>
      <c r="D42" s="120"/>
      <c r="E42" s="120"/>
      <c r="F42" s="120"/>
      <c r="G42" s="120"/>
      <c r="H42" s="120"/>
      <c r="I42" s="120"/>
      <c r="J42" s="120"/>
    </row>
    <row r="43" spans="1:10" x14ac:dyDescent="0.35">
      <c r="A43" s="120"/>
      <c r="B43" s="120"/>
      <c r="C43" s="120"/>
      <c r="D43" s="120"/>
      <c r="E43" s="120"/>
      <c r="F43" s="120"/>
      <c r="G43" s="120"/>
      <c r="H43" s="120"/>
      <c r="I43" s="120"/>
      <c r="J43" s="120"/>
    </row>
    <row r="44" spans="1:10" x14ac:dyDescent="0.35">
      <c r="A44" s="120"/>
      <c r="B44" s="120"/>
      <c r="C44" s="120"/>
      <c r="D44" s="120"/>
      <c r="E44" s="120"/>
      <c r="F44" s="120"/>
      <c r="G44" s="120"/>
      <c r="H44" s="120"/>
      <c r="I44" s="120"/>
      <c r="J44" s="120"/>
    </row>
    <row r="45" spans="1:10" x14ac:dyDescent="0.35">
      <c r="A45" s="120"/>
      <c r="B45" s="120"/>
      <c r="C45" s="120"/>
      <c r="D45" s="120"/>
      <c r="E45" s="120"/>
      <c r="F45" s="120"/>
      <c r="G45" s="120"/>
      <c r="H45" s="120"/>
      <c r="I45" s="120"/>
      <c r="J45" s="120"/>
    </row>
    <row r="46" spans="1:10" x14ac:dyDescent="0.35">
      <c r="A46" s="120"/>
      <c r="B46" s="120"/>
      <c r="C46" s="120"/>
      <c r="D46" s="120"/>
      <c r="E46" s="120"/>
      <c r="F46" s="120"/>
      <c r="G46" s="120"/>
      <c r="H46" s="120"/>
      <c r="I46" s="120"/>
      <c r="J46" s="120"/>
    </row>
    <row r="47" spans="1:10" x14ac:dyDescent="0.35">
      <c r="A47" s="120"/>
      <c r="B47" s="120"/>
      <c r="C47" s="120"/>
      <c r="D47" s="120"/>
      <c r="E47" s="120"/>
      <c r="F47" s="120"/>
      <c r="G47" s="120"/>
      <c r="H47" s="120"/>
      <c r="I47" s="120"/>
      <c r="J47" s="120"/>
    </row>
    <row r="48" spans="1:10" x14ac:dyDescent="0.35">
      <c r="A48" s="120"/>
      <c r="B48" s="120"/>
      <c r="C48" s="120"/>
      <c r="D48" s="120"/>
      <c r="E48" s="120"/>
      <c r="F48" s="120"/>
      <c r="G48" s="120"/>
      <c r="H48" s="120"/>
      <c r="I48" s="120"/>
      <c r="J48" s="120"/>
    </row>
  </sheetData>
  <sheetProtection algorithmName="SHA-512" hashValue="ie+uosZOti0IPOa9n36NFgFsLN6TekJcHJ73amlLB1GwbaEhyeOQLJySzeKn/zNFNyZuw4iM9gJmm7vxb89wXw==" saltValue="UJE0oyo6eArSUXixxfv4Ww==" spinCount="100000" sheet="1" objects="1" scenarios="1"/>
  <mergeCells count="2">
    <mergeCell ref="A3:J3"/>
    <mergeCell ref="A4:J4"/>
  </mergeCells>
  <printOptions horizontalCentered="1" verticalCentered="1"/>
  <pageMargins left="0" right="0" top="0" bottom="0" header="0" footer="0"/>
  <pageSetup paperSize="9" scale="81" orientation="landscape"/>
  <headerFooter>
    <oddFooter>&amp;L_x000D_&amp;1#&amp;"Calibri"&amp;8&amp;K0000FF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F41D7-EE4B-4FF8-9EF6-09A529634F6B}">
  <sheetPr>
    <tabColor theme="9" tint="0.79998168889431442"/>
  </sheetPr>
  <dimension ref="A1:L34"/>
  <sheetViews>
    <sheetView showGridLines="0" tabSelected="1" zoomScale="75" zoomScaleNormal="75" workbookViewId="0">
      <selection activeCell="P12" sqref="P12"/>
    </sheetView>
  </sheetViews>
  <sheetFormatPr defaultRowHeight="14.5" x14ac:dyDescent="0.35"/>
  <cols>
    <col min="2" max="2" width="17.1796875" customWidth="1"/>
    <col min="3" max="10" width="18.81640625" customWidth="1"/>
  </cols>
  <sheetData>
    <row r="1" spans="1:12" x14ac:dyDescent="0.35">
      <c r="A1" s="132" t="s">
        <v>0</v>
      </c>
      <c r="B1" s="132"/>
      <c r="C1" s="132"/>
      <c r="D1" s="132"/>
      <c r="E1" s="132"/>
      <c r="F1" s="132"/>
      <c r="G1" s="132"/>
      <c r="H1" s="132"/>
      <c r="I1" s="132"/>
      <c r="J1" s="132"/>
    </row>
    <row r="2" spans="1:12" ht="66.5" customHeight="1" x14ac:dyDescent="0.35">
      <c r="A2" s="131" t="s">
        <v>468</v>
      </c>
      <c r="B2" s="131"/>
      <c r="C2" s="131"/>
      <c r="D2" s="131"/>
      <c r="E2" s="131"/>
      <c r="F2" s="131"/>
      <c r="G2" s="131"/>
      <c r="H2" s="131"/>
      <c r="I2" s="131"/>
      <c r="J2" s="131"/>
      <c r="K2" s="116"/>
      <c r="L2" s="116"/>
    </row>
    <row r="3" spans="1:12" ht="12" customHeight="1" x14ac:dyDescent="0.35">
      <c r="A3" s="134" t="s">
        <v>2</v>
      </c>
      <c r="B3" s="134"/>
      <c r="C3" s="134"/>
      <c r="D3" s="134"/>
      <c r="E3" s="134"/>
      <c r="F3" s="134"/>
      <c r="G3" s="134"/>
      <c r="H3" s="134"/>
      <c r="I3" s="134"/>
      <c r="J3" s="134"/>
      <c r="K3" s="116"/>
      <c r="L3" s="116"/>
    </row>
    <row r="4" spans="1:12" ht="16" x14ac:dyDescent="0.4">
      <c r="A4" s="133" t="s">
        <v>3</v>
      </c>
      <c r="B4" s="133"/>
      <c r="C4" s="133"/>
      <c r="D4" s="133"/>
      <c r="E4" s="133"/>
      <c r="F4" s="133"/>
      <c r="G4" s="133"/>
      <c r="H4" s="133"/>
      <c r="I4" s="133"/>
      <c r="J4" s="133"/>
    </row>
    <row r="5" spans="1:12" ht="29" x14ac:dyDescent="0.35">
      <c r="A5" s="138" t="s">
        <v>4</v>
      </c>
      <c r="B5" s="138"/>
      <c r="C5" s="95" t="str">
        <f>Features!B2</f>
        <v>Singlife Whole Life Choice</v>
      </c>
      <c r="D5" s="95" t="str">
        <f>Features!C2</f>
        <v>China Life Whole Life Guardian Series 2</v>
      </c>
      <c r="E5" s="95" t="str">
        <f>Features!D2</f>
        <v>China Life
Multiplier Guardian</v>
      </c>
      <c r="F5" s="95" t="str">
        <f>Features!E2</f>
        <v>China Life Multiplier Guardian Plus</v>
      </c>
      <c r="G5" s="95" t="str">
        <f>Features!F2</f>
        <v>China Taiping i-Secure Legacy (II)</v>
      </c>
      <c r="H5" s="95" t="str">
        <f>Features!G2</f>
        <v>Etiqa Essential lifetime secure</v>
      </c>
      <c r="I5" s="95" t="str">
        <f>Features!H2</f>
        <v>Income Complete Life Secure</v>
      </c>
      <c r="J5" s="95" t="str">
        <f>Features!I2</f>
        <v>Manulife LifeReady Plus (II)</v>
      </c>
      <c r="K5" s="11"/>
    </row>
    <row r="6" spans="1:12" ht="16.75" customHeight="1" x14ac:dyDescent="0.35">
      <c r="A6" s="117"/>
      <c r="B6" s="117"/>
      <c r="C6" s="95"/>
      <c r="D6" s="95"/>
      <c r="E6" s="95"/>
      <c r="F6" s="95"/>
      <c r="G6" s="95"/>
      <c r="H6" s="95"/>
      <c r="I6" s="95"/>
      <c r="J6" s="95"/>
      <c r="K6" s="11"/>
    </row>
    <row r="7" spans="1:12" x14ac:dyDescent="0.35">
      <c r="A7" s="135" t="str">
        <f>Features!A3</f>
        <v>Age Basis</v>
      </c>
      <c r="B7" s="135"/>
      <c r="C7" s="77" t="str">
        <f>Features!B3</f>
        <v>ANB</v>
      </c>
      <c r="D7" s="77" t="str">
        <f>Features!C3</f>
        <v>ALB</v>
      </c>
      <c r="E7" s="77" t="str">
        <f>Features!D3</f>
        <v>ALB</v>
      </c>
      <c r="F7" s="77" t="str">
        <f>Features!E3</f>
        <v>ALB</v>
      </c>
      <c r="G7" s="77" t="str">
        <f>Features!F3</f>
        <v>ANB</v>
      </c>
      <c r="H7" s="77" t="str">
        <f>Features!G3</f>
        <v>ANB</v>
      </c>
      <c r="I7" s="77" t="str">
        <f>Features!H3</f>
        <v>ALB</v>
      </c>
      <c r="J7" s="77" t="str">
        <f>Features!I3</f>
        <v>ALB</v>
      </c>
      <c r="K7" s="11"/>
    </row>
    <row r="8" spans="1:12" ht="43.4" customHeight="1" x14ac:dyDescent="0.35">
      <c r="A8" s="135" t="str">
        <f>Features!A5</f>
        <v>Premium Term</v>
      </c>
      <c r="B8" s="135"/>
      <c r="C8" s="77" t="str">
        <f>Features!B5</f>
        <v>10,15,20,25, up to 65</v>
      </c>
      <c r="D8" s="77" t="str">
        <f>Features!C5</f>
        <v>5, 10, 15, 20, 25</v>
      </c>
      <c r="E8" s="77" t="str">
        <f>Features!D5</f>
        <v>10, 15, 20, 25</v>
      </c>
      <c r="F8" s="77" t="str">
        <f>Features!E5</f>
        <v>10, 15, 20, 25</v>
      </c>
      <c r="G8" s="77" t="str">
        <f>Features!F5</f>
        <v>5, 10, 15, 20, 25</v>
      </c>
      <c r="H8" s="77" t="str">
        <f>Features!G5</f>
        <v>5, 10, 15, 20, 25 and 30</v>
      </c>
      <c r="I8" s="77" t="str">
        <f>Features!H5</f>
        <v xml:space="preserve">5,10,15,20,25,30, up to age 64 </v>
      </c>
      <c r="J8" s="77" t="str">
        <f>Features!I5</f>
        <v>10,15,20,25, up till age 99</v>
      </c>
      <c r="K8" s="11"/>
    </row>
    <row r="9" spans="1:12" ht="43.5" x14ac:dyDescent="0.35">
      <c r="A9" s="135" t="str">
        <f>Features!A9</f>
        <v>Multiplier - options</v>
      </c>
      <c r="B9" s="135"/>
      <c r="C9" s="78" t="str">
        <f>Features!B9</f>
        <v>Additonal Cover (AC): 
100%, 200%, 300%, 400%</v>
      </c>
      <c r="D9" s="78" t="str">
        <f>Features!C9</f>
        <v>N.A.</v>
      </c>
      <c r="E9" s="78" t="str">
        <f>Features!D9</f>
        <v>Booster: 
1x, 2x, 3x ,4x</v>
      </c>
      <c r="F9" s="78" t="str">
        <f>Features!E9</f>
        <v>Booster:
1x, 2x, 3x ,4x</v>
      </c>
      <c r="G9" s="78" t="str">
        <f>Features!F9</f>
        <v>Guaranteed Benefit (GB):
 2x, 3x, 4x, 5x</v>
      </c>
      <c r="H9" s="78" t="str">
        <f>Features!G9</f>
        <v>Multiplier Benefit (MB): 
2x, 3x, 4x, 5x</v>
      </c>
      <c r="I9" s="78" t="str">
        <f>Features!H9</f>
        <v>Multiplier Cover (MC): 
100%, 200%, 300%, 400%, 500%</v>
      </c>
      <c r="J9" s="78" t="str">
        <f>Features!I9</f>
        <v>Life Multiplier Benefit (LBM): 
1x, 2x, 3x, 4x, 5x</v>
      </c>
      <c r="K9" s="11"/>
    </row>
    <row r="10" spans="1:12" ht="27" customHeight="1" x14ac:dyDescent="0.35">
      <c r="A10" s="135" t="str">
        <f>Features!A10</f>
        <v>Multiplier - expiry age</v>
      </c>
      <c r="B10" s="135"/>
      <c r="C10" s="108" t="str">
        <f>Features!B10</f>
        <v>65, 70, 75, 80, 85</v>
      </c>
      <c r="D10" s="78" t="str">
        <f>Features!C10</f>
        <v>N.A.</v>
      </c>
      <c r="E10" s="77">
        <f>Features!D10</f>
        <v>88</v>
      </c>
      <c r="F10" s="77">
        <f>Features!E10</f>
        <v>88</v>
      </c>
      <c r="G10" s="78" t="str">
        <f>Features!F10</f>
        <v>76, 86</v>
      </c>
      <c r="H10" s="108" t="str">
        <f>Features!G10</f>
        <v>66, 71, 76, 81, 86</v>
      </c>
      <c r="I10" s="78" t="str">
        <f>Features!H10</f>
        <v>65, 75, 80</v>
      </c>
      <c r="J10" s="78" t="str">
        <f>Features!I10</f>
        <v>70, 80</v>
      </c>
      <c r="K10" s="11"/>
    </row>
    <row r="11" spans="1:12" ht="28.4" customHeight="1" x14ac:dyDescent="0.35">
      <c r="A11" s="135" t="str">
        <f>Features!A11</f>
        <v>Multiplier - beyond expiry age</v>
      </c>
      <c r="B11" s="135"/>
      <c r="C11" s="79" t="str">
        <f>IF(Features!B11="N.A.", "", "✔️")</f>
        <v>✔️</v>
      </c>
      <c r="D11" s="79" t="str">
        <f>IF(Features!C11="N.A.", "", "✔️")</f>
        <v/>
      </c>
      <c r="E11" s="79" t="str">
        <f>IF(Features!D11="N.A.", "", "✔️")</f>
        <v/>
      </c>
      <c r="F11" s="79" t="str">
        <f>IF(Features!E11="N.A.", "", "✔️")</f>
        <v/>
      </c>
      <c r="G11" s="79" t="str">
        <f>IF(Features!F11="N.A.", "", "✔️")</f>
        <v>✔️</v>
      </c>
      <c r="H11" s="79" t="str">
        <f>IF(Features!G11="N.A.", "", "✔️")</f>
        <v>✔️</v>
      </c>
      <c r="I11" s="79" t="str">
        <f>IF(Features!H11="N.A.", "", "✔️")</f>
        <v/>
      </c>
      <c r="J11" s="79" t="str">
        <f>IF(Features!I11="N.A.", "", "✔️")</f>
        <v/>
      </c>
      <c r="K11" s="11"/>
    </row>
    <row r="12" spans="1:12" ht="43.5" customHeight="1" x14ac:dyDescent="0.35">
      <c r="A12" s="135" t="str">
        <f>Features!A15</f>
        <v>Option to Purchase New Plan Without Health Underwriting at Covered Life-stage Events</v>
      </c>
      <c r="B12" s="135"/>
      <c r="C12" s="79" t="str">
        <f>IF(Features!B15="N.A.", "", "✔️")</f>
        <v>✔️</v>
      </c>
      <c r="D12" s="79" t="str">
        <f>IF(Features!C15="N.A.", "", "✔️")</f>
        <v/>
      </c>
      <c r="E12" s="79" t="str">
        <f>IF(Features!D15="N.A.", "", "✔️")</f>
        <v>✔️</v>
      </c>
      <c r="F12" s="79" t="str">
        <f>IF(Features!E15="N.A.", "", "✔️")</f>
        <v>✔️</v>
      </c>
      <c r="G12" s="79" t="str">
        <f>IF(Features!F15="N.A.", "", "✔️")</f>
        <v/>
      </c>
      <c r="H12" s="79" t="str">
        <f>IF(Features!G15="N.A.", "", "✔️")</f>
        <v>✔️</v>
      </c>
      <c r="I12" s="79" t="str">
        <f>IF(Features!H15="N.A.", "", "✔️")</f>
        <v/>
      </c>
      <c r="J12" s="79" t="str">
        <f>IF(Features!I15="N.A.", "", "✔️")</f>
        <v>✔️</v>
      </c>
      <c r="K12" s="11"/>
    </row>
    <row r="13" spans="1:12" ht="14.5" customHeight="1" x14ac:dyDescent="0.35">
      <c r="A13" s="135" t="str">
        <f>Features!A20</f>
        <v>Income Payout Option</v>
      </c>
      <c r="B13" s="135"/>
      <c r="C13" s="79" t="str">
        <f>IF(Features!B20="N.A.", "", "✔️")</f>
        <v>✔️</v>
      </c>
      <c r="D13" s="79" t="str">
        <f>IF(Features!C20="N.A.", "", "✔️")</f>
        <v/>
      </c>
      <c r="E13" s="79" t="str">
        <f>IF(Features!D20="N.A.", "", "✔️")</f>
        <v>✔️</v>
      </c>
      <c r="F13" s="79" t="str">
        <f>IF(Features!E20="N.A.", "", "✔️")</f>
        <v>✔️</v>
      </c>
      <c r="G13" s="79" t="str">
        <f>IF(Features!F20="N.A.", "", "✔️")</f>
        <v/>
      </c>
      <c r="H13" s="79" t="str">
        <f>IF(Features!G20="N.A.", "", "✔️")</f>
        <v>✔️</v>
      </c>
      <c r="I13" s="79" t="str">
        <f>IF(Features!H20="N.A.", "", "✔️")</f>
        <v>✔️</v>
      </c>
      <c r="J13" s="79" t="str">
        <f>IF(Features!I20="N.A.", "", "✔️")</f>
        <v>✔️</v>
      </c>
      <c r="K13" s="11"/>
    </row>
    <row r="14" spans="1:12" ht="14.5" customHeight="1" x14ac:dyDescent="0.35">
      <c r="A14" s="135" t="str">
        <f>'Features (old)'!B24</f>
        <v>Retrenchment Benefit</v>
      </c>
      <c r="B14" s="135"/>
      <c r="C14" s="79" t="str">
        <f>IF(Features!B24="N.A.", "", "✔️")</f>
        <v>✔️</v>
      </c>
      <c r="D14" s="79" t="str">
        <f>IF(Features!C24="N.A.", "", "✔️")</f>
        <v/>
      </c>
      <c r="E14" s="79" t="str">
        <f>IF(Features!D24="N.A.", "", "✔️")</f>
        <v>✔️</v>
      </c>
      <c r="F14" s="79" t="str">
        <f>IF(Features!E24="N.A.", "", "✔️")</f>
        <v>✔️</v>
      </c>
      <c r="G14" s="79" t="str">
        <f>IF(Features!F24="N.A.", "", "✔️")</f>
        <v/>
      </c>
      <c r="H14" s="79" t="str">
        <f>IF(Features!G24="N.A.", "", "✔️")</f>
        <v>✔️</v>
      </c>
      <c r="I14" s="79" t="str">
        <f>IF(Features!H24="N.A.", "", "✔️")</f>
        <v>✔️</v>
      </c>
      <c r="J14" s="79" t="str">
        <f>IF(Features!I24="N.A.", "", "✔️")</f>
        <v>✔️</v>
      </c>
      <c r="K14" s="11"/>
    </row>
    <row r="15" spans="1:12" ht="26.5" customHeight="1" x14ac:dyDescent="0.35">
      <c r="A15" s="135" t="str">
        <f>Features!A26</f>
        <v>Life Stage Withdrawal Benefit</v>
      </c>
      <c r="B15" s="135"/>
      <c r="C15" s="79" t="str">
        <f>IF(Features!B26="N.A.", "", "✔️")</f>
        <v>✔️</v>
      </c>
      <c r="D15" s="79" t="str">
        <f>IF(Features!C26="N.A.", "", "✔️")</f>
        <v/>
      </c>
      <c r="E15" s="79" t="str">
        <f>IF(Features!D26="N.A.", "", "✔️")</f>
        <v/>
      </c>
      <c r="F15" s="79" t="str">
        <f>IF(Features!E26="N.A.", "", "✔️")</f>
        <v/>
      </c>
      <c r="G15" s="79" t="str">
        <f>IF(Features!F26="N.A.", "", "✔️")</f>
        <v/>
      </c>
      <c r="H15" s="79" t="str">
        <f>IF(Features!G26="N.A.", "", "✔️")</f>
        <v/>
      </c>
      <c r="I15" s="79" t="str">
        <f>IF(Features!H26="N.A.", "", "✔️")</f>
        <v/>
      </c>
      <c r="J15" s="79" t="str">
        <f>IF(Features!I26="N.A.", "", "✔️")</f>
        <v/>
      </c>
      <c r="K15" s="11"/>
    </row>
    <row r="16" spans="1:12" ht="45" customHeight="1" x14ac:dyDescent="0.35">
      <c r="A16" s="135" t="str">
        <f>Features!A31</f>
        <v>Basic Coverage</v>
      </c>
      <c r="B16" s="135"/>
      <c r="C16" s="78" t="str">
        <f>Features!B31</f>
        <v>1. Death
2. TI</v>
      </c>
      <c r="D16" s="78" t="str">
        <f>Features!C31</f>
        <v>1. Death
2. TI
3. TPD</v>
      </c>
      <c r="E16" s="78" t="str">
        <f>Features!D31</f>
        <v>1. Death
2. TI
3. TPD</v>
      </c>
      <c r="F16" s="78" t="str">
        <f>Features!E31</f>
        <v>1. Death
2. TI
3. TPD</v>
      </c>
      <c r="G16" s="78" t="str">
        <f>Features!F31</f>
        <v>1. Death
2. TI
3. TPD</v>
      </c>
      <c r="H16" s="78" t="str">
        <f>Features!G31</f>
        <v>1. Death
2. TI
3. TPD</v>
      </c>
      <c r="I16" s="78" t="str">
        <f>Features!H31</f>
        <v>1. Death
2. TPD</v>
      </c>
      <c r="J16" s="78" t="str">
        <f>Features!I31</f>
        <v>1. Death
2. TI
3. TPD</v>
      </c>
    </row>
    <row r="17" spans="1:10" x14ac:dyDescent="0.35">
      <c r="A17" s="137" t="str">
        <f>Features!A34</f>
        <v>TPD rider</v>
      </c>
      <c r="B17" s="137"/>
      <c r="C17" s="78" t="str">
        <f>Features!B34</f>
        <v>Optional</v>
      </c>
      <c r="D17" s="78" t="str">
        <f>Features!C34</f>
        <v>Embedded</v>
      </c>
      <c r="E17" s="78" t="str">
        <f>Features!D34</f>
        <v>Embedded</v>
      </c>
      <c r="F17" s="78" t="str">
        <f>Features!E34</f>
        <v>Embedded</v>
      </c>
      <c r="G17" s="78" t="str">
        <f>Features!F34</f>
        <v>Embedded</v>
      </c>
      <c r="H17" s="78" t="str">
        <f>Features!G34</f>
        <v>Embedded</v>
      </c>
      <c r="I17" s="78" t="str">
        <f>Features!H34</f>
        <v>Embedded</v>
      </c>
      <c r="J17" s="78" t="str">
        <f>Features!I34</f>
        <v>Embedded</v>
      </c>
    </row>
    <row r="18" spans="1:10" ht="17.5" customHeight="1" x14ac:dyDescent="0.35">
      <c r="A18" s="137" t="str">
        <f>Features!A35</f>
        <v>TPD - coverage age</v>
      </c>
      <c r="B18" s="137"/>
      <c r="C18" s="77" t="str">
        <f>Features!B35</f>
        <v>Whole of life</v>
      </c>
      <c r="D18" s="77">
        <f>Features!C35</f>
        <v>65</v>
      </c>
      <c r="E18" s="77">
        <f>Features!D35</f>
        <v>85</v>
      </c>
      <c r="F18" s="77">
        <f>Features!E35</f>
        <v>85</v>
      </c>
      <c r="G18" s="77" t="str">
        <f>Features!F35</f>
        <v>Whole of life</v>
      </c>
      <c r="H18" s="77" t="str">
        <f>Features!G35</f>
        <v>Whole of life</v>
      </c>
      <c r="I18" s="77" t="str">
        <f>Features!H35</f>
        <v>Whole of life</v>
      </c>
      <c r="J18" s="77">
        <f>Features!I35</f>
        <v>99</v>
      </c>
    </row>
    <row r="19" spans="1:10" ht="27.65" customHeight="1" x14ac:dyDescent="0.35">
      <c r="A19" s="136" t="str">
        <f>Features!A38</f>
        <v>Advanced Critical Illness (CI) rider</v>
      </c>
      <c r="B19" s="136"/>
      <c r="C19" s="78" t="str">
        <f>Features!B38</f>
        <v>Optional</v>
      </c>
      <c r="D19" s="78" t="str">
        <f>Features!C38</f>
        <v>Optional</v>
      </c>
      <c r="E19" s="78" t="str">
        <f>Features!D38</f>
        <v>Embedded</v>
      </c>
      <c r="F19" s="78" t="str">
        <f>Features!E38</f>
        <v>Embedded</v>
      </c>
      <c r="G19" s="78" t="str">
        <f>Features!F38</f>
        <v>Optional</v>
      </c>
      <c r="H19" s="78" t="str">
        <f>Features!G38</f>
        <v>Optional</v>
      </c>
      <c r="I19" s="78" t="str">
        <f>Features!H38</f>
        <v>Optional</v>
      </c>
      <c r="J19" s="78" t="str">
        <f>Features!I38</f>
        <v>Optional</v>
      </c>
    </row>
    <row r="20" spans="1:10" ht="31.75" customHeight="1" x14ac:dyDescent="0.35">
      <c r="A20" s="136" t="str">
        <f>Features!A39</f>
        <v>Advanced CI conditions - CI rider</v>
      </c>
      <c r="B20" s="136"/>
      <c r="C20" s="77">
        <f>Features!B39</f>
        <v>36</v>
      </c>
      <c r="D20" s="77">
        <f>Features!C39</f>
        <v>36</v>
      </c>
      <c r="E20" s="77">
        <f>Features!D39</f>
        <v>38</v>
      </c>
      <c r="F20" s="77">
        <f>Features!E39</f>
        <v>38</v>
      </c>
      <c r="G20" s="77">
        <f>Features!F39</f>
        <v>55</v>
      </c>
      <c r="H20" s="109">
        <f>Features!G39</f>
        <v>63</v>
      </c>
      <c r="I20" s="77">
        <f>Features!H39</f>
        <v>54</v>
      </c>
      <c r="J20" s="77">
        <f>Features!I39</f>
        <v>56</v>
      </c>
    </row>
    <row r="21" spans="1:10" ht="30" customHeight="1" x14ac:dyDescent="0.35">
      <c r="A21" s="136" t="str">
        <f>Features!A41</f>
        <v>ICU Benefits - CI rider</v>
      </c>
      <c r="B21" s="136"/>
      <c r="C21" s="79" t="str">
        <f>IF(Features!B41="N.A.", "", "✔️")</f>
        <v/>
      </c>
      <c r="D21" s="79" t="str">
        <f>IF(Features!C41="N.A.", "", "✔️")</f>
        <v/>
      </c>
      <c r="E21" s="79" t="str">
        <f>IF(Features!D41="N.A.", "", "✔️")</f>
        <v/>
      </c>
      <c r="F21" s="79" t="str">
        <f>IF(Features!E41="N.A.", "", "✔️")</f>
        <v/>
      </c>
      <c r="G21" s="79" t="str">
        <f>IF(Features!F41="N.A.", "", "✔️")</f>
        <v/>
      </c>
      <c r="H21" s="79" t="str">
        <f>IF(Features!G41="N.A.", "", "✔️")</f>
        <v/>
      </c>
      <c r="I21" s="79" t="str">
        <f>IF(Features!H41="N.A.", "", "✔️")</f>
        <v>✔️</v>
      </c>
      <c r="J21" s="79" t="str">
        <f>IF(Features!I41="N.A.", "", "✔️")</f>
        <v>✔️</v>
      </c>
    </row>
    <row r="22" spans="1:10" ht="26.5" customHeight="1" x14ac:dyDescent="0.35">
      <c r="A22" s="136" t="str">
        <f>Features!A42</f>
        <v>Child Benefit - CI rider</v>
      </c>
      <c r="B22" s="136"/>
      <c r="C22" s="79" t="str">
        <f>IF(Features!B42="N.A.", "", "✔️")</f>
        <v/>
      </c>
      <c r="D22" s="79" t="str">
        <f>IF(Features!C42="N.A.", "", "✔️")</f>
        <v/>
      </c>
      <c r="E22" s="79" t="str">
        <f>IF(Features!D42="N.A.", "", "✔️")</f>
        <v/>
      </c>
      <c r="F22" s="79" t="str">
        <f>IF(Features!E42="N.A.", "", "✔️")</f>
        <v/>
      </c>
      <c r="G22" s="79" t="str">
        <f>IF(Features!F42="N.A.", "", "✔️")</f>
        <v/>
      </c>
      <c r="H22" s="79" t="str">
        <f>IF(Features!G42="N.A.", "", "✔️")</f>
        <v/>
      </c>
      <c r="I22" s="79" t="str">
        <f>IF(Features!H42="N.A.", "", "✔️")</f>
        <v/>
      </c>
      <c r="J22" s="79" t="str">
        <f>IF(Features!I42="N.A.", "", "✔️")</f>
        <v>✔️</v>
      </c>
    </row>
    <row r="23" spans="1:10" ht="28.75" customHeight="1" x14ac:dyDescent="0.35">
      <c r="A23" s="137" t="str">
        <f>Features!A43</f>
        <v>Early Critical Illness (ECI) rider</v>
      </c>
      <c r="B23" s="137"/>
      <c r="C23" s="77" t="str">
        <f>Features!B43</f>
        <v>Optional</v>
      </c>
      <c r="D23" s="77" t="str">
        <f>Features!C43</f>
        <v>N.A.</v>
      </c>
      <c r="E23" s="77" t="str">
        <f>Features!D43</f>
        <v>N.A.</v>
      </c>
      <c r="F23" s="77" t="str">
        <f>Features!E43</f>
        <v>N.A.</v>
      </c>
      <c r="G23" s="77" t="str">
        <f>Features!F43</f>
        <v>Optional</v>
      </c>
      <c r="H23" s="77" t="str">
        <f>Features!G43</f>
        <v>Optional</v>
      </c>
      <c r="I23" s="77" t="str">
        <f>Features!H43</f>
        <v>Optional</v>
      </c>
      <c r="J23" s="77" t="str">
        <f>Features!I43</f>
        <v>Optional</v>
      </c>
    </row>
    <row r="24" spans="1:10" ht="28.75" customHeight="1" x14ac:dyDescent="0.35">
      <c r="A24" s="137" t="str">
        <f>Features!A44</f>
        <v>ECI and Intermediate conditions - ECI rider</v>
      </c>
      <c r="B24" s="137"/>
      <c r="C24" s="77">
        <f>Features!B44</f>
        <v>72</v>
      </c>
      <c r="D24" s="77" t="str">
        <f>Features!C44</f>
        <v>N.A.</v>
      </c>
      <c r="E24" s="77" t="str">
        <f>Features!D44</f>
        <v>N.A.</v>
      </c>
      <c r="F24" s="77" t="str">
        <f>Features!E44</f>
        <v>N.A.</v>
      </c>
      <c r="G24" s="109">
        <f>Features!F44</f>
        <v>82</v>
      </c>
      <c r="H24" s="77">
        <f>Features!G44</f>
        <v>76</v>
      </c>
      <c r="I24" s="77">
        <f>Features!H44</f>
        <v>66</v>
      </c>
      <c r="J24" s="77">
        <f>Features!I44</f>
        <v>70</v>
      </c>
    </row>
    <row r="25" spans="1:10" ht="28.75" customHeight="1" x14ac:dyDescent="0.35">
      <c r="A25" s="137" t="str">
        <f>Features!A45</f>
        <v>Advanced CI conditions - ECI rider</v>
      </c>
      <c r="B25" s="137"/>
      <c r="C25" s="77">
        <f>Features!B45</f>
        <v>59</v>
      </c>
      <c r="D25" s="77" t="str">
        <f>Features!C45</f>
        <v>N.A.</v>
      </c>
      <c r="E25" s="77" t="str">
        <f>Features!D45</f>
        <v>N.A.</v>
      </c>
      <c r="F25" s="77" t="str">
        <f>Features!E45</f>
        <v>N.A.</v>
      </c>
      <c r="G25" s="77">
        <f>Features!F45</f>
        <v>55</v>
      </c>
      <c r="H25" s="109">
        <f>Features!G45</f>
        <v>63</v>
      </c>
      <c r="I25" s="77">
        <f>Features!H45</f>
        <v>54</v>
      </c>
      <c r="J25" s="77">
        <f>Features!I45</f>
        <v>55</v>
      </c>
    </row>
    <row r="26" spans="1:10" ht="28.75" customHeight="1" x14ac:dyDescent="0.35">
      <c r="A26" s="137" t="str">
        <f>Features!A46</f>
        <v>Total ECI and CI conditions - ECI rider</v>
      </c>
      <c r="B26" s="137"/>
      <c r="C26" s="77">
        <f>Features!B46</f>
        <v>131</v>
      </c>
      <c r="D26" s="77" t="str">
        <f>Features!C46</f>
        <v>N.A.</v>
      </c>
      <c r="E26" s="77" t="str">
        <f>Features!D46</f>
        <v>N.A.</v>
      </c>
      <c r="F26" s="77" t="str">
        <f>Features!E46</f>
        <v>N.A.</v>
      </c>
      <c r="G26" s="77">
        <f>Features!F46</f>
        <v>137</v>
      </c>
      <c r="H26" s="109">
        <f>Features!G46</f>
        <v>139</v>
      </c>
      <c r="I26" s="77">
        <f>Features!H46</f>
        <v>120</v>
      </c>
      <c r="J26" s="77">
        <f>Features!I46</f>
        <v>125</v>
      </c>
    </row>
    <row r="27" spans="1:10" ht="28.75" customHeight="1" x14ac:dyDescent="0.35">
      <c r="A27" s="137" t="str">
        <f>Features!A47</f>
        <v>Juvenile conditions - ECI rider</v>
      </c>
      <c r="B27" s="137"/>
      <c r="C27" s="77">
        <f>Features!B47</f>
        <v>11</v>
      </c>
      <c r="D27" s="77" t="str">
        <f>Features!C47</f>
        <v>N.A.</v>
      </c>
      <c r="E27" s="77" t="str">
        <f>Features!D47</f>
        <v>N.A.</v>
      </c>
      <c r="F27" s="77" t="str">
        <f>Features!E47</f>
        <v>N.A.</v>
      </c>
      <c r="G27" s="77">
        <f>Features!F47</f>
        <v>12</v>
      </c>
      <c r="H27" s="109">
        <f>Features!G47</f>
        <v>18</v>
      </c>
      <c r="I27" s="77">
        <f>Features!H47</f>
        <v>17</v>
      </c>
      <c r="J27" s="77">
        <f>Features!I47</f>
        <v>13</v>
      </c>
    </row>
    <row r="28" spans="1:10" ht="28.75" customHeight="1" x14ac:dyDescent="0.35">
      <c r="A28" s="137" t="str">
        <f>Features!A48</f>
        <v>Special conditions - ECI rider</v>
      </c>
      <c r="B28" s="137"/>
      <c r="C28" s="77">
        <f>Features!B48</f>
        <v>16</v>
      </c>
      <c r="D28" s="77" t="str">
        <f>Features!C48</f>
        <v>N.A.</v>
      </c>
      <c r="E28" s="77" t="str">
        <f>Features!D48</f>
        <v>N.A.</v>
      </c>
      <c r="F28" s="77" t="str">
        <f>Features!E48</f>
        <v>N.A.</v>
      </c>
      <c r="G28" s="77">
        <f>Features!F48</f>
        <v>12</v>
      </c>
      <c r="H28" s="77">
        <f>Features!G48</f>
        <v>11</v>
      </c>
      <c r="I28" s="109">
        <f>Features!H48</f>
        <v>17</v>
      </c>
      <c r="J28" s="77">
        <f>Features!I48</f>
        <v>10</v>
      </c>
    </row>
    <row r="29" spans="1:10" ht="28.75" customHeight="1" x14ac:dyDescent="0.35">
      <c r="A29" s="137" t="str">
        <f>Features!A49</f>
        <v>Mental conditions - ECI rider</v>
      </c>
      <c r="B29" s="137"/>
      <c r="C29" s="77" t="str">
        <f>Features!B49</f>
        <v>N.A.</v>
      </c>
      <c r="D29" s="77" t="str">
        <f>Features!C49</f>
        <v>N.A.</v>
      </c>
      <c r="E29" s="77" t="str">
        <f>Features!D49</f>
        <v>N.A.</v>
      </c>
      <c r="F29" s="77" t="str">
        <f>Features!E49</f>
        <v>N.A.</v>
      </c>
      <c r="G29" s="77" t="str">
        <f>Features!F49</f>
        <v>N.A.</v>
      </c>
      <c r="H29" s="77" t="str">
        <f>Features!G49</f>
        <v>N.A.</v>
      </c>
      <c r="I29" s="109">
        <f>Features!H49</f>
        <v>5</v>
      </c>
      <c r="J29" s="77" t="str">
        <f>Features!I49</f>
        <v>N.A.</v>
      </c>
    </row>
    <row r="30" spans="1:10" ht="28.75" customHeight="1" x14ac:dyDescent="0.35">
      <c r="A30" s="137" t="str">
        <f>Features!A50</f>
        <v>Benign Tumour Coverage - ECI rider</v>
      </c>
      <c r="B30" s="137"/>
      <c r="C30" s="79" t="str">
        <f>IF(Features!B50="N.A.", "", "✔️")</f>
        <v>✔️</v>
      </c>
      <c r="D30" s="79" t="str">
        <f>IF(Features!C50="N.A.", "", "✔️")</f>
        <v/>
      </c>
      <c r="E30" s="79" t="str">
        <f>IF(Features!D50="N.A.", "", "✔️")</f>
        <v/>
      </c>
      <c r="F30" s="79" t="str">
        <f>IF(Features!E50="N.A.", "", "✔️")</f>
        <v/>
      </c>
      <c r="G30" s="79" t="str">
        <f>IF(Features!F50="N.A.", "", "✔️")</f>
        <v/>
      </c>
      <c r="H30" s="79" t="str">
        <f>IF(Features!G50="N.A.", "", "✔️")</f>
        <v/>
      </c>
      <c r="I30" s="79" t="str">
        <f>IF(Features!H50="N.A.", "", "✔️")</f>
        <v>✔️</v>
      </c>
      <c r="J30" s="79" t="str">
        <f>IF(Features!I50="N.A.", "", "✔️")</f>
        <v/>
      </c>
    </row>
    <row r="31" spans="1:10" ht="28.75" customHeight="1" x14ac:dyDescent="0.35">
      <c r="A31" s="137" t="str">
        <f>Features!A51</f>
        <v>Option to purchase term policy after DD diagnosis - ECI rider</v>
      </c>
      <c r="B31" s="137"/>
      <c r="C31" s="79" t="str">
        <f>IF(Features!B51="N.A.", "", "✔️")</f>
        <v/>
      </c>
      <c r="D31" s="79" t="str">
        <f>IF(Features!C51="N.A.", "", "✔️")</f>
        <v/>
      </c>
      <c r="E31" s="79" t="str">
        <f>IF(Features!D51="N.A.", "", "✔️")</f>
        <v/>
      </c>
      <c r="F31" s="79" t="str">
        <f>IF(Features!E51="N.A.", "", "✔️")</f>
        <v/>
      </c>
      <c r="G31" s="79" t="str">
        <f>IF(Features!F51="N.A.", "", "✔️")</f>
        <v/>
      </c>
      <c r="H31" s="79" t="str">
        <f>IF(Features!G51="N.A.", "", "✔️")</f>
        <v/>
      </c>
      <c r="I31" s="79" t="str">
        <f>IF(Features!H51="N.A.", "", "✔️")</f>
        <v>✔️</v>
      </c>
      <c r="J31" s="79" t="str">
        <f>IF(Features!I51="N.A.", "", "✔️")</f>
        <v/>
      </c>
    </row>
    <row r="32" spans="1:10" ht="28.75" customHeight="1" x14ac:dyDescent="0.35">
      <c r="A32" s="137" t="str">
        <f>Features!A52</f>
        <v>ICU Benefits - ECI rider</v>
      </c>
      <c r="B32" s="137"/>
      <c r="C32" s="79" t="str">
        <f>IF(Features!B52="N.A.", "", "✔️")</f>
        <v>✔️</v>
      </c>
      <c r="D32" s="79" t="str">
        <f>IF(Features!C52="N.A.", "", "✔️")</f>
        <v/>
      </c>
      <c r="E32" s="79" t="str">
        <f>IF(Features!D52="N.A.", "", "✔️")</f>
        <v/>
      </c>
      <c r="F32" s="79" t="str">
        <f>IF(Features!E52="N.A.", "", "✔️")</f>
        <v/>
      </c>
      <c r="G32" s="79" t="str">
        <f>IF(Features!F52="N.A.", "", "✔️")</f>
        <v/>
      </c>
      <c r="H32" s="79" t="str">
        <f>IF(Features!G52="N.A.", "", "✔️")</f>
        <v/>
      </c>
      <c r="I32" s="79" t="str">
        <f>IF(Features!H52="N.A.", "", "✔️")</f>
        <v/>
      </c>
      <c r="J32" s="79" t="str">
        <f>IF(Features!I52="N.A.", "", "✔️")</f>
        <v/>
      </c>
    </row>
    <row r="33" spans="1:10" ht="28.75" customHeight="1" x14ac:dyDescent="0.35">
      <c r="A33" s="137" t="str">
        <f>Features!A53</f>
        <v>Additional Payout for specific conditions - ECI rider</v>
      </c>
      <c r="B33" s="137"/>
      <c r="C33" s="79" t="str">
        <f>IF(Features!B53="N.A.", "", "✔️")</f>
        <v/>
      </c>
      <c r="D33" s="79" t="str">
        <f>IF(Features!C53="N.A.", "", "✔️")</f>
        <v/>
      </c>
      <c r="E33" s="79" t="str">
        <f>IF(Features!D53="N.A.", "", "✔️")</f>
        <v/>
      </c>
      <c r="F33" s="79" t="str">
        <f>IF(Features!E53="N.A.", "", "✔️")</f>
        <v/>
      </c>
      <c r="G33" s="79" t="str">
        <f>IF(Features!F53="N.A.", "", "✔️")</f>
        <v/>
      </c>
      <c r="H33" s="79" t="str">
        <f>IF(Features!G53="N.A.", "", "✔️")</f>
        <v>✔️</v>
      </c>
      <c r="I33" s="79" t="str">
        <f>IF(Features!H53="N.A.", "", "✔️")</f>
        <v>✔️</v>
      </c>
      <c r="J33" s="79" t="str">
        <f>IF(Features!I53="N.A.", "", "✔️")</f>
        <v/>
      </c>
    </row>
    <row r="34" spans="1:10" ht="118.25" customHeight="1" x14ac:dyDescent="0.35">
      <c r="A34" s="135" t="str">
        <f>Features!A28</f>
        <v>Par Fund Returns</v>
      </c>
      <c r="B34" s="135"/>
      <c r="C34" s="82" t="str">
        <f>Features!B28</f>
        <v>3-year average (2021 to 2023): -2.51%
5-year average (2019 to 2023): 2.52%
10-year average (2014 to 2023): 3.13%</v>
      </c>
      <c r="D34" s="82" t="str">
        <f>Features!C28</f>
        <v>3-year average (2021 to 2023): -0.08%
5-year average (2019 to 2023): 4.99%
10-year average (2014 to 2023): NA</v>
      </c>
      <c r="E34" s="82" t="str">
        <f>Features!D28</f>
        <v>3-year average (2021 to 2023): -0.08%
5-year average (2019 to 2023): 4.99%
10-year average (2014 to 2023): NA</v>
      </c>
      <c r="F34" s="82" t="str">
        <f>Features!E28</f>
        <v>3-year average (2021 to 2023): -0.08%
5-year average (2019 to 2023): 4.99%
10-year average (2014 to 2023): NA</v>
      </c>
      <c r="G34" s="82" t="str">
        <f>Features!F28</f>
        <v>3-year average (2021 to 2023): -3.40%
5-year average (2019 to 2023): NA
10-year average (2014 to 2023): NA</v>
      </c>
      <c r="H34" s="82" t="str">
        <f>Features!G28</f>
        <v>3-year average (2021 to 2023): -2.48%
5-year average (2019 to 2023): 1.26%
10-year average (2014 to 2023):NA</v>
      </c>
      <c r="I34" s="82" t="str">
        <f>Features!H28</f>
        <v>3-year average (2021 to 2023): -1.48%
5-year average (2019 to 2023): 2.72%
10-year average (2014 to 2023): 3.50%</v>
      </c>
      <c r="J34" s="82" t="str">
        <f>Features!I28</f>
        <v>2022: -4.92%
2023: 10.06%
3-year average (2021 to 2023): NA
5-year average (2019 to 2023): NA
10-year average (2014 to 2023): NA</v>
      </c>
    </row>
  </sheetData>
  <sheetProtection algorithmName="SHA-512" hashValue="+x6dB8VxKcwbSLL1sBeUgPVUrxl/p49TODmOnkTYY6+VDLusk0+gkjX1LiknxtHhplBfsv68yGbQLHQYApey0w==" saltValue="oODofAL33x9gu8CCwYXzjg==" spinCount="100000" sheet="1" objects="1" scenarios="1" selectLockedCells="1" autoFilter="0" selectUnlockedCells="1"/>
  <mergeCells count="33">
    <mergeCell ref="A13:B13"/>
    <mergeCell ref="A5:B5"/>
    <mergeCell ref="A7:B7"/>
    <mergeCell ref="A8:B8"/>
    <mergeCell ref="A9:B9"/>
    <mergeCell ref="A10:B10"/>
    <mergeCell ref="A11:B11"/>
    <mergeCell ref="A12:B12"/>
    <mergeCell ref="A26:B26"/>
    <mergeCell ref="A27:B27"/>
    <mergeCell ref="A28:B28"/>
    <mergeCell ref="A29:B29"/>
    <mergeCell ref="A14:B14"/>
    <mergeCell ref="A15:B15"/>
    <mergeCell ref="A16:B16"/>
    <mergeCell ref="A17:B17"/>
    <mergeCell ref="A18:B18"/>
    <mergeCell ref="A2:J2"/>
    <mergeCell ref="A1:J1"/>
    <mergeCell ref="A4:J4"/>
    <mergeCell ref="A3:J3"/>
    <mergeCell ref="A34:B34"/>
    <mergeCell ref="A19:B19"/>
    <mergeCell ref="A20:B20"/>
    <mergeCell ref="A21:B21"/>
    <mergeCell ref="A22:B22"/>
    <mergeCell ref="A23:B23"/>
    <mergeCell ref="A24:B24"/>
    <mergeCell ref="A30:B30"/>
    <mergeCell ref="A31:B31"/>
    <mergeCell ref="A32:B32"/>
    <mergeCell ref="A33:B33"/>
    <mergeCell ref="A25:B25"/>
  </mergeCells>
  <conditionalFormatting sqref="C23:J23">
    <cfRule type="top10" dxfId="426" priority="4" rank="1"/>
  </conditionalFormatting>
  <pageMargins left="0.7" right="0.7" top="0.75" bottom="0.75" header="0.3" footer="0.3"/>
  <pageSetup orientation="portrait" r:id="rId1"/>
  <headerFooter>
    <oddFooter>&amp;L_x000D_&amp;1#&amp;"Calibri"&amp;8&amp;K0000FF Internal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F414-17D2-4A43-881B-079C85D4EE92}">
  <sheetPr>
    <tabColor theme="9" tint="0.79998168889431442"/>
  </sheetPr>
  <dimension ref="A1:M26"/>
  <sheetViews>
    <sheetView showGridLines="0" topLeftCell="A8" zoomScaleNormal="100" workbookViewId="0">
      <selection activeCell="J18" sqref="J18"/>
    </sheetView>
  </sheetViews>
  <sheetFormatPr defaultRowHeight="14.5" x14ac:dyDescent="0.35"/>
  <cols>
    <col min="3" max="3" width="17.1796875" customWidth="1"/>
    <col min="4" max="11" width="18.81640625" customWidth="1"/>
  </cols>
  <sheetData>
    <row r="1" spans="1:13" x14ac:dyDescent="0.35">
      <c r="A1" s="132" t="s">
        <v>0</v>
      </c>
      <c r="B1" s="132"/>
      <c r="C1" s="132"/>
      <c r="D1" s="132"/>
      <c r="E1" s="132"/>
      <c r="F1" s="132"/>
      <c r="G1" s="132"/>
      <c r="H1" s="132"/>
      <c r="I1" s="132"/>
      <c r="J1" s="132"/>
      <c r="K1" s="132"/>
      <c r="L1" s="132"/>
      <c r="M1" s="132"/>
    </row>
    <row r="2" spans="1:13" ht="60.65" customHeight="1" x14ac:dyDescent="0.35">
      <c r="A2" s="134" t="s">
        <v>1</v>
      </c>
      <c r="B2" s="134"/>
      <c r="C2" s="134"/>
      <c r="D2" s="134"/>
      <c r="E2" s="134"/>
      <c r="F2" s="134"/>
      <c r="G2" s="134"/>
      <c r="H2" s="134"/>
      <c r="I2" s="134"/>
      <c r="J2" s="134"/>
      <c r="K2" s="134"/>
      <c r="L2" s="134"/>
      <c r="M2" s="134"/>
    </row>
    <row r="3" spans="1:13" ht="12" customHeight="1" x14ac:dyDescent="0.35">
      <c r="A3" s="134" t="s">
        <v>5</v>
      </c>
      <c r="B3" s="134"/>
      <c r="C3" s="134"/>
      <c r="D3" s="134"/>
      <c r="E3" s="134"/>
      <c r="F3" s="134"/>
      <c r="G3" s="134"/>
      <c r="H3" s="134"/>
      <c r="I3" s="134"/>
      <c r="J3" s="134"/>
      <c r="K3" s="134"/>
      <c r="L3" s="134"/>
      <c r="M3" s="134"/>
    </row>
    <row r="4" spans="1:13" ht="16" x14ac:dyDescent="0.4">
      <c r="A4" s="139" t="s">
        <v>3</v>
      </c>
      <c r="B4" s="139"/>
      <c r="C4" s="139"/>
      <c r="D4" s="139"/>
      <c r="E4" s="139"/>
      <c r="F4" s="139"/>
      <c r="G4" s="139"/>
      <c r="H4" s="139"/>
      <c r="I4" s="139"/>
      <c r="J4" s="139"/>
      <c r="K4" s="139"/>
      <c r="L4" s="139"/>
      <c r="M4" s="139"/>
    </row>
    <row r="5" spans="1:13" ht="16" x14ac:dyDescent="0.4">
      <c r="A5" s="10"/>
      <c r="B5" s="10"/>
      <c r="C5" s="10"/>
      <c r="D5" s="10"/>
      <c r="E5" s="10"/>
      <c r="F5" s="10"/>
      <c r="G5" s="10"/>
      <c r="H5" s="10"/>
      <c r="I5" s="10"/>
      <c r="J5" s="10"/>
      <c r="K5" s="10"/>
      <c r="L5" s="10"/>
      <c r="M5" s="10"/>
    </row>
    <row r="6" spans="1:13" ht="29" x14ac:dyDescent="0.35">
      <c r="A6" s="11"/>
      <c r="B6" s="138" t="s">
        <v>4</v>
      </c>
      <c r="C6" s="138"/>
      <c r="D6" s="95" t="str">
        <f>'Features (old)'!C2</f>
        <v>Singlife Whole Life Choice</v>
      </c>
      <c r="E6" s="95" t="str">
        <f>'Features (old)'!D2</f>
        <v>China Life Whole Life Guardian Series 2</v>
      </c>
      <c r="F6" s="95" t="str">
        <f>'Features (old)'!E2</f>
        <v>China Life
Multiplier Guardian</v>
      </c>
      <c r="G6" s="95" t="str">
        <f>'Features (old)'!F2</f>
        <v>China Life Multiplier Guardian Plus</v>
      </c>
      <c r="H6" s="95" t="str">
        <f>'Features (old)'!G2</f>
        <v>China Taiping i-Secure Legacy (II)</v>
      </c>
      <c r="I6" s="95" t="str">
        <f>'Features (old)'!H2</f>
        <v>Etiqa Essential lifetime secure</v>
      </c>
      <c r="J6" s="95" t="str">
        <f>'Features (old)'!I2</f>
        <v>Income Star Secure Pro</v>
      </c>
      <c r="K6" s="95" t="str">
        <f>'Features (old)'!J2</f>
        <v>Manulife LifeReady Plus (II)</v>
      </c>
      <c r="L6" s="11"/>
      <c r="M6" s="11"/>
    </row>
    <row r="7" spans="1:13" x14ac:dyDescent="0.35">
      <c r="A7" s="11"/>
      <c r="B7" s="135" t="str">
        <f>'Features (old)'!B3</f>
        <v>Age Basis</v>
      </c>
      <c r="C7" s="135"/>
      <c r="D7" s="77" t="str">
        <f>'Features (old)'!C3</f>
        <v>ANB</v>
      </c>
      <c r="E7" s="77" t="str">
        <f>'Features (old)'!D3</f>
        <v>ALB</v>
      </c>
      <c r="F7" s="77" t="str">
        <f>'Features (old)'!E3</f>
        <v>ALB</v>
      </c>
      <c r="G7" s="77" t="str">
        <f>'Features (old)'!F3</f>
        <v>ALB</v>
      </c>
      <c r="H7" s="77" t="str">
        <f>'Features (old)'!G3</f>
        <v>ANB</v>
      </c>
      <c r="I7" s="77" t="str">
        <f>'Features (old)'!H3</f>
        <v>ANB</v>
      </c>
      <c r="J7" s="77" t="str">
        <f>'Features (old)'!I3</f>
        <v>ALB</v>
      </c>
      <c r="K7" s="77" t="str">
        <f>'Features (old)'!J3</f>
        <v>ALB</v>
      </c>
      <c r="L7" s="11"/>
      <c r="M7" s="11"/>
    </row>
    <row r="8" spans="1:13" ht="43.4" customHeight="1" x14ac:dyDescent="0.35">
      <c r="A8" s="11"/>
      <c r="B8" s="135" t="str">
        <f>'Features (old)'!B5</f>
        <v>Premium Term</v>
      </c>
      <c r="C8" s="135"/>
      <c r="D8" s="77" t="str">
        <f>'Features (old)'!C5</f>
        <v>10,15,20,25, up to 65</v>
      </c>
      <c r="E8" s="77" t="str">
        <f>'Features (old)'!D5</f>
        <v>5, 10, 15, 20, 25</v>
      </c>
      <c r="F8" s="77" t="str">
        <f>'Features (old)'!E5</f>
        <v>10, 15, 20, 25</v>
      </c>
      <c r="G8" s="77" t="str">
        <f>'Features (old)'!F5</f>
        <v>10, 15, 20, 25</v>
      </c>
      <c r="H8" s="77" t="str">
        <f>'Features (old)'!G5</f>
        <v>5, 10, 15, 20, 25</v>
      </c>
      <c r="I8" s="77" t="str">
        <f>'Features (old)'!H5</f>
        <v>5, 10, 15, 20, 25 and 30</v>
      </c>
      <c r="J8" s="77" t="str">
        <f>'Features (old)'!I5</f>
        <v xml:space="preserve">5,10,15,20,25,30, up to age 64 </v>
      </c>
      <c r="K8" s="77" t="str">
        <f>'Features (old)'!J5</f>
        <v>10,15,20,25, up till age 99</v>
      </c>
      <c r="L8" s="11"/>
      <c r="M8" s="11"/>
    </row>
    <row r="9" spans="1:13" ht="43.5" x14ac:dyDescent="0.35">
      <c r="A9" s="11"/>
      <c r="B9" s="135" t="str">
        <f>'Features (old)'!B9</f>
        <v>Multiplier - options</v>
      </c>
      <c r="C9" s="135"/>
      <c r="D9" s="78" t="str">
        <f>'Features (old)'!C9</f>
        <v>Additonal Cover: 
100%, 200%, 300%, 400%</v>
      </c>
      <c r="E9" s="78" t="str">
        <f>'Features (old)'!D9</f>
        <v>N.A.</v>
      </c>
      <c r="F9" s="78" t="str">
        <f>'Features (old)'!E9</f>
        <v>Mutiplier: 
1x, 2x, 3x ,4x</v>
      </c>
      <c r="G9" s="78" t="str">
        <f>'Features (old)'!F9</f>
        <v>Mutiplier:
1x, 2x, 3x ,4x</v>
      </c>
      <c r="H9" s="78" t="str">
        <f>'Features (old)'!G9</f>
        <v>Guaranteed Benefit:
 2x, 3x, 4x, 5x</v>
      </c>
      <c r="I9" s="78" t="str">
        <f>'Features (old)'!H9</f>
        <v>Multiplier: 
2x, 3x, 4x, 5x</v>
      </c>
      <c r="J9" s="78" t="str">
        <f>'Features (old)'!I9</f>
        <v>MPV: 
100%, 200%, 300%, 400%, 500%</v>
      </c>
      <c r="K9" s="78" t="str">
        <f>'Features (old)'!J9</f>
        <v>LMB: 
1x, 2x, 3x, 4x, 5x</v>
      </c>
      <c r="L9" s="11"/>
      <c r="M9" s="11"/>
    </row>
    <row r="10" spans="1:13" ht="27" customHeight="1" x14ac:dyDescent="0.35">
      <c r="A10" s="11"/>
      <c r="B10" s="135" t="str">
        <f>'Features (old)'!B10</f>
        <v>Multiplier - expiry age</v>
      </c>
      <c r="C10" s="135"/>
      <c r="D10" s="77" t="str">
        <f>'Features (old)'!C10</f>
        <v>65, 70, 75, 80, 85</v>
      </c>
      <c r="E10" s="77" t="str">
        <f>'Features (old)'!D10</f>
        <v>N.A.</v>
      </c>
      <c r="F10" s="77">
        <f>'Features (old)'!E10</f>
        <v>88</v>
      </c>
      <c r="G10" s="77">
        <f>'Features (old)'!F10</f>
        <v>88</v>
      </c>
      <c r="H10" s="77" t="str">
        <f>'Features (old)'!G10</f>
        <v>76, 86</v>
      </c>
      <c r="I10" s="77" t="str">
        <f>'Features (old)'!H10</f>
        <v>66, 71, 76, 81, 86</v>
      </c>
      <c r="J10" s="77" t="str">
        <f>'Features (old)'!I10</f>
        <v>75, 80</v>
      </c>
      <c r="K10" s="77" t="str">
        <f>'Features (old)'!J10</f>
        <v>70, 80</v>
      </c>
      <c r="L10" s="11"/>
      <c r="M10" s="11"/>
    </row>
    <row r="11" spans="1:13" ht="28.4" customHeight="1" x14ac:dyDescent="0.35">
      <c r="A11" s="11"/>
      <c r="B11" s="135" t="str">
        <f>'Features (old)'!B11</f>
        <v>Multiplier - beyond expiry age</v>
      </c>
      <c r="C11" s="135"/>
      <c r="D11" s="79" t="str">
        <f>IF('Features (old)'!C11="N.A.", "", "✔️")</f>
        <v>✔️</v>
      </c>
      <c r="E11" s="79" t="str">
        <f>IF('Features (old)'!D11="N.A.", "", "✔️")</f>
        <v/>
      </c>
      <c r="F11" s="79" t="str">
        <f>IF('Features (old)'!E11="N.A.", "", "✔️")</f>
        <v/>
      </c>
      <c r="G11" s="79" t="str">
        <f>IF('Features (old)'!F11="N.A.", "", "✔️")</f>
        <v/>
      </c>
      <c r="H11" s="79" t="str">
        <f>IF('Features (old)'!G11="N.A.", "", "✔️")</f>
        <v>✔️</v>
      </c>
      <c r="I11" s="79" t="str">
        <f>IF('Features (old)'!H11="N.A.", "", "✔️")</f>
        <v>✔️</v>
      </c>
      <c r="J11" s="79" t="str">
        <f>IF('Features (old)'!I11="N.A.", "", "✔️")</f>
        <v/>
      </c>
      <c r="K11" s="79" t="str">
        <f>IF('Features (old)'!J11="N.A.", "", "✔️")</f>
        <v/>
      </c>
      <c r="L11" s="11"/>
      <c r="M11" s="11"/>
    </row>
    <row r="12" spans="1:13" ht="28.75" customHeight="1" x14ac:dyDescent="0.35">
      <c r="A12" s="11"/>
      <c r="B12" s="135" t="str">
        <f>'Features (old)'!B15</f>
        <v>Guaranteed Extra Protection Option</v>
      </c>
      <c r="C12" s="135"/>
      <c r="D12" s="79" t="str">
        <f>IF('Features (old)'!C15="N.A.", "", "✔️")</f>
        <v>✔️</v>
      </c>
      <c r="E12" s="79" t="str">
        <f>IF('Features (old)'!D15="N.A.", "", "✔️")</f>
        <v/>
      </c>
      <c r="F12" s="79" t="str">
        <f>IF('Features (old)'!E15="N.A.", "", "✔️")</f>
        <v>✔️</v>
      </c>
      <c r="G12" s="79" t="str">
        <f>IF('Features (old)'!F15="N.A.", "", "✔️")</f>
        <v>✔️</v>
      </c>
      <c r="H12" s="79" t="str">
        <f>IF('Features (old)'!G15="N.A.", "", "✔️")</f>
        <v/>
      </c>
      <c r="I12" s="79" t="str">
        <f>IF('Features (old)'!H15="N.A.", "", "✔️")</f>
        <v>✔️</v>
      </c>
      <c r="J12" s="79" t="str">
        <f>IF('Features (old)'!I15="N.A.", "", "✔️")</f>
        <v/>
      </c>
      <c r="K12" s="79" t="str">
        <f>IF('Features (old)'!J15="N.A.", "", "✔️")</f>
        <v>✔️</v>
      </c>
      <c r="L12" s="11"/>
      <c r="M12" s="11"/>
    </row>
    <row r="13" spans="1:13" ht="14.5" customHeight="1" x14ac:dyDescent="0.35">
      <c r="A13" s="11"/>
      <c r="B13" s="135" t="str">
        <f>'Features (old)'!B20</f>
        <v>Income Payout Option</v>
      </c>
      <c r="C13" s="135"/>
      <c r="D13" s="79" t="str">
        <f>IF('Features (old)'!C20="N.A.", "", "✔️")</f>
        <v>✔️</v>
      </c>
      <c r="E13" s="79" t="str">
        <f>IF('Features (old)'!D20="N.A.", "", "✔️")</f>
        <v/>
      </c>
      <c r="F13" s="79" t="str">
        <f>IF('Features (old)'!E20="N.A.", "", "✔️")</f>
        <v>✔️</v>
      </c>
      <c r="G13" s="79" t="str">
        <f>IF('Features (old)'!F20="N.A.", "", "✔️")</f>
        <v>✔️</v>
      </c>
      <c r="H13" s="79" t="str">
        <f>IF('Features (old)'!G20="N.A.", "", "✔️")</f>
        <v/>
      </c>
      <c r="I13" s="79" t="str">
        <f>IF('Features (old)'!H20="N.A.", "", "✔️")</f>
        <v>✔️</v>
      </c>
      <c r="J13" s="79" t="str">
        <f>IF('Features (old)'!I20="N.A.", "", "✔️")</f>
        <v/>
      </c>
      <c r="K13" s="79" t="str">
        <f>IF('Features (old)'!J20="N.A.", "", "✔️")</f>
        <v>✔️</v>
      </c>
      <c r="L13" s="11"/>
      <c r="M13" s="11"/>
    </row>
    <row r="14" spans="1:13" ht="14.5" customHeight="1" x14ac:dyDescent="0.35">
      <c r="A14" s="11"/>
      <c r="B14" s="135" t="str">
        <f>'Features (old)'!B24</f>
        <v>Retrenchment Benefit</v>
      </c>
      <c r="C14" s="135"/>
      <c r="D14" s="79" t="str">
        <f>IF('Features (old)'!C24="N.A.", "", "✔️")</f>
        <v>✔️</v>
      </c>
      <c r="E14" s="79" t="str">
        <f>IF('Features (old)'!D24="N.A.", "", "✔️")</f>
        <v/>
      </c>
      <c r="F14" s="79" t="str">
        <f>IF('Features (old)'!E24="N.A.", "", "✔️")</f>
        <v>✔️</v>
      </c>
      <c r="G14" s="79" t="str">
        <f>IF('Features (old)'!F24="N.A.", "", "✔️")</f>
        <v>✔️</v>
      </c>
      <c r="H14" s="79" t="str">
        <f>IF('Features (old)'!G24="N.A.", "", "✔️")</f>
        <v/>
      </c>
      <c r="I14" s="79" t="str">
        <f>IF('Features (old)'!H24="N.A.", "", "✔️")</f>
        <v>✔️</v>
      </c>
      <c r="J14" s="79" t="str">
        <f>IF('Features (old)'!I24="N.A.", "", "✔️")</f>
        <v>✔️</v>
      </c>
      <c r="K14" s="79" t="str">
        <f>IF('Features (old)'!J24="N.A.", "", "✔️")</f>
        <v>✔️</v>
      </c>
      <c r="L14" s="11"/>
      <c r="M14" s="11"/>
    </row>
    <row r="15" spans="1:13" ht="26.5" customHeight="1" x14ac:dyDescent="0.35">
      <c r="A15" s="12"/>
      <c r="B15" s="135" t="str">
        <f>'Features (old)'!B26</f>
        <v>Life Stage Withdrawal Benefit</v>
      </c>
      <c r="C15" s="135"/>
      <c r="D15" s="79" t="str">
        <f>IF('Features (old)'!C26="N.A.", "", "✔️")</f>
        <v>✔️</v>
      </c>
      <c r="E15" s="79" t="str">
        <f>IF('Features (old)'!D26="N.A.", "", "✔️")</f>
        <v/>
      </c>
      <c r="F15" s="79" t="str">
        <f>IF('Features (old)'!E26="N.A.", "", "✔️")</f>
        <v/>
      </c>
      <c r="G15" s="79" t="str">
        <f>IF('Features (old)'!F26="N.A.", "", "✔️")</f>
        <v/>
      </c>
      <c r="H15" s="79" t="str">
        <f>IF('Features (old)'!G26="N.A.", "", "✔️")</f>
        <v/>
      </c>
      <c r="I15" s="79" t="str">
        <f>IF('Features (old)'!H26="N.A.", "", "✔️")</f>
        <v/>
      </c>
      <c r="J15" s="79" t="str">
        <f>IF('Features (old)'!I26="N.A.", "", "✔️")</f>
        <v/>
      </c>
      <c r="K15" s="79" t="str">
        <f>IF('Features (old)'!J26="N.A.", "", "✔️")</f>
        <v/>
      </c>
      <c r="L15" s="11"/>
      <c r="M15" s="11"/>
    </row>
    <row r="16" spans="1:13" ht="14.5" customHeight="1" x14ac:dyDescent="0.35">
      <c r="B16" s="135" t="str">
        <f>'Features (old)'!B28</f>
        <v>Family Waiver Benefit</v>
      </c>
      <c r="C16" s="135"/>
      <c r="D16" s="79" t="str">
        <f>IF('Features (old)'!C28="N.A.", "", "✔️")</f>
        <v/>
      </c>
      <c r="E16" s="79" t="str">
        <f>IF('Features (old)'!D28="N.A.", "", "✔️")</f>
        <v/>
      </c>
      <c r="F16" s="79" t="str">
        <f>IF('Features (old)'!E28="N.A.", "", "✔️")</f>
        <v/>
      </c>
      <c r="G16" s="79" t="str">
        <f>IF('Features (old)'!F28="N.A.", "", "✔️")</f>
        <v/>
      </c>
      <c r="H16" s="79" t="str">
        <f>IF('Features (old)'!G28="N.A.", "", "✔️")</f>
        <v/>
      </c>
      <c r="I16" s="79" t="str">
        <f>IF('Features (old)'!H28="N.A.", "", "✔️")</f>
        <v/>
      </c>
      <c r="J16" s="79" t="str">
        <f>IF('Features (old)'!I28="N.A.", "", "✔️")</f>
        <v>✔️</v>
      </c>
      <c r="K16" s="79" t="str">
        <f>IF('Features (old)'!J28="N.A.", "", "✔️")</f>
        <v/>
      </c>
    </row>
    <row r="17" spans="2:11" ht="45" customHeight="1" x14ac:dyDescent="0.35">
      <c r="B17" s="135" t="str">
        <f>'Features (old)'!B33</f>
        <v>Basic Coverage</v>
      </c>
      <c r="C17" s="135"/>
      <c r="D17" s="78" t="str">
        <f>'Features (old)'!C33</f>
        <v>1. Death
2. TI</v>
      </c>
      <c r="E17" s="78" t="str">
        <f>'Features (old)'!D33</f>
        <v>1. Death
2. TI
3. TPD</v>
      </c>
      <c r="F17" s="78" t="str">
        <f>'Features (old)'!E33</f>
        <v>1. Death
2. TI
3. TPD</v>
      </c>
      <c r="G17" s="78" t="str">
        <f>'Features (old)'!F33</f>
        <v>1. Death
2. TI
3. TPD</v>
      </c>
      <c r="H17" s="78" t="str">
        <f>'Features (old)'!G33</f>
        <v>1. Death
2. TI
3. TPD</v>
      </c>
      <c r="I17" s="78" t="str">
        <f>'Features (old)'!H33</f>
        <v>1. Death
2. TI
3. TPD</v>
      </c>
      <c r="J17" s="78" t="str">
        <f>'Features (old)'!I33</f>
        <v>1. Death
2. TI
3. TPD</v>
      </c>
      <c r="K17" s="78" t="str">
        <f>'Features (old)'!J33</f>
        <v>1. Death
2. TI
3. TPD</v>
      </c>
    </row>
    <row r="18" spans="2:11" x14ac:dyDescent="0.35">
      <c r="B18" s="137" t="str">
        <f>'Features (old)'!B36</f>
        <v xml:space="preserve">TPD  </v>
      </c>
      <c r="C18" s="137"/>
      <c r="D18" s="80" t="str">
        <f>'Features (old)'!C36</f>
        <v>Optional</v>
      </c>
      <c r="E18" s="78" t="str">
        <f>'Features (old)'!D36</f>
        <v>Embedded</v>
      </c>
      <c r="F18" s="78" t="str">
        <f>'Features (old)'!E36</f>
        <v>Embedded</v>
      </c>
      <c r="G18" s="78" t="str">
        <f>'Features (old)'!F36</f>
        <v>Embedded</v>
      </c>
      <c r="H18" s="78" t="str">
        <f>'Features (old)'!G36</f>
        <v>Embedded</v>
      </c>
      <c r="I18" s="78" t="str">
        <f>'Features (old)'!H36</f>
        <v>Embedded</v>
      </c>
      <c r="J18" s="78" t="str">
        <f>'Features (old)'!I36</f>
        <v>Embedded</v>
      </c>
      <c r="K18" s="78" t="str">
        <f>'Features (old)'!J36</f>
        <v>Embedded</v>
      </c>
    </row>
    <row r="19" spans="2:11" ht="17.5" customHeight="1" x14ac:dyDescent="0.35">
      <c r="B19" s="137" t="str">
        <f>'Features (old)'!B37</f>
        <v>TPD - coverage age</v>
      </c>
      <c r="C19" s="137"/>
      <c r="D19" s="81" t="str">
        <f>'Features (old)'!C37</f>
        <v>Whole of life</v>
      </c>
      <c r="E19" s="77">
        <f>'Features (old)'!D37</f>
        <v>65</v>
      </c>
      <c r="F19" s="77">
        <f>'Features (old)'!E37</f>
        <v>85</v>
      </c>
      <c r="G19" s="77">
        <f>'Features (old)'!F37</f>
        <v>85</v>
      </c>
      <c r="H19" s="81" t="str">
        <f>'Features (old)'!G37</f>
        <v>Whole of life</v>
      </c>
      <c r="I19" s="81" t="str">
        <f>'Features (old)'!H37</f>
        <v>Whole of life</v>
      </c>
      <c r="J19" s="81" t="str">
        <f>'Features (old)'!I37</f>
        <v>Whole of life</v>
      </c>
      <c r="K19" s="77">
        <f>'Features (old)'!J37</f>
        <v>99</v>
      </c>
    </row>
    <row r="20" spans="2:11" ht="27.65" customHeight="1" x14ac:dyDescent="0.35">
      <c r="B20" s="136" t="str">
        <f>'Features (old)'!B42</f>
        <v>Advanced Critical Illness (CI)</v>
      </c>
      <c r="C20" s="136"/>
      <c r="D20" s="78" t="str">
        <f>'Features (old)'!C42</f>
        <v>Optional</v>
      </c>
      <c r="E20" s="78" t="str">
        <f>'Features (old)'!D42</f>
        <v>Optional</v>
      </c>
      <c r="F20" s="78" t="str">
        <f>'Features (old)'!E42</f>
        <v>Embedded</v>
      </c>
      <c r="G20" s="78" t="str">
        <f>'Features (old)'!F42</f>
        <v>Embedded</v>
      </c>
      <c r="H20" s="78" t="str">
        <f>'Features (old)'!G42</f>
        <v>Optional</v>
      </c>
      <c r="I20" s="78" t="str">
        <f>'Features (old)'!H42</f>
        <v>Optional</v>
      </c>
      <c r="J20" s="78" t="str">
        <f>'Features (old)'!I42</f>
        <v>Optional</v>
      </c>
      <c r="K20" s="78" t="str">
        <f>'Features (old)'!J42</f>
        <v>Optional</v>
      </c>
    </row>
    <row r="21" spans="2:11" ht="31.75" customHeight="1" x14ac:dyDescent="0.35">
      <c r="B21" s="136" t="str">
        <f>'Features (old)'!B43</f>
        <v>CI conditions - CI rider</v>
      </c>
      <c r="C21" s="136"/>
      <c r="D21" s="77">
        <f>'Features (old)'!C43</f>
        <v>36</v>
      </c>
      <c r="E21" s="77">
        <f>'Features (old)'!D43</f>
        <v>36</v>
      </c>
      <c r="F21" s="77">
        <f>'Features (old)'!E43</f>
        <v>38</v>
      </c>
      <c r="G21" s="77">
        <f>'Features (old)'!F43</f>
        <v>38</v>
      </c>
      <c r="H21" s="77">
        <f>'Features (old)'!G43</f>
        <v>55</v>
      </c>
      <c r="I21" s="77">
        <f>'Features (old)'!H43</f>
        <v>63</v>
      </c>
      <c r="J21" s="77">
        <f>'Features (old)'!I43</f>
        <v>36</v>
      </c>
      <c r="K21" s="77">
        <f>'Features (old)'!J43</f>
        <v>56</v>
      </c>
    </row>
    <row r="22" spans="2:11" ht="30" customHeight="1" x14ac:dyDescent="0.35">
      <c r="B22" s="137" t="str">
        <f>'Features (old)'!B45</f>
        <v>Early Critical Illness (ECI)</v>
      </c>
      <c r="C22" s="137"/>
      <c r="D22" s="77" t="str">
        <f>'Features (old)'!C45</f>
        <v>Optional</v>
      </c>
      <c r="E22" s="77" t="str">
        <f>'Features (old)'!D45</f>
        <v>N.A.</v>
      </c>
      <c r="F22" s="77" t="str">
        <f>'Features (old)'!E45</f>
        <v>N.A.</v>
      </c>
      <c r="G22" s="77" t="str">
        <f>'Features (old)'!F45</f>
        <v>N.A.</v>
      </c>
      <c r="H22" s="77" t="str">
        <f>'Features (old)'!G45</f>
        <v>Optional</v>
      </c>
      <c r="I22" s="77" t="str">
        <f>'Features (old)'!H45</f>
        <v>Optional</v>
      </c>
      <c r="J22" s="77" t="str">
        <f>'Features (old)'!I45</f>
        <v>Optional</v>
      </c>
      <c r="K22" s="77" t="str">
        <f>'Features (old)'!J45</f>
        <v>Optional</v>
      </c>
    </row>
    <row r="23" spans="2:11" ht="26.5" customHeight="1" x14ac:dyDescent="0.35">
      <c r="B23" s="137" t="str">
        <f>'Features (old)'!B46</f>
        <v>ECI and Intermediate conditions - ECI rider</v>
      </c>
      <c r="C23" s="137"/>
      <c r="D23" s="77">
        <f>'Features (old)'!C46</f>
        <v>72</v>
      </c>
      <c r="E23" s="77" t="str">
        <f>'Features (old)'!D46</f>
        <v>N.A.</v>
      </c>
      <c r="F23" s="77" t="str">
        <f>'Features (old)'!E46</f>
        <v>N.A.</v>
      </c>
      <c r="G23" s="77" t="str">
        <f>'Features (old)'!F46</f>
        <v>N.A.</v>
      </c>
      <c r="H23" s="77">
        <f>'Features (old)'!G46</f>
        <v>82</v>
      </c>
      <c r="I23" s="77">
        <f>'Features (old)'!H46</f>
        <v>76</v>
      </c>
      <c r="J23" s="77">
        <f>'Features (old)'!I46</f>
        <v>66</v>
      </c>
      <c r="K23" s="77">
        <f>'Features (old)'!J46</f>
        <v>70</v>
      </c>
    </row>
    <row r="24" spans="2:11" ht="28.75" customHeight="1" x14ac:dyDescent="0.35">
      <c r="B24" s="137" t="str">
        <f>'Features (old)'!B47</f>
        <v>CI conditions - ECI rider</v>
      </c>
      <c r="C24" s="137"/>
      <c r="D24" s="77">
        <f>'Features (old)'!C47</f>
        <v>59</v>
      </c>
      <c r="E24" s="77" t="str">
        <f>'Features (old)'!D47</f>
        <v>N.A.</v>
      </c>
      <c r="F24" s="77" t="str">
        <f>'Features (old)'!E47</f>
        <v>N.A.</v>
      </c>
      <c r="G24" s="77" t="str">
        <f>'Features (old)'!F47</f>
        <v>N.A.</v>
      </c>
      <c r="H24" s="77">
        <f>'Features (old)'!G47</f>
        <v>55</v>
      </c>
      <c r="I24" s="77">
        <f>'Features (old)'!H47</f>
        <v>63</v>
      </c>
      <c r="J24" s="77">
        <f>'Features (old)'!I47</f>
        <v>66</v>
      </c>
      <c r="K24" s="77">
        <f>'Features (old)'!J47</f>
        <v>20</v>
      </c>
    </row>
    <row r="25" spans="2:11" ht="28.75" customHeight="1" x14ac:dyDescent="0.35">
      <c r="B25" s="137" t="str">
        <f>'Features (old)'!B48</f>
        <v>Total ECI and CI conditions - ECI rider</v>
      </c>
      <c r="C25" s="137"/>
      <c r="D25" s="77">
        <f>'Features (old)'!C48</f>
        <v>131</v>
      </c>
      <c r="E25" s="77" t="str">
        <f>'Features (old)'!D48</f>
        <v>N.A.</v>
      </c>
      <c r="F25" s="77" t="str">
        <f>'Features (old)'!E48</f>
        <v>N.A.</v>
      </c>
      <c r="G25" s="77" t="str">
        <f>'Features (old)'!F48</f>
        <v>N.A.</v>
      </c>
      <c r="H25" s="77">
        <f>'Features (old)'!G48</f>
        <v>137</v>
      </c>
      <c r="I25" s="77">
        <f>'Features (old)'!H48</f>
        <v>139</v>
      </c>
      <c r="J25" s="77">
        <f>'Features (old)'!I48</f>
        <v>132</v>
      </c>
      <c r="K25" s="77">
        <f>'Features (old)'!J48</f>
        <v>90</v>
      </c>
    </row>
    <row r="26" spans="2:11" ht="118.4" customHeight="1" x14ac:dyDescent="0.35">
      <c r="B26" s="135" t="str">
        <f>'Features (old)'!B30</f>
        <v>Par Fund Returns</v>
      </c>
      <c r="C26" s="135"/>
      <c r="D26" s="82" t="str">
        <f>'Features (old)'!C30</f>
        <v>3-year average (2021 to 2023): -2.51%
5-year average (2019 to 2023): 2.52%
10-year average (2014 to 2023): 3.13%</v>
      </c>
      <c r="E26" s="82" t="str">
        <f>'Features (old)'!D30</f>
        <v>3-year average (2021 to 2023): -0.08%
5-year average (2019 to 2023): 4.99%
10-year average (2014 to 2023): NA</v>
      </c>
      <c r="F26" s="82" t="str">
        <f>'Features (old)'!E30</f>
        <v>3-year average (2021 to 2023): -0.08%
5-year average (2019 to 2023): 4.99%
10-year average (2014 to 2023): NA</v>
      </c>
      <c r="G26" s="82" t="str">
        <f>'Features (old)'!F30</f>
        <v>3-year average (2021 to 2023): -0.08%
5-year average (2019 to 2023): 4.99%
10-year average (2014 to 2023): NA</v>
      </c>
      <c r="H26" s="82" t="str">
        <f>'Features (old)'!G30</f>
        <v>3-year average (2021 to 2023): -3.40%
5-year average (2019 to 2023): NA
10-year average (2014 to 2023): NA</v>
      </c>
      <c r="I26" s="82" t="str">
        <f>'Features (old)'!H30</f>
        <v>3-year average (2021 to 2023): -2.48%
5-year average (2019 to 2023): 1.26%
10-year average (2014 to 2023):NA</v>
      </c>
      <c r="J26" s="82" t="str">
        <f>'Features (old)'!I30</f>
        <v>3-year average (2021 to 2023): -1.48%
5-year average (2019 to 2023): 2.72%
10-year average (2014 to 2023): 3.50%</v>
      </c>
      <c r="K26" s="82" t="str">
        <f>'Features (old)'!J30</f>
        <v>2022: -4.92%
2023: 10.06%
3-year average (2021 to 2023): NA
5-year average (2019 to 2023): NA
10-year average (2014 to 2023): NA</v>
      </c>
    </row>
  </sheetData>
  <mergeCells count="25">
    <mergeCell ref="B26:C26"/>
    <mergeCell ref="B22:C22"/>
    <mergeCell ref="B23:C23"/>
    <mergeCell ref="B24:C24"/>
    <mergeCell ref="B25:C25"/>
    <mergeCell ref="B17:C17"/>
    <mergeCell ref="B18:C18"/>
    <mergeCell ref="B19:C19"/>
    <mergeCell ref="B20:C20"/>
    <mergeCell ref="B21:C21"/>
    <mergeCell ref="B13:C13"/>
    <mergeCell ref="B14:C14"/>
    <mergeCell ref="B7:C7"/>
    <mergeCell ref="B15:C15"/>
    <mergeCell ref="B16:C16"/>
    <mergeCell ref="B8:C8"/>
    <mergeCell ref="B9:C9"/>
    <mergeCell ref="B10:C10"/>
    <mergeCell ref="B11:C11"/>
    <mergeCell ref="B12:C12"/>
    <mergeCell ref="A4:M4"/>
    <mergeCell ref="A1:M1"/>
    <mergeCell ref="A2:M2"/>
    <mergeCell ref="A3:M3"/>
    <mergeCell ref="B6:C6"/>
  </mergeCells>
  <conditionalFormatting sqref="D21:K21">
    <cfRule type="top10" dxfId="425" priority="1" rank="1"/>
  </conditionalFormatting>
  <conditionalFormatting sqref="D22:K22">
    <cfRule type="top10" dxfId="424" priority="2" rank="1"/>
  </conditionalFormatting>
  <conditionalFormatting sqref="D23:K23">
    <cfRule type="top10" dxfId="423" priority="3" rank="1"/>
  </conditionalFormatting>
  <conditionalFormatting sqref="D24:K24">
    <cfRule type="top10" dxfId="422" priority="4" rank="1"/>
  </conditionalFormatting>
  <conditionalFormatting sqref="D25:K26">
    <cfRule type="top10" dxfId="421" priority="10" rank="1"/>
  </conditionalFormatting>
  <pageMargins left="0.7" right="0.7" top="0.75" bottom="0.75" header="0.3" footer="0.3"/>
  <pageSetup orientation="portrait" r:id="rId1"/>
  <headerFooter>
    <oddFooter>&amp;L_x000D_&amp;1#&amp;"Calibri"&amp;8&amp;K0000FF Internal</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8BCC-F25E-4BD0-88AA-442C8DAF24D4}">
  <sheetPr>
    <tabColor theme="9" tint="0.79998168889431442"/>
    <pageSetUpPr fitToPage="1"/>
  </sheetPr>
  <dimension ref="A1:H33"/>
  <sheetViews>
    <sheetView showGridLines="0" zoomScale="75" zoomScaleNormal="75" zoomScaleSheetLayoutView="90" workbookViewId="0">
      <pane xSplit="1" ySplit="3" topLeftCell="B4" activePane="bottomRight" state="frozen"/>
      <selection pane="topRight" activeCell="B1" sqref="B1"/>
      <selection pane="bottomLeft" activeCell="A4" sqref="A4"/>
      <selection pane="bottomRight" activeCell="B16" sqref="B16:E22"/>
    </sheetView>
  </sheetViews>
  <sheetFormatPr defaultRowHeight="14.5" x14ac:dyDescent="0.35"/>
  <cols>
    <col min="1" max="1" width="26.81640625" customWidth="1"/>
    <col min="2" max="5" width="30.81640625" customWidth="1"/>
    <col min="8" max="8" width="0" hidden="1" customWidth="1"/>
  </cols>
  <sheetData>
    <row r="1" spans="1:8" ht="14.5" customHeight="1" x14ac:dyDescent="0.35">
      <c r="A1" s="152" t="s">
        <v>6</v>
      </c>
      <c r="B1" s="149" t="s">
        <v>7</v>
      </c>
      <c r="C1" s="150"/>
      <c r="D1" s="150"/>
      <c r="E1" s="151"/>
    </row>
    <row r="2" spans="1:8" ht="57.65" customHeight="1" x14ac:dyDescent="0.35">
      <c r="A2" s="153"/>
      <c r="B2" s="143" t="s">
        <v>8</v>
      </c>
      <c r="C2" s="144"/>
      <c r="D2" s="143" t="s">
        <v>9</v>
      </c>
      <c r="E2" s="144"/>
    </row>
    <row r="3" spans="1:8" x14ac:dyDescent="0.35">
      <c r="A3" s="154"/>
      <c r="B3" s="53" t="s">
        <v>10</v>
      </c>
      <c r="C3" s="52" t="s">
        <v>11</v>
      </c>
      <c r="D3" s="53" t="s">
        <v>10</v>
      </c>
      <c r="E3" s="52" t="s">
        <v>11</v>
      </c>
    </row>
    <row r="4" spans="1:8" x14ac:dyDescent="0.35">
      <c r="A4" s="129" t="s">
        <v>34</v>
      </c>
      <c r="B4" s="56" t="s">
        <v>35</v>
      </c>
      <c r="C4" s="56" t="s">
        <v>36</v>
      </c>
      <c r="D4" s="56" t="s">
        <v>37</v>
      </c>
      <c r="E4" s="56" t="s">
        <v>38</v>
      </c>
    </row>
    <row r="5" spans="1:8" x14ac:dyDescent="0.35">
      <c r="A5" s="74"/>
      <c r="B5" s="155" t="s">
        <v>12</v>
      </c>
      <c r="C5" s="156"/>
      <c r="D5" s="156"/>
      <c r="E5" s="157"/>
    </row>
    <row r="6" spans="1:8" ht="29" x14ac:dyDescent="0.35">
      <c r="A6" s="75" t="s">
        <v>13</v>
      </c>
      <c r="B6" s="54" t="str">
        <f>'1MNS (Exp. Age &lt;= 75)'!L12</f>
        <v>Etiqa 
Essential Lifetime secure</v>
      </c>
      <c r="C6" s="54" t="str">
        <f>'1FNS (Exp. Age &lt;= 75)'!K12</f>
        <v>China Taiping 
I-Secure Legacy (II)</v>
      </c>
      <c r="D6" s="54" t="str">
        <f>'1MNS (Exp. Age &gt;= 80)'!M12</f>
        <v>Etiqa 
Essential Lifetime secure</v>
      </c>
      <c r="E6" s="54" t="str">
        <f>'1FNS (Exp. Age &gt;= 80)'!M12</f>
        <v>China Taiping 
I-Secure Legacy (II)</v>
      </c>
      <c r="H6" t="str">
        <f t="array" ref="H6">INDEX(B6:E6, MODE(MATCH(B6:E6, B6:E6, 0)))</f>
        <v>Etiqa 
Essential Lifetime secure</v>
      </c>
    </row>
    <row r="7" spans="1:8" x14ac:dyDescent="0.35">
      <c r="A7" s="75" t="s">
        <v>14</v>
      </c>
      <c r="B7" s="54" t="str">
        <f>'1MNS (Exp. Age &lt;= 75)'!L13</f>
        <v>Etiqa 
Essential Lifetime secure</v>
      </c>
      <c r="C7" s="54" t="str">
        <f>'1FNS (Exp. Age &lt;= 75)'!K13</f>
        <v>Etiqa 
Essential Lifetime secure</v>
      </c>
      <c r="D7" s="54" t="str">
        <f>'1MNS (Exp. Age &gt;= 80)'!M13</f>
        <v>Etiqa 
Essential Lifetime secure</v>
      </c>
      <c r="E7" s="54" t="str">
        <f>'1FNS (Exp. Age &gt;= 80)'!M13</f>
        <v>Etiqa 
Essential Lifetime secure</v>
      </c>
      <c r="H7" t="str">
        <f t="array" ref="H7">INDEX(B7:E7, MODE(MATCH(B7:E7, B7:E7, 0)))</f>
        <v>Etiqa 
Essential Lifetime secure</v>
      </c>
    </row>
    <row r="8" spans="1:8" x14ac:dyDescent="0.35">
      <c r="A8" s="75" t="s">
        <v>15</v>
      </c>
      <c r="B8" s="54" t="str">
        <f>'1MNS (Exp. Age &lt;= 75)'!L14</f>
        <v>China Taiping 
I-Secure Legacy (II)</v>
      </c>
      <c r="C8" s="54" t="str">
        <f>'1FNS (Exp. Age &lt;= 75)'!K14</f>
        <v>China Taiping 
I-Secure Legacy (II)</v>
      </c>
      <c r="D8" s="54" t="str">
        <f>'1MNS (Exp. Age &gt;= 80)'!M14</f>
        <v>China Taiping 
I-Secure Legacy (II)</v>
      </c>
      <c r="E8" s="54" t="str">
        <f>'1FNS (Exp. Age &gt;= 80)'!M14</f>
        <v>Etiqa 
Essential Lifetime secure</v>
      </c>
      <c r="H8" t="str">
        <f t="array" ref="H8">INDEX(B8:E8, MODE(MATCH(B8:E8, B8:E8, 0)))</f>
        <v>China Taiping 
I-Secure Legacy (II)</v>
      </c>
    </row>
    <row r="9" spans="1:8" x14ac:dyDescent="0.35">
      <c r="A9" s="75" t="s">
        <v>16</v>
      </c>
      <c r="B9" s="54" t="str">
        <f>'1MNS (Exp. Age &lt;= 75)'!L15</f>
        <v>China Taiping 
I-Secure Legacy (II)</v>
      </c>
      <c r="C9" s="54" t="str">
        <f>'1FNS (Exp. Age &lt;= 75)'!K15</f>
        <v>China Taiping 
I-Secure Legacy (II)</v>
      </c>
      <c r="D9" s="54" t="str">
        <f>'1MNS (Exp. Age &gt;= 80)'!M15</f>
        <v>China Taiping 
I-Secure Legacy (II)</v>
      </c>
      <c r="E9" s="54" t="str">
        <f>'1FNS (Exp. Age &gt;= 80)'!M15</f>
        <v>China Taiping 
I-Secure Legacy (II)</v>
      </c>
      <c r="H9" t="str">
        <f t="array" ref="H9">INDEX(B9:E9, MODE(MATCH(B9:E9, B9:E9, 0)))</f>
        <v>China Taiping 
I-Secure Legacy (II)</v>
      </c>
    </row>
    <row r="10" spans="1:8" ht="29" x14ac:dyDescent="0.35">
      <c r="A10" s="75" t="s">
        <v>17</v>
      </c>
      <c r="B10" s="54" t="str">
        <f>'1MNS (Exp. Age &lt;= 75)'!L16</f>
        <v>Etiqa 
Essential Lifetime secure</v>
      </c>
      <c r="C10" s="54" t="str">
        <f>'1FNS (Exp. Age &lt;= 75)'!K16</f>
        <v>China Taiping 
I-Secure Legacy (II)</v>
      </c>
      <c r="D10" s="54" t="str">
        <f>'1MNS (Exp. Age &gt;= 80)'!M16</f>
        <v>Etiqa 
Essential Lifetime secure</v>
      </c>
      <c r="E10" s="54" t="str">
        <f>'1FNS (Exp. Age &gt;= 80)'!M16</f>
        <v>China Taiping 
I-Secure Legacy (II)</v>
      </c>
      <c r="H10" t="str">
        <f t="array" ref="H10">INDEX(B10:E10, MODE(MATCH(B10:E10, B10:E10, 0)))</f>
        <v>Etiqa 
Essential Lifetime secure</v>
      </c>
    </row>
    <row r="11" spans="1:8" ht="14.5" hidden="1" customHeight="1" x14ac:dyDescent="0.35">
      <c r="A11" s="51"/>
      <c r="B11" s="145" t="s">
        <v>18</v>
      </c>
      <c r="C11" s="146"/>
      <c r="D11" s="146"/>
      <c r="E11" s="147"/>
    </row>
    <row r="12" spans="1:8" hidden="1" x14ac:dyDescent="0.35">
      <c r="A12" s="49" t="s">
        <v>19</v>
      </c>
      <c r="B12" s="33" t="str">
        <f>'1MNS (Exp. Age &lt;= 75) (old)'!M21</f>
        <v>Etiqa 
Essential Lifetime secure</v>
      </c>
      <c r="C12" s="33" t="str">
        <f>'1FNS (Exp. Age &lt;= 75)'!K21</f>
        <v>Etiqa 
Essential Lifetime secure</v>
      </c>
      <c r="D12" s="33" t="str">
        <f>'1MNS (Exp. Age &gt;= 80)'!M21</f>
        <v>Etiqa 
Essential Lifetime secure</v>
      </c>
      <c r="E12" s="33" t="str">
        <f>'1FNS (Exp. Age &gt;= 80)'!M21</f>
        <v>Etiqa 
Essential Lifetime secure</v>
      </c>
    </row>
    <row r="13" spans="1:8" hidden="1" x14ac:dyDescent="0.35">
      <c r="A13" s="49" t="s">
        <v>20</v>
      </c>
      <c r="B13" s="33" t="str">
        <f>'1MNS (Exp. Age &lt;= 75) (old)'!M22</f>
        <v>China Taiping 
I-Secure Legacy (II)</v>
      </c>
      <c r="C13" s="33" t="str">
        <f>'1FNS (Exp. Age &lt;= 75)'!K22</f>
        <v>China Taiping 
I-Secure Legacy (II)</v>
      </c>
      <c r="D13" s="33" t="str">
        <f>'1MNS (Exp. Age &gt;= 80)'!M22</f>
        <v>China Taiping 
I-Secure Legacy (II)</v>
      </c>
      <c r="E13" s="33" t="str">
        <f>'1FNS (Exp. Age &gt;= 80)'!M22</f>
        <v>Etiqa 
Essential Lifetime secure</v>
      </c>
    </row>
    <row r="14" spans="1:8" hidden="1" x14ac:dyDescent="0.35">
      <c r="A14" s="49" t="s">
        <v>21</v>
      </c>
      <c r="B14" s="33" t="str">
        <f>'1MNS (Exp. Age &lt;= 75) (old)'!M23</f>
        <v>China Taiping 
I-Secure Legacy (II)</v>
      </c>
      <c r="C14" s="33" t="str">
        <f>'1FNS (Exp. Age &lt;= 75)'!K23</f>
        <v>China Taiping 
I-Secure Legacy (II)</v>
      </c>
      <c r="D14" s="33" t="str">
        <f>'1MNS (Exp. Age &gt;= 80)'!M23</f>
        <v>China Taiping 
I-Secure Legacy (II)</v>
      </c>
      <c r="E14" s="33" t="str">
        <f>'1FNS (Exp. Age &gt;= 80)'!M23</f>
        <v>China Taiping 
I-Secure Legacy (II)</v>
      </c>
    </row>
    <row r="15" spans="1:8" ht="14.5" customHeight="1" x14ac:dyDescent="0.35">
      <c r="A15" s="72"/>
      <c r="B15" s="148" t="s">
        <v>22</v>
      </c>
      <c r="C15" s="148"/>
      <c r="D15" s="148"/>
      <c r="E15" s="148"/>
    </row>
    <row r="16" spans="1:8" x14ac:dyDescent="0.35">
      <c r="A16" s="73"/>
      <c r="B16" s="140" t="s">
        <v>23</v>
      </c>
      <c r="C16" s="141"/>
      <c r="D16" s="141"/>
      <c r="E16" s="142"/>
    </row>
    <row r="17" spans="1:8" ht="29" x14ac:dyDescent="0.35">
      <c r="A17" s="71" t="s">
        <v>24</v>
      </c>
      <c r="B17" s="54" t="str">
        <f>'1MNS (Exp. Age &lt;= 75)'!L29</f>
        <v>Etiqa 
Essential Lifetime secure</v>
      </c>
      <c r="C17" s="54" t="str">
        <f>'1FNS (Exp. Age &lt;= 75)'!K29</f>
        <v>Etiqa 
Essential Lifetime secure</v>
      </c>
      <c r="D17" s="54" t="str">
        <f>'1MNS (Exp. Age &gt;= 80)'!M29</f>
        <v>Etiqa 
Essential Lifetime secure</v>
      </c>
      <c r="E17" s="54" t="str">
        <f>'1FNS (Exp. Age &gt;= 80)'!M29</f>
        <v>Etiqa 
Essential Lifetime secure</v>
      </c>
      <c r="H17" t="str">
        <f t="array" ref="H17">INDEX(B17:E17, MODE(MATCH(B17:E17, B17:E17, 0)))</f>
        <v>Etiqa 
Essential Lifetime secure</v>
      </c>
    </row>
    <row r="18" spans="1:8" ht="29" x14ac:dyDescent="0.35">
      <c r="A18" s="76" t="s">
        <v>25</v>
      </c>
      <c r="B18" s="54" t="str">
        <f>'1MNS (Exp. Age &lt;= 75)'!L30</f>
        <v>Singlife 
Whole Life Choice</v>
      </c>
      <c r="C18" s="54" t="str">
        <f>'1FNS (Exp. Age &lt;= 75)'!K30</f>
        <v>Singlife 
Whole Life Choice</v>
      </c>
      <c r="D18" s="54" t="str">
        <f>'1MNS (Exp. Age &gt;= 80)'!M30</f>
        <v>Singlife 
Whole Life Choice</v>
      </c>
      <c r="E18" s="54" t="str">
        <f>'1FNS (Exp. Age &gt;= 80)'!M30</f>
        <v>Singlife 
Whole Life Choice</v>
      </c>
      <c r="H18" t="str">
        <f t="array" ref="H18">INDEX(B18:E18, MODE(MATCH(B18:E18, B18:E18, 0)))</f>
        <v>Singlife 
Whole Life Choice</v>
      </c>
    </row>
    <row r="19" spans="1:8" ht="29" x14ac:dyDescent="0.35">
      <c r="A19" s="71" t="s">
        <v>26</v>
      </c>
      <c r="B19" s="54" t="str">
        <f>'1MNS (Exp. Age &lt;= 75)'!L31</f>
        <v>Singlife 
Whole Life Choice</v>
      </c>
      <c r="C19" s="54" t="str">
        <f>'1FNS (Exp. Age &lt;= 75)'!K31</f>
        <v>Singlife 
Whole Life Choice</v>
      </c>
      <c r="D19" s="54" t="str">
        <f>'1MNS (Exp. Age &gt;= 80)'!M31</f>
        <v>Singlife 
Whole Life Choice</v>
      </c>
      <c r="E19" s="54" t="str">
        <f>'1FNS (Exp. Age &gt;= 80)'!M31</f>
        <v>Singlife 
Whole Life Choice</v>
      </c>
      <c r="H19" t="str">
        <f t="array" ref="H19">INDEX(B19:E19, MODE(MATCH(B19:E19, B19:E19, 0)))</f>
        <v>Singlife 
Whole Life Choice</v>
      </c>
    </row>
    <row r="20" spans="1:8" ht="29" x14ac:dyDescent="0.35">
      <c r="A20" s="76" t="s">
        <v>27</v>
      </c>
      <c r="B20" s="54" t="str">
        <f>'1MNS (Exp. Age &lt;= 75)'!L32</f>
        <v>Etiqa 
Essential Lifetime secure</v>
      </c>
      <c r="C20" s="54" t="str">
        <f>'1FNS (Exp. Age &lt;= 75)'!K32</f>
        <v>Etiqa 
Essential Lifetime secure</v>
      </c>
      <c r="D20" s="54" t="str">
        <f>'1MNS (Exp. Age &gt;= 80)'!M32</f>
        <v>Etiqa 
Essential Lifetime secure</v>
      </c>
      <c r="E20" s="54" t="str">
        <f>'1FNS (Exp. Age &gt;= 80)'!M32</f>
        <v>Etiqa 
Essential Lifetime secure</v>
      </c>
      <c r="H20" t="str">
        <f t="array" ref="H20">INDEX(B20:E20, MODE(MATCH(B20:E20, B20:E20, 0)))</f>
        <v>Etiqa 
Essential Lifetime secure</v>
      </c>
    </row>
    <row r="21" spans="1:8" x14ac:dyDescent="0.35">
      <c r="A21" s="72"/>
      <c r="B21" s="148" t="s">
        <v>28</v>
      </c>
      <c r="C21" s="148"/>
      <c r="D21" s="148" t="s">
        <v>29</v>
      </c>
      <c r="E21" s="148"/>
    </row>
    <row r="22" spans="1:8" ht="14.5" customHeight="1" x14ac:dyDescent="0.35">
      <c r="A22" s="73"/>
      <c r="B22" s="140" t="s">
        <v>30</v>
      </c>
      <c r="C22" s="141"/>
      <c r="D22" s="141"/>
      <c r="E22" s="142"/>
    </row>
    <row r="23" spans="1:8" ht="28.75" customHeight="1" x14ac:dyDescent="0.35">
      <c r="A23" s="71" t="s">
        <v>24</v>
      </c>
      <c r="B23" s="54" t="str">
        <f>'1MNS (Exp. Age &lt;= 75)'!L38</f>
        <v>Etiqa 
Essential Lifetime secure</v>
      </c>
      <c r="C23" s="54" t="str">
        <f>'1FNS (Exp. Age &lt;= 75)'!K38</f>
        <v>Etiqa 
Essential Lifetime secure</v>
      </c>
      <c r="D23" s="54" t="str">
        <f>'1MNS (Exp. Age &gt;= 80)'!M38</f>
        <v>China Taiping 
I-Secure Legacy (II)</v>
      </c>
      <c r="E23" s="54" t="str">
        <f>'1FNS (Exp. Age &gt;= 80)'!M38</f>
        <v>China Taiping 
I-Secure Legacy (II)</v>
      </c>
      <c r="H23" t="str">
        <f t="array" ref="H23">INDEX(B23:E23, MODE(MATCH(B23:E23, B23:E23, 0)))</f>
        <v>Etiqa 
Essential Lifetime secure</v>
      </c>
    </row>
    <row r="24" spans="1:8" ht="29" x14ac:dyDescent="0.35">
      <c r="A24" s="76" t="s">
        <v>25</v>
      </c>
      <c r="B24" s="54" t="str">
        <f>'1MNS (Exp. Age &lt;= 75)'!L39</f>
        <v>Etiqa 
Essential Lifetime secure</v>
      </c>
      <c r="C24" s="54" t="str">
        <f>'1FNS (Exp. Age &lt;= 75)'!K39</f>
        <v>Etiqa 
Essential Lifetime secure</v>
      </c>
      <c r="D24" s="54" t="str">
        <f>'1MNS (Exp. Age &gt;= 80)'!M39</f>
        <v>Etiqa 
Essential Lifetime secure</v>
      </c>
      <c r="E24" s="54" t="str">
        <f>'1FNS (Exp. Age &gt;= 80)'!M39</f>
        <v>Etiqa 
Essential Lifetime secure</v>
      </c>
      <c r="H24" t="str">
        <f t="array" ref="H24">INDEX(B24:E24, MODE(MATCH(B24:E24, B24:E24, 0)))</f>
        <v>Etiqa 
Essential Lifetime secure</v>
      </c>
    </row>
    <row r="25" spans="1:8" ht="29" x14ac:dyDescent="0.35">
      <c r="A25" s="71" t="s">
        <v>26</v>
      </c>
      <c r="B25" s="54" t="str">
        <f>'1MNS (Exp. Age &lt;= 75)'!L40</f>
        <v>Singlife 
Whole Life Choice</v>
      </c>
      <c r="C25" s="54" t="str">
        <f>'1FNS (Exp. Age &lt;= 75)'!K40</f>
        <v>Singlife 
Whole Life Choice</v>
      </c>
      <c r="D25" s="54" t="str">
        <f>'1MNS (Exp. Age &gt;= 80)'!M40</f>
        <v>Singlife 
Whole Life Choice</v>
      </c>
      <c r="E25" s="54" t="str">
        <f>'1FNS (Exp. Age &gt;= 80)'!M40</f>
        <v>Singlife 
Whole Life Choice</v>
      </c>
      <c r="H25" t="str">
        <f t="array" ref="H25">INDEX(B25:E25, MODE(MATCH(B25:E25, B25:E25, 0)))</f>
        <v>Singlife 
Whole Life Choice</v>
      </c>
    </row>
    <row r="26" spans="1:8" ht="29" x14ac:dyDescent="0.35">
      <c r="A26" s="76" t="s">
        <v>27</v>
      </c>
      <c r="B26" s="54" t="str">
        <f>'1MNS (Exp. Age &lt;= 75)'!L41</f>
        <v>Etiqa 
Essential Lifetime secure</v>
      </c>
      <c r="C26" s="54" t="str">
        <f>'1FNS (Exp. Age &lt;= 75)'!K41</f>
        <v>Etiqa 
Essential Lifetime secure</v>
      </c>
      <c r="D26" s="54" t="str">
        <f>'1MNS (Exp. Age &gt;= 80)'!M41</f>
        <v>Income Complete Life Secure</v>
      </c>
      <c r="E26" s="54" t="str">
        <f>'1FNS (Exp. Age &gt;= 80)'!M41</f>
        <v>Etiqa 
Essential Lifetime secure</v>
      </c>
      <c r="H26" t="str">
        <f t="array" ref="H26">INDEX(B26:E26, MODE(MATCH(B26:E26, B26:E26, 0)))</f>
        <v>Etiqa 
Essential Lifetime secure</v>
      </c>
    </row>
    <row r="27" spans="1:8" x14ac:dyDescent="0.35">
      <c r="A27" s="72"/>
      <c r="B27" s="148" t="s">
        <v>31</v>
      </c>
      <c r="C27" s="148"/>
      <c r="D27" s="148"/>
      <c r="E27" s="148"/>
    </row>
    <row r="28" spans="1:8" ht="14.5" customHeight="1" x14ac:dyDescent="0.35">
      <c r="A28" s="73"/>
      <c r="B28" s="140" t="s">
        <v>32</v>
      </c>
      <c r="C28" s="141"/>
      <c r="D28" s="141"/>
      <c r="E28" s="142"/>
    </row>
    <row r="29" spans="1:8" ht="29" x14ac:dyDescent="0.35">
      <c r="A29" s="71" t="s">
        <v>24</v>
      </c>
      <c r="B29" s="54" t="str">
        <f>'1MNS (Exp. Age &lt;= 75)'!L47</f>
        <v>Etiqa 
Essential Lifetime secure</v>
      </c>
      <c r="C29" s="54" t="str">
        <f>'1FNS (Exp. Age &lt;= 75)'!K47</f>
        <v>Etiqa 
Essential Lifetime secure</v>
      </c>
      <c r="D29" s="54" t="str">
        <f>'1MNS (Exp. Age &gt;= 80)'!M47</f>
        <v>Etiqa 
Essential Lifetime secure</v>
      </c>
      <c r="E29" s="54" t="str">
        <f>'1FNS (Exp. Age &gt;= 80)'!M47</f>
        <v>Etiqa 
Essential Lifetime secure</v>
      </c>
      <c r="H29" t="str">
        <f t="array" ref="H29">INDEX(B29:E29, MODE(MATCH(B29:E29, B29:E29, 0)))</f>
        <v>Etiqa 
Essential Lifetime secure</v>
      </c>
    </row>
    <row r="30" spans="1:8" ht="29" x14ac:dyDescent="0.35">
      <c r="A30" s="76" t="s">
        <v>25</v>
      </c>
      <c r="B30" s="54" t="str">
        <f>'1MNS (Exp. Age &lt;= 75)'!L48</f>
        <v>Etiqa 
Essential Lifetime secure</v>
      </c>
      <c r="C30" s="54" t="str">
        <f>'1FNS (Exp. Age &lt;= 75)'!K48</f>
        <v>Etiqa 
Essential Lifetime secure</v>
      </c>
      <c r="D30" s="54" t="str">
        <f>'1MNS (Exp. Age &gt;= 80)'!M48</f>
        <v>Etiqa 
Essential Lifetime secure</v>
      </c>
      <c r="E30" s="54" t="str">
        <f>'1FNS (Exp. Age &gt;= 80)'!M48</f>
        <v>Etiqa 
Essential Lifetime secure</v>
      </c>
      <c r="H30" t="str">
        <f t="array" ref="H30">INDEX(B30:E30, MODE(MATCH(B30:E30, B30:E30, 0)))</f>
        <v>Etiqa 
Essential Lifetime secure</v>
      </c>
    </row>
    <row r="31" spans="1:8" ht="29" x14ac:dyDescent="0.35">
      <c r="A31" s="71" t="s">
        <v>26</v>
      </c>
      <c r="B31" s="54" t="str">
        <f>'1MNS (Exp. Age &lt;= 75)'!L49</f>
        <v>Singlife 
Whole Life Choice</v>
      </c>
      <c r="C31" s="54" t="str">
        <f>'1FNS (Exp. Age &lt;= 75)'!K49</f>
        <v>Singlife 
Whole Life Choice</v>
      </c>
      <c r="D31" s="54" t="str">
        <f>'1MNS (Exp. Age &gt;= 80)'!M49</f>
        <v>Singlife 
Whole Life Choice</v>
      </c>
      <c r="E31" s="54" t="str">
        <f>'1FNS (Exp. Age &gt;= 80)'!M49</f>
        <v>Singlife 
Whole Life Choice</v>
      </c>
      <c r="H31" t="str">
        <f t="array" ref="H31">INDEX(B31:E31, MODE(MATCH(B31:E31, B31:E31, 0)))</f>
        <v>Singlife 
Whole Life Choice</v>
      </c>
    </row>
    <row r="32" spans="1:8" ht="29" x14ac:dyDescent="0.35">
      <c r="A32" s="76" t="s">
        <v>27</v>
      </c>
      <c r="B32" s="54" t="str">
        <f>'1MNS (Exp. Age &lt;= 75)'!L50</f>
        <v>Income 
Complete Life Secure</v>
      </c>
      <c r="C32" s="54" t="str">
        <f>'1FNS (Exp. Age &lt;= 75)'!K50</f>
        <v>Income Complete Life Secure</v>
      </c>
      <c r="D32" s="54" t="str">
        <f>'1MNS (Exp. Age &gt;= 80)'!M50</f>
        <v>Income Complete Life Secure</v>
      </c>
      <c r="E32" s="54" t="str">
        <f>'1FNS (Exp. Age &gt;= 80)'!M50</f>
        <v>Income Complete Life Secure</v>
      </c>
      <c r="H32" t="str">
        <f t="array" ref="H32">INDEX(B32:E32, MODE(MATCH(B32:E32, B32:E32, 0)))</f>
        <v>Income Complete Life Secure</v>
      </c>
    </row>
    <row r="33" spans="1:8" ht="29" x14ac:dyDescent="0.35">
      <c r="A33" s="50" t="s">
        <v>33</v>
      </c>
      <c r="B33" s="54" t="str">
        <f>'1MNS (Exp. Age &lt;= 75)'!L51</f>
        <v>Etiqa 
Essential Lifetime secure</v>
      </c>
      <c r="C33" s="54" t="str">
        <f>'1FNS (Exp. Age &lt;= 75)'!K51</f>
        <v>Etiqa 
Essential Lifetime secure</v>
      </c>
      <c r="D33" s="54" t="str">
        <f>'1MNS (Exp. Age &gt;= 80)'!M51</f>
        <v>Etiqa 
Essential Lifetime secure</v>
      </c>
      <c r="E33" s="54" t="str">
        <f>'1FNS (Exp. Age &gt;= 80)'!M51</f>
        <v>Etiqa 
Essential Lifetime secure</v>
      </c>
      <c r="H33" t="str">
        <f t="array" ref="H33">INDEX(B33:E33, MODE(MATCH(B33:E33, B33:E33, 0)))</f>
        <v>Etiqa 
Essential Lifetime secure</v>
      </c>
    </row>
  </sheetData>
  <sheetProtection algorithmName="SHA-512" hashValue="KGlhPs7roGSswfFSv8aM2SCAcbxEt67nbFLFNBPP8OxXYG2PtTMZO9cA4E/RVSOh7Xgz7EZQhIZocLv3uo4rAw==" saltValue="6p6/IIKgSjPYwXpoi+mfJw==" spinCount="100000" sheet="1" objects="1" scenarios="1" selectLockedCells="1" autoFilter="0" selectUnlockedCells="1"/>
  <mergeCells count="13">
    <mergeCell ref="B1:E1"/>
    <mergeCell ref="A1:A3"/>
    <mergeCell ref="B16:E16"/>
    <mergeCell ref="B15:E15"/>
    <mergeCell ref="D21:E21"/>
    <mergeCell ref="B5:E5"/>
    <mergeCell ref="B28:E28"/>
    <mergeCell ref="D2:E2"/>
    <mergeCell ref="B2:C2"/>
    <mergeCell ref="B11:E11"/>
    <mergeCell ref="B21:C21"/>
    <mergeCell ref="B22:E22"/>
    <mergeCell ref="B27:E27"/>
  </mergeCells>
  <hyperlinks>
    <hyperlink ref="B4" location="'1MNS (Exp. Age &lt;= 75)'!A1" display="1MNS (Exp. Age &lt;= 75)" xr:uid="{A18366B0-285C-477A-9013-369ECD82B5CD}"/>
    <hyperlink ref="C4" location="'1FNS (Exp. Age &lt;= 75)'!A1" display="1FNS (Exp. Age &lt;= 75)" xr:uid="{51D38978-0D69-4536-AEA0-0726F0CB3003}"/>
    <hyperlink ref="D4" location="'1MNS (Exp. Age &gt;= 80)'!A1" display="1MNS (Exp. Age &gt;= 80)" xr:uid="{F7E197C0-1175-409E-A6D0-93D6F7CD895E}"/>
    <hyperlink ref="E4" location="'1FNS (Exp. Age &gt;= 80)'!A1" display="1FNS (Exp. Age &gt;= 80)" xr:uid="{9AF74EEB-24DF-4D06-9090-E0CD026012E6}"/>
  </hyperlinks>
  <pageMargins left="0.7" right="0.7" top="0.75" bottom="0.75" header="0.3" footer="0.3"/>
  <pageSetup scale="68" orientation="landscape" r:id="rId1"/>
  <headerFooter>
    <oddFooter>&amp;L_x000D_&amp;1#&amp;"Calibri"&amp;8&amp;K0000FF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164E-29FF-415D-AB49-55BA0DF66269}">
  <sheetPr>
    <tabColor theme="9" tint="0.79998168889431442"/>
  </sheetPr>
  <dimension ref="A1:H33"/>
  <sheetViews>
    <sheetView showGridLines="0" zoomScale="75" zoomScaleNormal="75" workbookViewId="0">
      <pane xSplit="1" ySplit="3" topLeftCell="B4" activePane="bottomRight" state="frozen"/>
      <selection pane="topRight" activeCell="B1" sqref="B1"/>
      <selection pane="bottomLeft" activeCell="A4" sqref="A4"/>
      <selection pane="bottomRight" sqref="A1:A3"/>
    </sheetView>
  </sheetViews>
  <sheetFormatPr defaultRowHeight="14.5" x14ac:dyDescent="0.35"/>
  <cols>
    <col min="1" max="1" width="26.81640625" customWidth="1"/>
    <col min="2" max="5" width="30.81640625" customWidth="1"/>
    <col min="7" max="7" width="30.1796875" customWidth="1"/>
    <col min="8" max="8" width="0" hidden="1" customWidth="1"/>
  </cols>
  <sheetData>
    <row r="1" spans="1:8" ht="14.5" customHeight="1" x14ac:dyDescent="0.35">
      <c r="A1" s="152" t="s">
        <v>6</v>
      </c>
      <c r="B1" s="149" t="s">
        <v>39</v>
      </c>
      <c r="C1" s="150"/>
      <c r="D1" s="150"/>
      <c r="E1" s="151"/>
    </row>
    <row r="2" spans="1:8" ht="57.65" customHeight="1" x14ac:dyDescent="0.35">
      <c r="A2" s="153"/>
      <c r="B2" s="143" t="s">
        <v>8</v>
      </c>
      <c r="C2" s="144"/>
      <c r="D2" s="143" t="s">
        <v>9</v>
      </c>
      <c r="E2" s="144"/>
    </row>
    <row r="3" spans="1:8" x14ac:dyDescent="0.35">
      <c r="A3" s="154"/>
      <c r="B3" s="53" t="s">
        <v>10</v>
      </c>
      <c r="C3" s="52" t="s">
        <v>11</v>
      </c>
      <c r="D3" s="53" t="s">
        <v>10</v>
      </c>
      <c r="E3" s="52" t="s">
        <v>11</v>
      </c>
    </row>
    <row r="4" spans="1:8" x14ac:dyDescent="0.35">
      <c r="A4" s="129" t="s">
        <v>34</v>
      </c>
      <c r="B4" s="56" t="s">
        <v>44</v>
      </c>
      <c r="C4" s="56" t="s">
        <v>45</v>
      </c>
      <c r="D4" s="56" t="s">
        <v>46</v>
      </c>
      <c r="E4" s="56" t="s">
        <v>47</v>
      </c>
    </row>
    <row r="5" spans="1:8" x14ac:dyDescent="0.35">
      <c r="A5" s="74"/>
      <c r="B5" s="155" t="s">
        <v>12</v>
      </c>
      <c r="C5" s="156"/>
      <c r="D5" s="156"/>
      <c r="E5" s="157"/>
    </row>
    <row r="6" spans="1:8" ht="29" x14ac:dyDescent="0.35">
      <c r="A6" s="75" t="s">
        <v>13</v>
      </c>
      <c r="B6" s="54" t="str">
        <f>'30MNS (Exp. Age &lt;= 75)'!L12</f>
        <v>China Taiping 
I-Secure Legacy (II)</v>
      </c>
      <c r="C6" s="54" t="str">
        <f>'30FNS (Exp. Age &lt;= 75)'!K12</f>
        <v>China Taiping 
I-Secure Legacy (II)</v>
      </c>
      <c r="D6" s="54" t="str">
        <f>'30MNS (Exp. Age &gt;= 80)'!M12</f>
        <v>China Taiping 
I-Secure Legacy (II)</v>
      </c>
      <c r="E6" s="54" t="str">
        <f>'1FNS (Exp. Age &gt;= 80)'!M12</f>
        <v>China Taiping 
I-Secure Legacy (II)</v>
      </c>
      <c r="H6" t="str">
        <f t="array" ref="H6">INDEX(B6:E6, MODE(MATCH(B6:E6, B6:E6, 0)))</f>
        <v>China Taiping 
I-Secure Legacy (II)</v>
      </c>
    </row>
    <row r="7" spans="1:8" x14ac:dyDescent="0.35">
      <c r="A7" s="75" t="s">
        <v>14</v>
      </c>
      <c r="B7" s="54" t="str">
        <f>'30MNS (Exp. Age &lt;= 75)'!L13</f>
        <v>Income Complete Life Secure</v>
      </c>
      <c r="C7" s="54" t="str">
        <f>'30FNS (Exp. Age &lt;= 75)'!K13</f>
        <v>Etiqa 
Essential Lifetime secure</v>
      </c>
      <c r="D7" s="54" t="str">
        <f>'30MNS (Exp. Age &gt;= 80)'!M13</f>
        <v>Income Complete Life Secure</v>
      </c>
      <c r="E7" s="54" t="str">
        <f>'1FNS (Exp. Age &gt;= 80)'!M13</f>
        <v>Etiqa 
Essential Lifetime secure</v>
      </c>
      <c r="H7" t="str">
        <f t="array" ref="H7">INDEX(B7:E7, MODE(MATCH(B7:E7, B7:E7, 0)))</f>
        <v>Income Complete Life Secure</v>
      </c>
    </row>
    <row r="8" spans="1:8" x14ac:dyDescent="0.35">
      <c r="A8" s="75" t="s">
        <v>15</v>
      </c>
      <c r="B8" s="54" t="str">
        <f>'30MNS (Exp. Age &lt;= 75)'!L14</f>
        <v>China Taiping 
I-Secure Legacy (II)</v>
      </c>
      <c r="C8" s="54" t="str">
        <f>'30FNS (Exp. Age &lt;= 75)'!K14</f>
        <v>China Taiping 
I-Secure Legacy (II)</v>
      </c>
      <c r="D8" s="54" t="str">
        <f>'30MNS (Exp. Age &gt;= 80)'!M14</f>
        <v>China Taiping 
I-Secure Legacy (II)</v>
      </c>
      <c r="E8" s="54" t="str">
        <f>'1FNS (Exp. Age &gt;= 80)'!M14</f>
        <v>Etiqa 
Essential Lifetime secure</v>
      </c>
      <c r="H8" t="str">
        <f t="array" ref="H8">INDEX(B8:E8, MODE(MATCH(B8:E8, B8:E8, 0)))</f>
        <v>China Taiping 
I-Secure Legacy (II)</v>
      </c>
    </row>
    <row r="9" spans="1:8" x14ac:dyDescent="0.35">
      <c r="A9" s="75" t="s">
        <v>16</v>
      </c>
      <c r="B9" s="54" t="str">
        <f>'30MNS (Exp. Age &lt;= 75)'!L15</f>
        <v>China Taiping 
I-Secure Legacy (II)</v>
      </c>
      <c r="C9" s="54" t="str">
        <f>'30FNS (Exp. Age &lt;= 75)'!K15</f>
        <v>China Taiping 
I-Secure Legacy (II)</v>
      </c>
      <c r="D9" s="54" t="str">
        <f>'30MNS (Exp. Age &gt;= 80)'!M15</f>
        <v>China Taiping 
I-Secure Legacy (II)</v>
      </c>
      <c r="E9" s="54" t="str">
        <f>'1FNS (Exp. Age &gt;= 80)'!M15</f>
        <v>China Taiping 
I-Secure Legacy (II)</v>
      </c>
      <c r="H9" t="str">
        <f t="array" ref="H9">INDEX(B9:E9, MODE(MATCH(B9:E9, B9:E9, 0)))</f>
        <v>China Taiping 
I-Secure Legacy (II)</v>
      </c>
    </row>
    <row r="10" spans="1:8" ht="29" x14ac:dyDescent="0.35">
      <c r="A10" s="75" t="s">
        <v>17</v>
      </c>
      <c r="B10" s="54" t="str">
        <f>'30MNS (Exp. Age &lt;= 75)'!L16</f>
        <v>China Taiping 
I-Secure Legacy (II)</v>
      </c>
      <c r="C10" s="54" t="str">
        <f>'30FNS (Exp. Age &lt;= 75)'!K16</f>
        <v>China Taiping 
I-Secure Legacy (II)</v>
      </c>
      <c r="D10" s="54" t="str">
        <f>'30MNS (Exp. Age &gt;= 80)'!M16</f>
        <v>China Taiping 
I-Secure Legacy (II)</v>
      </c>
      <c r="E10" s="54" t="str">
        <f>'1FNS (Exp. Age &gt;= 80)'!M16</f>
        <v>China Taiping 
I-Secure Legacy (II)</v>
      </c>
      <c r="H10" t="str">
        <f t="array" ref="H10">INDEX(B10:E10, MODE(MATCH(B10:E10, B10:E10, 0)))</f>
        <v>China Taiping 
I-Secure Legacy (II)</v>
      </c>
    </row>
    <row r="11" spans="1:8" ht="14.5" hidden="1" customHeight="1" x14ac:dyDescent="0.35">
      <c r="A11" s="51"/>
      <c r="B11" s="145" t="s">
        <v>18</v>
      </c>
      <c r="C11" s="146"/>
      <c r="D11" s="146"/>
      <c r="E11" s="147"/>
    </row>
    <row r="12" spans="1:8" hidden="1" x14ac:dyDescent="0.35">
      <c r="A12" s="49" t="s">
        <v>19</v>
      </c>
      <c r="B12" s="33" t="str">
        <f>'30MNS (Exp. Age &lt;= 75)'!L21</f>
        <v>Income Complete Life Secure</v>
      </c>
      <c r="C12" s="33" t="str">
        <f>'30FNS (Exp. Age &lt;= 75)'!K21</f>
        <v>Etiqa 
Essential Lifetime secure</v>
      </c>
      <c r="D12" s="33" t="str">
        <f>'30MNS (Exp. Age &gt;= 80)'!M21</f>
        <v>Income Complete Life Secure</v>
      </c>
      <c r="E12" s="33" t="str">
        <f>'30FNS (Exp. Age &gt;= 80)'!M21</f>
        <v>Etiqa 
Essential Lifetime secure</v>
      </c>
    </row>
    <row r="13" spans="1:8" hidden="1" x14ac:dyDescent="0.35">
      <c r="A13" s="49" t="s">
        <v>20</v>
      </c>
      <c r="B13" s="33" t="str">
        <f>'30MNS (Exp. Age &lt;= 75)'!L22</f>
        <v>China Taiping 
I-Secure Legacy (II)</v>
      </c>
      <c r="C13" s="33" t="str">
        <f>'30FNS (Exp. Age &lt;= 75)'!K22</f>
        <v>China Taiping 
I-Secure Legacy (II)</v>
      </c>
      <c r="D13" s="33" t="str">
        <f>'30MNS (Exp. Age &gt;= 80)'!M22</f>
        <v>China Taiping 
I-Secure Legacy (II)</v>
      </c>
      <c r="E13" s="33" t="str">
        <f>'30FNS (Exp. Age &gt;= 80)'!M22</f>
        <v>China Taiping 
I-Secure Legacy (II)</v>
      </c>
    </row>
    <row r="14" spans="1:8" hidden="1" x14ac:dyDescent="0.35">
      <c r="A14" s="49" t="s">
        <v>21</v>
      </c>
      <c r="B14" s="33" t="str">
        <f>'30MNS (Exp. Age &lt;= 75)'!L23</f>
        <v>China Taiping 
I-Secure Legacy (II)</v>
      </c>
      <c r="C14" s="33" t="str">
        <f>'30FNS (Exp. Age &lt;= 75)'!K23</f>
        <v>China Taiping 
I-Secure Legacy (II)</v>
      </c>
      <c r="D14" s="33" t="str">
        <f>'30MNS (Exp. Age &gt;= 80)'!M23</f>
        <v>China Taiping 
I-Secure Legacy (II)</v>
      </c>
      <c r="E14" s="33" t="str">
        <f>'30FNS (Exp. Age &gt;= 80)'!M23</f>
        <v>China Taiping 
I-Secure Legacy (II)</v>
      </c>
    </row>
    <row r="15" spans="1:8" x14ac:dyDescent="0.35">
      <c r="A15" s="72"/>
      <c r="B15" s="158" t="s">
        <v>22</v>
      </c>
      <c r="C15" s="159"/>
      <c r="D15" s="159"/>
      <c r="E15" s="160"/>
    </row>
    <row r="16" spans="1:8" ht="14.5" customHeight="1" x14ac:dyDescent="0.35">
      <c r="A16" s="73"/>
      <c r="B16" s="140" t="s">
        <v>23</v>
      </c>
      <c r="C16" s="141"/>
      <c r="D16" s="141"/>
      <c r="E16" s="142"/>
    </row>
    <row r="17" spans="1:8" ht="29" x14ac:dyDescent="0.35">
      <c r="A17" s="71" t="s">
        <v>24</v>
      </c>
      <c r="B17" s="54" t="str">
        <f>'30MNS (Exp. Age &lt;= 75)'!L29</f>
        <v>Income Complete Life Secure</v>
      </c>
      <c r="C17" s="54" t="str">
        <f>'30FNS (Exp. Age &lt;= 75)'!K29</f>
        <v>Etiqa 
Essential Lifetime secure</v>
      </c>
      <c r="D17" s="54" t="str">
        <f>'30MNS (Exp. Age &gt;= 80)'!M29</f>
        <v>Income Complete Life Secure</v>
      </c>
      <c r="E17" s="54" t="str">
        <f>'30FNS (Exp. Age &gt;= 80)'!M29</f>
        <v>Etiqa 
Essential Lifetime secure</v>
      </c>
      <c r="H17" t="str">
        <f t="array" ref="H17">INDEX(B17:E17, MODE(MATCH(B17:E17, B17:E17, 0)))</f>
        <v>Income Complete Life Secure</v>
      </c>
    </row>
    <row r="18" spans="1:8" ht="29" x14ac:dyDescent="0.35">
      <c r="A18" s="76" t="s">
        <v>25</v>
      </c>
      <c r="B18" s="54" t="str">
        <f>'30MNS (Exp. Age &lt;= 75)'!L30</f>
        <v>Income Complete Life Secure</v>
      </c>
      <c r="C18" s="54" t="str">
        <f>'30FNS (Exp. Age &lt;= 75)'!K30</f>
        <v>Singlife 
Whole Life Choice</v>
      </c>
      <c r="D18" s="54" t="str">
        <f>'30MNS (Exp. Age &gt;= 80)'!M30</f>
        <v>Singlife 
Whole Life Choice</v>
      </c>
      <c r="E18" s="54" t="str">
        <f>'30FNS (Exp. Age &gt;= 80)'!M30</f>
        <v>Singlife 
Whole Life Choice</v>
      </c>
      <c r="H18" t="str">
        <f t="array" ref="H18">INDEX(B18:E18, MODE(MATCH(B18:E18, B18:E18, 0)))</f>
        <v>Singlife 
Whole Life Choice</v>
      </c>
    </row>
    <row r="19" spans="1:8" ht="29" x14ac:dyDescent="0.35">
      <c r="A19" s="71" t="s">
        <v>26</v>
      </c>
      <c r="B19" s="54" t="str">
        <f>'30MNS (Exp. Age &lt;= 75)'!L31</f>
        <v>China Taiping 
I-Secure Legacy (II)</v>
      </c>
      <c r="C19" s="54" t="str">
        <f>'30FNS (Exp. Age &lt;= 75)'!K31</f>
        <v>China Taiping 
I-Secure Legacy (II)</v>
      </c>
      <c r="D19" s="54" t="str">
        <f>'30MNS (Exp. Age &gt;= 80)'!M31</f>
        <v>Singlife 
Whole Life Choice</v>
      </c>
      <c r="E19" s="54" t="str">
        <f>'30FNS (Exp. Age &gt;= 80)'!M31</f>
        <v>Singlife 
Whole Life Choice</v>
      </c>
      <c r="H19" t="str">
        <f t="array" ref="H19">INDEX(B19:E19, MODE(MATCH(B19:E19, B19:E19, 0)))</f>
        <v>China Taiping 
I-Secure Legacy (II)</v>
      </c>
    </row>
    <row r="20" spans="1:8" ht="29" x14ac:dyDescent="0.35">
      <c r="A20" s="76" t="s">
        <v>27</v>
      </c>
      <c r="B20" s="54" t="str">
        <f>'30MNS (Exp. Age &lt;= 75)'!L32</f>
        <v>Income Complete Life Secure</v>
      </c>
      <c r="C20" s="54" t="str">
        <f>'30FNS (Exp. Age &lt;= 75)'!K32</f>
        <v>Income 
Complete Life Secure</v>
      </c>
      <c r="D20" s="54" t="str">
        <f>'30MNS (Exp. Age &gt;= 80)'!M32</f>
        <v>Income Complete Life Secure</v>
      </c>
      <c r="E20" s="54" t="str">
        <f>'30FNS (Exp. Age &gt;= 80)'!M32</f>
        <v>Income 
Complete Life Secure</v>
      </c>
      <c r="H20" t="str">
        <f t="array" ref="H20">INDEX(B20:E20, MODE(MATCH(B20:E20, B20:E20, 0)))</f>
        <v>Income Complete Life Secure</v>
      </c>
    </row>
    <row r="21" spans="1:8" ht="31.75" customHeight="1" x14ac:dyDescent="0.35">
      <c r="A21" s="72"/>
      <c r="B21" s="161" t="s">
        <v>40</v>
      </c>
      <c r="C21" s="162"/>
      <c r="D21" s="161" t="s">
        <v>41</v>
      </c>
      <c r="E21" s="162"/>
    </row>
    <row r="22" spans="1:8" x14ac:dyDescent="0.35">
      <c r="A22" s="73"/>
      <c r="B22" s="140" t="s">
        <v>30</v>
      </c>
      <c r="C22" s="141"/>
      <c r="D22" s="141"/>
      <c r="E22" s="142"/>
    </row>
    <row r="23" spans="1:8" ht="29" x14ac:dyDescent="0.35">
      <c r="A23" s="71" t="s">
        <v>24</v>
      </c>
      <c r="B23" s="54" t="str">
        <f>'30MNS (Exp. Age &lt;= 75)'!L38</f>
        <v>China Taiping 
I-Secure Legacy (II)</v>
      </c>
      <c r="C23" s="54" t="str">
        <f>'30FNS (Exp. Age &lt;= 75)'!K38</f>
        <v>China Taiping 
I-Secure Legacy (II)</v>
      </c>
      <c r="D23" s="54" t="str">
        <f>'30MNS (Exp. Age &gt;= 80)'!M38</f>
        <v>China Taiping 
I-Secure Legacy (II)</v>
      </c>
      <c r="E23" s="54" t="str">
        <f>'30FNS (Exp. Age &gt;= 80)'!M38</f>
        <v>China Taiping 
I-Secure Legacy (II)</v>
      </c>
      <c r="H23" t="str">
        <f t="array" ref="H23">INDEX(B23:E23, MODE(MATCH(B23:E23, B23:E23, 0)))</f>
        <v>China Taiping 
I-Secure Legacy (II)</v>
      </c>
    </row>
    <row r="24" spans="1:8" ht="29" x14ac:dyDescent="0.35">
      <c r="A24" s="76" t="s">
        <v>25</v>
      </c>
      <c r="B24" s="54" t="str">
        <f>'30MNS (Exp. Age &lt;= 75)'!L39</f>
        <v>Income Complete Life Secure</v>
      </c>
      <c r="C24" s="54" t="str">
        <f>'30FNS (Exp. Age &lt;= 75)'!K39</f>
        <v>Singlife 
Whole Life Choice</v>
      </c>
      <c r="D24" s="54" t="str">
        <f>'30MNS (Exp. Age &gt;= 80)'!M39</f>
        <v>China Taiping 
I-Secure Legacy (II)</v>
      </c>
      <c r="E24" s="54" t="str">
        <f>'30FNS (Exp. Age &gt;= 80)'!M39</f>
        <v>China Taiping 
I-Secure Legacy (II)</v>
      </c>
      <c r="H24" t="str">
        <f t="array" ref="H24">INDEX(B24:E24, MODE(MATCH(B24:E24, B24:E24, 0)))</f>
        <v>China Taiping 
I-Secure Legacy (II)</v>
      </c>
    </row>
    <row r="25" spans="1:8" ht="29" x14ac:dyDescent="0.35">
      <c r="A25" s="71" t="s">
        <v>26</v>
      </c>
      <c r="B25" s="54" t="str">
        <f>'30MNS (Exp. Age &lt;= 75)'!L40</f>
        <v>China Taiping 
I-Secure Legacy (II)</v>
      </c>
      <c r="C25" s="54" t="str">
        <f>'30FNS (Exp. Age &lt;= 75)'!K40</f>
        <v>China Taiping 
I-Secure Legacy (II)</v>
      </c>
      <c r="D25" s="54" t="str">
        <f>'30MNS (Exp. Age &gt;= 80)'!M40</f>
        <v>Income Complete Life Secure</v>
      </c>
      <c r="E25" s="54" t="str">
        <f>'30FNS (Exp. Age &gt;= 80)'!M40</f>
        <v>Singlife 
Whole Life Choice</v>
      </c>
      <c r="H25" t="str">
        <f t="array" ref="H25">INDEX(B25:E25, MODE(MATCH(B25:E25, B25:E25, 0)))</f>
        <v>China Taiping 
I-Secure Legacy (II)</v>
      </c>
    </row>
    <row r="26" spans="1:8" ht="29" x14ac:dyDescent="0.35">
      <c r="A26" s="76" t="s">
        <v>27</v>
      </c>
      <c r="B26" s="54" t="str">
        <f>'30MNS (Exp. Age &lt;= 75)'!L41</f>
        <v>Income Complete Life Secure</v>
      </c>
      <c r="C26" s="54" t="str">
        <f>'30FNS (Exp. Age &lt;= 75)'!K41</f>
        <v>Income 
Complete Life Secure</v>
      </c>
      <c r="D26" s="54" t="str">
        <f>'30MNS (Exp. Age &gt;= 80)'!M41</f>
        <v>Income Complete Life Secure</v>
      </c>
      <c r="E26" s="54" t="str">
        <f>'30FNS (Exp. Age &gt;= 80)'!M41</f>
        <v>Income 
Complete Life Secure</v>
      </c>
      <c r="H26" t="str">
        <f t="array" ref="H26">INDEX(B26:E26, MODE(MATCH(B26:E26, B26:E26, 0)))</f>
        <v>Income Complete Life Secure</v>
      </c>
    </row>
    <row r="27" spans="1:8" x14ac:dyDescent="0.35">
      <c r="A27" s="72"/>
      <c r="B27" s="158" t="s">
        <v>42</v>
      </c>
      <c r="C27" s="159"/>
      <c r="D27" s="159"/>
      <c r="E27" s="160"/>
    </row>
    <row r="28" spans="1:8" ht="14.5" customHeight="1" x14ac:dyDescent="0.35">
      <c r="A28" s="73"/>
      <c r="B28" s="140" t="s">
        <v>32</v>
      </c>
      <c r="C28" s="141"/>
      <c r="D28" s="141"/>
      <c r="E28" s="142"/>
    </row>
    <row r="29" spans="1:8" ht="29" x14ac:dyDescent="0.35">
      <c r="A29" s="71" t="s">
        <v>24</v>
      </c>
      <c r="B29" s="54" t="str">
        <f>'30MNS (Exp. Age &lt;= 75)'!L47</f>
        <v>China Taiping 
I-Secure Legacy (II)</v>
      </c>
      <c r="C29" s="54" t="str">
        <f>'30FNS (Exp. Age &lt;= 75)'!K47</f>
        <v>Etiqa 
Essential Lifetime secure</v>
      </c>
      <c r="D29" s="54" t="str">
        <f>'30MNS (Exp. Age &gt;= 80)'!M47</f>
        <v>China Taiping 
I-Secure Legacy (II)</v>
      </c>
      <c r="E29" s="54" t="str">
        <f>'30FNS (Exp. Age &gt;= 80)'!M47</f>
        <v>China Taiping 
I-Secure Legacy (II)</v>
      </c>
      <c r="H29" t="str">
        <f t="array" ref="H29">INDEX(B29:E29, MODE(MATCH(B29:E29, B29:E29, 0)))</f>
        <v>China Taiping 
I-Secure Legacy (II)</v>
      </c>
    </row>
    <row r="30" spans="1:8" ht="29" x14ac:dyDescent="0.35">
      <c r="A30" s="76" t="s">
        <v>25</v>
      </c>
      <c r="B30" s="54" t="str">
        <f>'30MNS (Exp. Age &lt;= 75)'!L48</f>
        <v>Income Complete Life Secure</v>
      </c>
      <c r="C30" s="54" t="str">
        <f>'30FNS (Exp. Age &lt;= 75)'!K48</f>
        <v>Income 
Complete Life Secure</v>
      </c>
      <c r="D30" s="54" t="str">
        <f>'30MNS (Exp. Age &gt;= 80)'!M48</f>
        <v>Income Complete Life Secure</v>
      </c>
      <c r="E30" s="54" t="str">
        <f>'30FNS (Exp. Age &gt;= 80)'!M48</f>
        <v>Income 
Complete Life Secure</v>
      </c>
      <c r="H30" t="str">
        <f t="array" ref="H30">INDEX(B30:E30, MODE(MATCH(B30:E30, B30:E30, 0)))</f>
        <v>Income Complete Life Secure</v>
      </c>
    </row>
    <row r="31" spans="1:8" ht="29" x14ac:dyDescent="0.35">
      <c r="A31" s="71" t="s">
        <v>26</v>
      </c>
      <c r="B31" s="54" t="str">
        <f>'30MNS (Exp. Age &lt;= 75)'!L49</f>
        <v>China Taiping 
I-Secure Legacy (II)</v>
      </c>
      <c r="C31" s="54" t="str">
        <f>'30FNS (Exp. Age &lt;= 75)'!K49</f>
        <v>China Taiping 
I-Secure Legacy (II)</v>
      </c>
      <c r="D31" s="54" t="str">
        <f>'30MNS (Exp. Age &gt;= 80)'!M49</f>
        <v>Income Complete Life Secure</v>
      </c>
      <c r="E31" s="54" t="str">
        <f>'30FNS (Exp. Age &gt;= 80)'!M49</f>
        <v>Singlife 
Whole Life Choice</v>
      </c>
      <c r="H31" t="str">
        <f t="array" ref="H31">INDEX(B31:E31, MODE(MATCH(B31:E31, B31:E31, 0)))</f>
        <v>China Taiping 
I-Secure Legacy (II)</v>
      </c>
    </row>
    <row r="32" spans="1:8" ht="29" x14ac:dyDescent="0.35">
      <c r="A32" s="76" t="s">
        <v>27</v>
      </c>
      <c r="B32" s="54" t="str">
        <f>'30MNS (Exp. Age &lt;= 75)'!L50</f>
        <v>Income Complete Life Secure</v>
      </c>
      <c r="C32" s="54" t="str">
        <f>'30FNS (Exp. Age &lt;= 75)'!K50</f>
        <v>Income 
Complete Life Secure</v>
      </c>
      <c r="D32" s="54" t="str">
        <f>'30MNS (Exp. Age &gt;= 80)'!M50</f>
        <v>Income Complete Life Secure</v>
      </c>
      <c r="E32" s="54" t="str">
        <f>'30FNS (Exp. Age &gt;= 80)'!M50</f>
        <v>Income 
Complete Life Secure</v>
      </c>
      <c r="H32" t="str">
        <f t="array" ref="H32">INDEX(B32:E32, MODE(MATCH(B32:E32, B32:E32, 0)))</f>
        <v>Income Complete Life Secure</v>
      </c>
    </row>
    <row r="33" spans="1:8" ht="29" x14ac:dyDescent="0.35">
      <c r="A33" s="50" t="s">
        <v>43</v>
      </c>
      <c r="B33" s="54" t="str">
        <f>'30MNS (Exp. Age &lt;= 75)'!L51</f>
        <v>Income Complete Life Secure</v>
      </c>
      <c r="C33" s="54" t="str">
        <f>'30FNS (Exp. Age &lt;= 75)'!K51</f>
        <v>Income 
Complete Life Secure</v>
      </c>
      <c r="D33" s="54" t="str">
        <f>'30MNS (Exp. Age &gt;= 80)'!M51</f>
        <v>Singlife 
Whole Life Choice</v>
      </c>
      <c r="E33" s="54" t="str">
        <f>'30FNS (Exp. Age &gt;= 80)'!M51</f>
        <v>Income 
Complete Life Secure</v>
      </c>
      <c r="H33" t="str">
        <f t="array" ref="H33">INDEX(B33:E33, MODE(MATCH(B33:E33, B33:E33, 0)))</f>
        <v>Income 
Complete Life Secure</v>
      </c>
    </row>
  </sheetData>
  <sheetProtection algorithmName="SHA-512" hashValue="v7StSWgKFDiCy8QW1+hfy28KxTCF2viRRwU6g1wx/YdA4qAWIrB4BFEq9M52CMF/Z8e6sS7F3cLqkASrFpJAzw==" saltValue="/2tFaVmH8aYb2XZCWHY73Q==" spinCount="100000" sheet="1" objects="1" scenarios="1" selectLockedCells="1" autoFilter="0" selectUnlockedCells="1"/>
  <mergeCells count="13">
    <mergeCell ref="A1:A3"/>
    <mergeCell ref="B1:E1"/>
    <mergeCell ref="B2:C2"/>
    <mergeCell ref="D2:E2"/>
    <mergeCell ref="B5:E5"/>
    <mergeCell ref="B11:E11"/>
    <mergeCell ref="B16:E16"/>
    <mergeCell ref="B28:E28"/>
    <mergeCell ref="B15:E15"/>
    <mergeCell ref="B21:C21"/>
    <mergeCell ref="D21:E21"/>
    <mergeCell ref="B22:E22"/>
    <mergeCell ref="B27:E27"/>
  </mergeCells>
  <hyperlinks>
    <hyperlink ref="B4" location="'30MNS (Exp. Age &lt;= 75)'!A1" display="30MNS (Exp. Age &lt;= 75)" xr:uid="{59E5A046-46A5-4F6A-9A5A-A711A617840C}"/>
    <hyperlink ref="C4" location="'30FNS (Exp. Age &lt;= 75)'!A1" display="30FNS (Exp. Age &lt;= 75)" xr:uid="{44815E1A-3866-441E-8C48-6A71091C4393}"/>
    <hyperlink ref="D4" location="'30MNS (Exp. Age &gt;= 80)'!A1" display="30MNS (Exp. Age &gt;= 80)" xr:uid="{1ACB735E-4211-4AF6-A097-A3B8D9C93B76}"/>
    <hyperlink ref="E4" location="'30FNS (Exp. Age &gt;= 80)'!A1" display="30FNS (Exp. Age &gt;= 80)" xr:uid="{6981A73F-D532-40ED-A5DA-0007FD06FEE1}"/>
  </hyperlinks>
  <pageMargins left="0.7" right="0.7" top="0.75" bottom="0.75" header="0.3" footer="0.3"/>
  <pageSetup orientation="portrait" r:id="rId1"/>
  <headerFooter>
    <oddFooter>&amp;L_x000D_&amp;1#&amp;"Calibri"&amp;8&amp;K0000FF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E4F6-3DC6-4E74-98B0-333933320AF0}">
  <sheetPr>
    <tabColor theme="9" tint="0.79998168889431442"/>
  </sheetPr>
  <dimension ref="A1:E10"/>
  <sheetViews>
    <sheetView showGridLines="0" topLeftCell="B1" zoomScale="75" zoomScaleNormal="75" workbookViewId="0">
      <pane ySplit="2" topLeftCell="A3" activePane="bottomLeft" state="frozen"/>
      <selection pane="bottomLeft" activeCell="B2" sqref="B2"/>
    </sheetView>
  </sheetViews>
  <sheetFormatPr defaultRowHeight="14.5" x14ac:dyDescent="0.35"/>
  <cols>
    <col min="1" max="1" width="13.453125" customWidth="1"/>
    <col min="2" max="2" width="38.1796875" customWidth="1"/>
    <col min="3" max="5" width="50.81640625" customWidth="1"/>
  </cols>
  <sheetData>
    <row r="1" spans="1:5" x14ac:dyDescent="0.35">
      <c r="A1" s="112" t="s">
        <v>48</v>
      </c>
      <c r="B1" s="113"/>
      <c r="C1" s="113"/>
      <c r="D1" s="113"/>
      <c r="E1" s="113"/>
    </row>
    <row r="2" spans="1:5" x14ac:dyDescent="0.35">
      <c r="A2" s="110" t="s">
        <v>49</v>
      </c>
      <c r="B2" s="111" t="s">
        <v>50</v>
      </c>
      <c r="C2" s="101" t="s">
        <v>51</v>
      </c>
      <c r="D2" s="101" t="s">
        <v>52</v>
      </c>
      <c r="E2" s="102" t="s">
        <v>53</v>
      </c>
    </row>
    <row r="3" spans="1:5" ht="228" x14ac:dyDescent="0.35">
      <c r="A3" s="87" t="s">
        <v>54</v>
      </c>
      <c r="B3" s="88" t="s">
        <v>55</v>
      </c>
      <c r="C3" s="89" t="s">
        <v>56</v>
      </c>
      <c r="D3" s="89" t="s">
        <v>57</v>
      </c>
      <c r="E3" s="97" t="s">
        <v>58</v>
      </c>
    </row>
    <row r="4" spans="1:5" ht="120" x14ac:dyDescent="0.35">
      <c r="A4" s="87" t="s">
        <v>59</v>
      </c>
      <c r="B4" s="88" t="s">
        <v>60</v>
      </c>
      <c r="C4" s="89" t="s">
        <v>61</v>
      </c>
      <c r="D4" s="90" t="s">
        <v>62</v>
      </c>
      <c r="E4" s="90" t="s">
        <v>63</v>
      </c>
    </row>
    <row r="5" spans="1:5" ht="152.5" customHeight="1" x14ac:dyDescent="0.35">
      <c r="A5" s="87" t="s">
        <v>59</v>
      </c>
      <c r="B5" s="88" t="s">
        <v>64</v>
      </c>
      <c r="C5" s="89" t="s">
        <v>65</v>
      </c>
      <c r="D5" s="89" t="s">
        <v>66</v>
      </c>
      <c r="E5" s="90" t="s">
        <v>63</v>
      </c>
    </row>
    <row r="6" spans="1:5" ht="162" customHeight="1" x14ac:dyDescent="0.35">
      <c r="A6" s="87" t="s">
        <v>59</v>
      </c>
      <c r="B6" s="88" t="s">
        <v>67</v>
      </c>
      <c r="C6" s="89" t="s">
        <v>68</v>
      </c>
      <c r="D6" s="90" t="s">
        <v>62</v>
      </c>
      <c r="E6" s="90" t="s">
        <v>63</v>
      </c>
    </row>
    <row r="7" spans="1:5" ht="216" x14ac:dyDescent="0.35">
      <c r="A7" s="87" t="s">
        <v>69</v>
      </c>
      <c r="B7" s="88" t="s">
        <v>70</v>
      </c>
      <c r="C7" s="89" t="s">
        <v>71</v>
      </c>
      <c r="D7" s="89" t="s">
        <v>72</v>
      </c>
      <c r="E7" s="97" t="s">
        <v>73</v>
      </c>
    </row>
    <row r="8" spans="1:5" ht="144" x14ac:dyDescent="0.35">
      <c r="A8" s="87" t="s">
        <v>74</v>
      </c>
      <c r="B8" s="88" t="s">
        <v>75</v>
      </c>
      <c r="C8" s="89" t="s">
        <v>76</v>
      </c>
      <c r="D8" s="89" t="s">
        <v>77</v>
      </c>
      <c r="E8" s="97" t="s">
        <v>78</v>
      </c>
    </row>
    <row r="9" spans="1:5" ht="234.65" customHeight="1" x14ac:dyDescent="0.35">
      <c r="A9" s="87" t="s">
        <v>79</v>
      </c>
      <c r="B9" s="88" t="s">
        <v>80</v>
      </c>
      <c r="C9" s="89" t="s">
        <v>81</v>
      </c>
      <c r="D9" s="94" t="s">
        <v>82</v>
      </c>
      <c r="E9" s="97" t="s">
        <v>83</v>
      </c>
    </row>
    <row r="10" spans="1:5" ht="252" x14ac:dyDescent="0.35">
      <c r="A10" s="91" t="s">
        <v>84</v>
      </c>
      <c r="B10" s="92" t="s">
        <v>85</v>
      </c>
      <c r="C10" s="94" t="s">
        <v>86</v>
      </c>
      <c r="D10" s="96" t="s">
        <v>87</v>
      </c>
      <c r="E10" s="93" t="s">
        <v>63</v>
      </c>
    </row>
  </sheetData>
  <sheetProtection algorithmName="SHA-512" hashValue="2TopHRvpa/GpyAnCRd9X2fSHxc8uLiOn9Ge6YIzv/buK+2ieEFkP+tL6WVgCm7ZTXePzS46VNp1tGzWv36w9eg==" saltValue="I5NOvGhYQJKB/wNs6LmTlQ==" spinCount="100000" sheet="1" objects="1" scenarios="1" selectLockedCells="1" sort="0" autoFilter="0" selectUnlockedCells="1"/>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D711-9B0F-4A7F-8CB1-0019E9742FF6}">
  <sheetPr>
    <tabColor theme="9" tint="0.79998168889431442"/>
    <pageSetUpPr fitToPage="1"/>
  </sheetPr>
  <dimension ref="A1:D10"/>
  <sheetViews>
    <sheetView showGridLines="0" topLeftCell="B1" zoomScale="75" zoomScaleNormal="75" workbookViewId="0">
      <selection activeCell="B1" sqref="B1"/>
    </sheetView>
  </sheetViews>
  <sheetFormatPr defaultRowHeight="14.5" x14ac:dyDescent="0.35"/>
  <cols>
    <col min="1" max="1" width="10.81640625" hidden="1" customWidth="1"/>
    <col min="2" max="2" width="15.81640625" customWidth="1"/>
    <col min="3" max="3" width="35.81640625" customWidth="1"/>
    <col min="4" max="4" width="112.453125" customWidth="1"/>
    <col min="5" max="5" width="45.81640625" customWidth="1"/>
    <col min="6" max="6" width="120.81640625" customWidth="1"/>
  </cols>
  <sheetData>
    <row r="1" spans="2:4" ht="14.5" customHeight="1" x14ac:dyDescent="0.35">
      <c r="B1" s="115" t="s">
        <v>88</v>
      </c>
      <c r="C1" s="114"/>
      <c r="D1" s="114"/>
    </row>
    <row r="2" spans="2:4" ht="14.15" customHeight="1" x14ac:dyDescent="0.35">
      <c r="B2" t="s">
        <v>89</v>
      </c>
    </row>
    <row r="3" spans="2:4" s="66" customFormat="1" ht="15" customHeight="1" x14ac:dyDescent="0.35">
      <c r="B3" s="67" t="s">
        <v>49</v>
      </c>
      <c r="C3" s="67" t="s">
        <v>50</v>
      </c>
      <c r="D3" s="67" t="s">
        <v>90</v>
      </c>
    </row>
    <row r="4" spans="2:4" ht="15" customHeight="1" x14ac:dyDescent="0.35">
      <c r="B4" s="33" t="s">
        <v>91</v>
      </c>
      <c r="C4" s="68" t="s">
        <v>92</v>
      </c>
      <c r="D4" s="69" t="s">
        <v>93</v>
      </c>
    </row>
    <row r="5" spans="2:4" ht="15" customHeight="1" x14ac:dyDescent="0.35">
      <c r="B5" s="33" t="s">
        <v>94</v>
      </c>
      <c r="C5" s="33" t="s">
        <v>95</v>
      </c>
      <c r="D5" s="69" t="s">
        <v>96</v>
      </c>
    </row>
    <row r="6" spans="2:4" ht="15" customHeight="1" x14ac:dyDescent="0.35">
      <c r="B6" s="33" t="s">
        <v>97</v>
      </c>
      <c r="C6" s="70" t="s">
        <v>98</v>
      </c>
      <c r="D6" s="69" t="s">
        <v>99</v>
      </c>
    </row>
    <row r="7" spans="2:4" ht="15" customHeight="1" x14ac:dyDescent="0.35">
      <c r="B7" s="33" t="s">
        <v>100</v>
      </c>
      <c r="C7" s="33" t="s">
        <v>101</v>
      </c>
      <c r="D7" s="69" t="s">
        <v>102</v>
      </c>
    </row>
    <row r="8" spans="2:4" ht="15" customHeight="1" x14ac:dyDescent="0.35">
      <c r="B8" s="33" t="s">
        <v>103</v>
      </c>
      <c r="C8" s="33" t="s">
        <v>104</v>
      </c>
      <c r="D8" s="69" t="s">
        <v>105</v>
      </c>
    </row>
    <row r="10" spans="2:4" x14ac:dyDescent="0.35">
      <c r="B10" s="163" t="s">
        <v>472</v>
      </c>
      <c r="C10" s="163"/>
      <c r="D10" s="163"/>
    </row>
  </sheetData>
  <sheetProtection algorithmName="SHA-512" hashValue="U3oVXkEUWWEr4Ci0JvR02H0Q6GmZ1Gt/4nHa3y5KCsWD7mPd8wYF+vg6SxAv/gktaEAX4oWK2Y6JsXERF9t2+A==" saltValue="IyS17mSAXWFMgZry6tAbHA==" spinCount="100000" sheet="1" objects="1" scenarios="1" selectLockedCells="1" sort="0" autoFilter="0" selectUnlockedCells="1"/>
  <mergeCells count="1">
    <mergeCell ref="B10:D10"/>
  </mergeCells>
  <hyperlinks>
    <hyperlink ref="D4" r:id="rId1" xr:uid="{78FAED34-8D26-4E17-937D-7D5BB52EC2C4}"/>
    <hyperlink ref="D5" r:id="rId2" xr:uid="{D70ADDEC-8C24-421E-8F0A-D3625C36F589}"/>
    <hyperlink ref="D6" r:id="rId3" xr:uid="{AAEBDBFF-6D42-44C0-976A-E3138D9A1653}"/>
    <hyperlink ref="D7" r:id="rId4" xr:uid="{0CAAC134-3CA6-4BD3-91D5-4B3089A21ECE}"/>
    <hyperlink ref="D8" r:id="rId5" xr:uid="{7926E2B8-6DA6-459F-B76E-C9CA749A768F}"/>
  </hyperlinks>
  <printOptions horizontalCentered="1" verticalCentered="1"/>
  <pageMargins left="0" right="0" top="0" bottom="0" header="0" footer="0"/>
  <pageSetup paperSize="9" scale="78" orientation="landscape" r:id="rId6"/>
  <headerFooter>
    <oddFooter>&amp;L_x000D_&amp;1#&amp;"Calibri"&amp;8&amp;K0000FF Internal</oddFooter>
  </headerFooter>
  <tableParts count="1">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80F88-42DA-4873-BD84-9FF4DB368566}">
  <sheetPr>
    <tabColor theme="9" tint="0.79998168889431442"/>
  </sheetPr>
  <dimension ref="B1:J52"/>
  <sheetViews>
    <sheetView showGridLines="0" zoomScale="130" zoomScaleNormal="130" workbookViewId="0">
      <pane ySplit="2" topLeftCell="A39" activePane="bottomLeft" state="frozen"/>
      <selection activeCell="I26" sqref="I26"/>
      <selection pane="bottomLeft" activeCell="G43" sqref="G43"/>
    </sheetView>
  </sheetViews>
  <sheetFormatPr defaultRowHeight="14.5" x14ac:dyDescent="0.35"/>
  <cols>
    <col min="2" max="10" width="15.81640625" customWidth="1"/>
  </cols>
  <sheetData>
    <row r="1" spans="2:10" x14ac:dyDescent="0.35">
      <c r="B1" s="164" t="s">
        <v>106</v>
      </c>
      <c r="C1" s="164"/>
      <c r="D1" s="164"/>
      <c r="E1" s="164"/>
      <c r="F1" s="164"/>
      <c r="G1" s="164"/>
      <c r="H1" s="164"/>
      <c r="I1" s="164"/>
      <c r="J1" s="164"/>
    </row>
    <row r="2" spans="2:10" ht="19" x14ac:dyDescent="0.35">
      <c r="B2" s="13" t="s">
        <v>4</v>
      </c>
      <c r="C2" s="99" t="s">
        <v>107</v>
      </c>
      <c r="D2" s="99" t="s">
        <v>108</v>
      </c>
      <c r="E2" s="99" t="s">
        <v>109</v>
      </c>
      <c r="F2" s="99" t="s">
        <v>110</v>
      </c>
      <c r="G2" s="99" t="s">
        <v>111</v>
      </c>
      <c r="H2" s="100" t="s">
        <v>112</v>
      </c>
      <c r="I2" s="99" t="s">
        <v>113</v>
      </c>
      <c r="J2" s="99" t="s">
        <v>114</v>
      </c>
    </row>
    <row r="3" spans="2:10" x14ac:dyDescent="0.35">
      <c r="B3" s="13" t="s">
        <v>115</v>
      </c>
      <c r="C3" s="1" t="s">
        <v>116</v>
      </c>
      <c r="D3" s="1" t="s">
        <v>117</v>
      </c>
      <c r="E3" s="1" t="s">
        <v>117</v>
      </c>
      <c r="F3" s="1" t="s">
        <v>117</v>
      </c>
      <c r="G3" s="1" t="s">
        <v>116</v>
      </c>
      <c r="H3" s="1" t="s">
        <v>116</v>
      </c>
      <c r="I3" s="1" t="s">
        <v>117</v>
      </c>
      <c r="J3" s="1" t="s">
        <v>117</v>
      </c>
    </row>
    <row r="4" spans="2:10" x14ac:dyDescent="0.35">
      <c r="B4" s="13" t="s">
        <v>118</v>
      </c>
      <c r="C4" s="1" t="s">
        <v>119</v>
      </c>
      <c r="D4" s="1" t="s">
        <v>120</v>
      </c>
      <c r="E4" s="1" t="s">
        <v>120</v>
      </c>
      <c r="F4" s="1" t="s">
        <v>120</v>
      </c>
      <c r="G4" s="1" t="s">
        <v>119</v>
      </c>
      <c r="H4" s="1" t="s">
        <v>119</v>
      </c>
      <c r="I4" s="1" t="s">
        <v>119</v>
      </c>
      <c r="J4" s="1" t="s">
        <v>121</v>
      </c>
    </row>
    <row r="5" spans="2:10" ht="19" x14ac:dyDescent="0.35">
      <c r="B5" s="13" t="s">
        <v>122</v>
      </c>
      <c r="C5" s="1" t="s">
        <v>123</v>
      </c>
      <c r="D5" s="2" t="s">
        <v>124</v>
      </c>
      <c r="E5" s="2" t="s">
        <v>125</v>
      </c>
      <c r="F5" s="2" t="s">
        <v>125</v>
      </c>
      <c r="G5" s="2" t="s">
        <v>124</v>
      </c>
      <c r="H5" s="1" t="s">
        <v>126</v>
      </c>
      <c r="I5" s="1" t="s">
        <v>127</v>
      </c>
      <c r="J5" s="1" t="s">
        <v>128</v>
      </c>
    </row>
    <row r="6" spans="2:10" ht="133.75" customHeight="1" x14ac:dyDescent="0.35">
      <c r="B6" s="13" t="s">
        <v>129</v>
      </c>
      <c r="C6" s="1" t="s">
        <v>130</v>
      </c>
      <c r="D6" s="2" t="s">
        <v>131</v>
      </c>
      <c r="E6" s="2" t="s">
        <v>131</v>
      </c>
      <c r="F6" s="2" t="s">
        <v>131</v>
      </c>
      <c r="G6" s="2" t="s">
        <v>132</v>
      </c>
      <c r="H6" s="1" t="s">
        <v>133</v>
      </c>
      <c r="I6" s="4" t="s">
        <v>134</v>
      </c>
      <c r="J6" s="1" t="s">
        <v>135</v>
      </c>
    </row>
    <row r="7" spans="2:10" x14ac:dyDescent="0.35">
      <c r="B7" s="13" t="s">
        <v>136</v>
      </c>
      <c r="C7" s="3">
        <v>25000</v>
      </c>
      <c r="D7" s="3">
        <v>50000</v>
      </c>
      <c r="E7" s="3">
        <v>20000</v>
      </c>
      <c r="F7" s="3">
        <v>20000</v>
      </c>
      <c r="G7" s="3">
        <v>50000</v>
      </c>
      <c r="H7" s="3">
        <v>50000</v>
      </c>
      <c r="I7" s="3">
        <v>20000</v>
      </c>
      <c r="J7" s="3">
        <v>25000</v>
      </c>
    </row>
    <row r="8" spans="2:10" x14ac:dyDescent="0.35">
      <c r="B8" s="13" t="s">
        <v>137</v>
      </c>
      <c r="C8" s="3" t="s">
        <v>138</v>
      </c>
      <c r="D8" s="3" t="s">
        <v>138</v>
      </c>
      <c r="E8" s="3" t="s">
        <v>138</v>
      </c>
      <c r="F8" s="3" t="s">
        <v>138</v>
      </c>
      <c r="G8" s="3" t="s">
        <v>138</v>
      </c>
      <c r="H8" s="3" t="s">
        <v>138</v>
      </c>
      <c r="I8" s="3" t="s">
        <v>138</v>
      </c>
      <c r="J8" s="3">
        <v>10000000</v>
      </c>
    </row>
    <row r="9" spans="2:10" ht="28.5" x14ac:dyDescent="0.35">
      <c r="B9" s="13" t="s">
        <v>139</v>
      </c>
      <c r="C9" s="3" t="s">
        <v>140</v>
      </c>
      <c r="D9" s="3" t="s">
        <v>62</v>
      </c>
      <c r="E9" s="3" t="s">
        <v>141</v>
      </c>
      <c r="F9" s="3" t="s">
        <v>142</v>
      </c>
      <c r="G9" s="3" t="s">
        <v>143</v>
      </c>
      <c r="H9" s="3" t="s">
        <v>144</v>
      </c>
      <c r="I9" s="3" t="s">
        <v>145</v>
      </c>
      <c r="J9" s="3" t="s">
        <v>146</v>
      </c>
    </row>
    <row r="10" spans="2:10" x14ac:dyDescent="0.35">
      <c r="B10" s="13" t="s">
        <v>147</v>
      </c>
      <c r="C10" s="3" t="s">
        <v>148</v>
      </c>
      <c r="D10" s="3" t="s">
        <v>62</v>
      </c>
      <c r="E10" s="1">
        <v>88</v>
      </c>
      <c r="F10" s="1">
        <v>88</v>
      </c>
      <c r="G10" s="1" t="s">
        <v>149</v>
      </c>
      <c r="H10" s="1" t="s">
        <v>150</v>
      </c>
      <c r="I10" s="1" t="s">
        <v>151</v>
      </c>
      <c r="J10" s="1" t="s">
        <v>152</v>
      </c>
    </row>
    <row r="11" spans="2:10" ht="95" x14ac:dyDescent="0.35">
      <c r="B11" s="13" t="s">
        <v>153</v>
      </c>
      <c r="C11" s="3" t="s">
        <v>154</v>
      </c>
      <c r="D11" s="3" t="s">
        <v>62</v>
      </c>
      <c r="E11" s="3" t="s">
        <v>62</v>
      </c>
      <c r="F11" s="3" t="s">
        <v>62</v>
      </c>
      <c r="G11" s="1" t="s">
        <v>155</v>
      </c>
      <c r="H11" s="1" t="s">
        <v>156</v>
      </c>
      <c r="I11" s="3" t="s">
        <v>62</v>
      </c>
      <c r="J11" s="3" t="s">
        <v>62</v>
      </c>
    </row>
    <row r="12" spans="2:10" ht="19" x14ac:dyDescent="0.35">
      <c r="B12" s="13" t="s">
        <v>157</v>
      </c>
      <c r="C12" s="8">
        <v>5</v>
      </c>
      <c r="D12" s="8">
        <v>5</v>
      </c>
      <c r="E12" s="8">
        <v>5</v>
      </c>
      <c r="F12" s="8">
        <v>5</v>
      </c>
      <c r="G12" s="8">
        <v>5</v>
      </c>
      <c r="H12" s="8">
        <v>4.5</v>
      </c>
      <c r="I12" s="8">
        <v>3</v>
      </c>
      <c r="J12" s="8">
        <v>7.65</v>
      </c>
    </row>
    <row r="13" spans="2:10" ht="19" x14ac:dyDescent="0.35">
      <c r="B13" s="13" t="s">
        <v>158</v>
      </c>
      <c r="C13" s="5">
        <v>5.0000000000000001E-3</v>
      </c>
      <c r="D13" s="5">
        <v>5.0000000000000001E-3</v>
      </c>
      <c r="E13" s="5">
        <v>5.0000000000000001E-3</v>
      </c>
      <c r="F13" s="5">
        <v>5.0000000000000001E-3</v>
      </c>
      <c r="G13" s="5">
        <v>5.0000000000000001E-3</v>
      </c>
      <c r="H13" s="9">
        <v>4.5</v>
      </c>
      <c r="I13" s="5">
        <v>3.0000000000000001E-3</v>
      </c>
      <c r="J13" s="5">
        <v>8.9999999999999993E-3</v>
      </c>
    </row>
    <row r="14" spans="2:10" ht="19" x14ac:dyDescent="0.35">
      <c r="B14" s="13" t="s">
        <v>159</v>
      </c>
      <c r="C14" s="3" t="s">
        <v>160</v>
      </c>
      <c r="D14" s="3" t="s">
        <v>160</v>
      </c>
      <c r="E14" s="3" t="s">
        <v>160</v>
      </c>
      <c r="F14" s="3" t="s">
        <v>160</v>
      </c>
      <c r="G14" s="3" t="s">
        <v>160</v>
      </c>
      <c r="H14" s="3" t="s">
        <v>161</v>
      </c>
      <c r="I14" s="3" t="s">
        <v>160</v>
      </c>
      <c r="J14" s="3" t="s">
        <v>160</v>
      </c>
    </row>
    <row r="15" spans="2:10" ht="19" x14ac:dyDescent="0.35">
      <c r="B15" s="13" t="s">
        <v>162</v>
      </c>
      <c r="C15" s="3" t="s">
        <v>163</v>
      </c>
      <c r="D15" s="3" t="s">
        <v>62</v>
      </c>
      <c r="E15" s="3" t="s">
        <v>163</v>
      </c>
      <c r="F15" s="3" t="s">
        <v>163</v>
      </c>
      <c r="G15" s="1" t="s">
        <v>62</v>
      </c>
      <c r="H15" s="1" t="s">
        <v>163</v>
      </c>
      <c r="I15" s="1" t="s">
        <v>62</v>
      </c>
      <c r="J15" s="1" t="s">
        <v>163</v>
      </c>
    </row>
    <row r="16" spans="2:10" ht="19" x14ac:dyDescent="0.35">
      <c r="B16" s="13" t="s">
        <v>164</v>
      </c>
      <c r="C16" s="3" t="s">
        <v>165</v>
      </c>
      <c r="D16" s="3" t="s">
        <v>62</v>
      </c>
      <c r="E16" s="3" t="s">
        <v>166</v>
      </c>
      <c r="F16" s="3" t="s">
        <v>166</v>
      </c>
      <c r="G16" s="1" t="s">
        <v>62</v>
      </c>
      <c r="H16" s="3" t="s">
        <v>165</v>
      </c>
      <c r="I16" s="3" t="s">
        <v>62</v>
      </c>
      <c r="J16" s="3" t="s">
        <v>166</v>
      </c>
    </row>
    <row r="17" spans="2:10" ht="28.5" x14ac:dyDescent="0.35">
      <c r="B17" s="13" t="s">
        <v>167</v>
      </c>
      <c r="C17" s="1" t="s">
        <v>168</v>
      </c>
      <c r="D17" s="3" t="s">
        <v>62</v>
      </c>
      <c r="E17" s="3" t="s">
        <v>169</v>
      </c>
      <c r="F17" s="3" t="s">
        <v>169</v>
      </c>
      <c r="G17" s="1" t="s">
        <v>62</v>
      </c>
      <c r="H17" s="3" t="s">
        <v>169</v>
      </c>
      <c r="I17" s="3" t="s">
        <v>62</v>
      </c>
      <c r="J17" s="1" t="s">
        <v>170</v>
      </c>
    </row>
    <row r="18" spans="2:10" ht="19" x14ac:dyDescent="0.35">
      <c r="B18" s="13" t="s">
        <v>171</v>
      </c>
      <c r="C18" s="1">
        <v>2</v>
      </c>
      <c r="D18" s="3" t="s">
        <v>62</v>
      </c>
      <c r="E18" s="1">
        <v>1</v>
      </c>
      <c r="F18" s="1">
        <v>1</v>
      </c>
      <c r="G18" s="1" t="s">
        <v>62</v>
      </c>
      <c r="H18" s="1">
        <v>2</v>
      </c>
      <c r="I18" s="3" t="s">
        <v>62</v>
      </c>
      <c r="J18" s="1">
        <v>2</v>
      </c>
    </row>
    <row r="19" spans="2:10" ht="114" x14ac:dyDescent="0.35">
      <c r="B19" s="13" t="s">
        <v>172</v>
      </c>
      <c r="C19" s="3" t="s">
        <v>173</v>
      </c>
      <c r="D19" s="3" t="s">
        <v>62</v>
      </c>
      <c r="E19" s="1" t="s">
        <v>174</v>
      </c>
      <c r="F19" s="1" t="s">
        <v>174</v>
      </c>
      <c r="G19" s="1" t="s">
        <v>62</v>
      </c>
      <c r="H19" s="1" t="s">
        <v>175</v>
      </c>
      <c r="I19" s="1" t="s">
        <v>62</v>
      </c>
      <c r="J19" s="1" t="s">
        <v>176</v>
      </c>
    </row>
    <row r="20" spans="2:10" x14ac:dyDescent="0.35">
      <c r="B20" s="13" t="s">
        <v>177</v>
      </c>
      <c r="C20" s="3" t="s">
        <v>163</v>
      </c>
      <c r="D20" s="3" t="s">
        <v>62</v>
      </c>
      <c r="E20" s="3" t="s">
        <v>163</v>
      </c>
      <c r="F20" s="3" t="s">
        <v>163</v>
      </c>
      <c r="G20" s="3" t="s">
        <v>62</v>
      </c>
      <c r="H20" s="3" t="s">
        <v>163</v>
      </c>
      <c r="I20" s="3" t="s">
        <v>62</v>
      </c>
      <c r="J20" s="3" t="s">
        <v>163</v>
      </c>
    </row>
    <row r="21" spans="2:10" x14ac:dyDescent="0.35">
      <c r="B21" s="13" t="s">
        <v>178</v>
      </c>
      <c r="C21" s="1" t="s">
        <v>179</v>
      </c>
      <c r="D21" s="3" t="s">
        <v>62</v>
      </c>
      <c r="E21" s="1" t="s">
        <v>180</v>
      </c>
      <c r="F21" s="1" t="s">
        <v>180</v>
      </c>
      <c r="G21" s="3" t="s">
        <v>62</v>
      </c>
      <c r="H21" s="1" t="s">
        <v>179</v>
      </c>
      <c r="I21" s="3" t="s">
        <v>62</v>
      </c>
      <c r="J21" s="1" t="s">
        <v>181</v>
      </c>
    </row>
    <row r="22" spans="2:10" ht="19" x14ac:dyDescent="0.35">
      <c r="B22" s="13" t="s">
        <v>182</v>
      </c>
      <c r="C22" s="4" t="s">
        <v>183</v>
      </c>
      <c r="D22" s="3" t="s">
        <v>62</v>
      </c>
      <c r="E22" s="4" t="s">
        <v>184</v>
      </c>
      <c r="F22" s="4" t="s">
        <v>184</v>
      </c>
      <c r="G22" s="3" t="s">
        <v>62</v>
      </c>
      <c r="H22" s="1">
        <v>10</v>
      </c>
      <c r="I22" s="3" t="s">
        <v>62</v>
      </c>
      <c r="J22" s="1">
        <v>10</v>
      </c>
    </row>
    <row r="23" spans="2:10" ht="54" customHeight="1" x14ac:dyDescent="0.35">
      <c r="B23" s="13" t="s">
        <v>185</v>
      </c>
      <c r="C23" s="3" t="s">
        <v>186</v>
      </c>
      <c r="D23" s="3" t="s">
        <v>62</v>
      </c>
      <c r="E23" s="3" t="s">
        <v>187</v>
      </c>
      <c r="F23" s="3" t="s">
        <v>187</v>
      </c>
      <c r="G23" s="3" t="s">
        <v>62</v>
      </c>
      <c r="H23" s="3" t="s">
        <v>188</v>
      </c>
      <c r="I23" s="3" t="s">
        <v>62</v>
      </c>
      <c r="J23" s="3" t="s">
        <v>189</v>
      </c>
    </row>
    <row r="24" spans="2:10" x14ac:dyDescent="0.35">
      <c r="B24" s="13" t="s">
        <v>190</v>
      </c>
      <c r="C24" s="3" t="s">
        <v>163</v>
      </c>
      <c r="D24" s="3" t="s">
        <v>62</v>
      </c>
      <c r="E24" s="3" t="s">
        <v>163</v>
      </c>
      <c r="F24" s="3" t="s">
        <v>163</v>
      </c>
      <c r="G24" s="3" t="s">
        <v>62</v>
      </c>
      <c r="H24" s="3" t="s">
        <v>163</v>
      </c>
      <c r="I24" s="3" t="s">
        <v>163</v>
      </c>
      <c r="J24" s="3" t="s">
        <v>163</v>
      </c>
    </row>
    <row r="25" spans="2:10" ht="19" x14ac:dyDescent="0.35">
      <c r="B25" s="13" t="s">
        <v>191</v>
      </c>
      <c r="C25" s="3" t="s">
        <v>192</v>
      </c>
      <c r="D25" s="3" t="s">
        <v>62</v>
      </c>
      <c r="E25" s="3" t="s">
        <v>192</v>
      </c>
      <c r="F25" s="3" t="s">
        <v>192</v>
      </c>
      <c r="G25" s="3" t="s">
        <v>62</v>
      </c>
      <c r="H25" s="3" t="s">
        <v>192</v>
      </c>
      <c r="I25" s="3" t="s">
        <v>193</v>
      </c>
      <c r="J25" s="3" t="s">
        <v>193</v>
      </c>
    </row>
    <row r="26" spans="2:10" ht="21.65" customHeight="1" x14ac:dyDescent="0.35">
      <c r="B26" s="13" t="s">
        <v>194</v>
      </c>
      <c r="C26" s="3" t="s">
        <v>195</v>
      </c>
      <c r="D26" s="3" t="s">
        <v>62</v>
      </c>
      <c r="E26" s="3" t="s">
        <v>62</v>
      </c>
      <c r="F26" s="3" t="s">
        <v>62</v>
      </c>
      <c r="G26" s="3" t="s">
        <v>62</v>
      </c>
      <c r="H26" s="3" t="s">
        <v>62</v>
      </c>
      <c r="I26" s="3" t="s">
        <v>62</v>
      </c>
      <c r="J26" s="3" t="s">
        <v>62</v>
      </c>
    </row>
    <row r="27" spans="2:10" ht="93.65" customHeight="1" x14ac:dyDescent="0.35">
      <c r="B27" s="13" t="s">
        <v>196</v>
      </c>
      <c r="C27" s="3" t="s">
        <v>197</v>
      </c>
      <c r="D27" s="3" t="s">
        <v>62</v>
      </c>
      <c r="E27" s="3" t="s">
        <v>62</v>
      </c>
      <c r="F27" s="3" t="s">
        <v>62</v>
      </c>
      <c r="G27" s="3" t="s">
        <v>62</v>
      </c>
      <c r="H27" s="3" t="s">
        <v>62</v>
      </c>
      <c r="I27" s="3" t="s">
        <v>62</v>
      </c>
      <c r="J27" s="3" t="s">
        <v>62</v>
      </c>
    </row>
    <row r="28" spans="2:10" ht="38" x14ac:dyDescent="0.35">
      <c r="B28" s="13" t="s">
        <v>198</v>
      </c>
      <c r="C28" s="3" t="s">
        <v>62</v>
      </c>
      <c r="D28" s="3" t="s">
        <v>62</v>
      </c>
      <c r="E28" s="3" t="s">
        <v>62</v>
      </c>
      <c r="F28" s="3" t="s">
        <v>62</v>
      </c>
      <c r="G28" s="3" t="s">
        <v>62</v>
      </c>
      <c r="H28" s="3" t="s">
        <v>62</v>
      </c>
      <c r="I28" s="3" t="s">
        <v>199</v>
      </c>
      <c r="J28" s="3" t="s">
        <v>62</v>
      </c>
    </row>
    <row r="29" spans="2:10" ht="66.5" x14ac:dyDescent="0.35">
      <c r="B29" s="13" t="s">
        <v>200</v>
      </c>
      <c r="C29" s="3" t="s">
        <v>62</v>
      </c>
      <c r="D29" s="3" t="s">
        <v>62</v>
      </c>
      <c r="E29" s="3" t="s">
        <v>62</v>
      </c>
      <c r="F29" s="3" t="s">
        <v>62</v>
      </c>
      <c r="G29" s="3" t="s">
        <v>62</v>
      </c>
      <c r="H29" s="3" t="s">
        <v>62</v>
      </c>
      <c r="I29" s="3" t="s">
        <v>201</v>
      </c>
      <c r="J29" s="3" t="s">
        <v>62</v>
      </c>
    </row>
    <row r="30" spans="2:10" ht="80.5" customHeight="1" x14ac:dyDescent="0.35">
      <c r="B30" s="13" t="s">
        <v>202</v>
      </c>
      <c r="C30" s="5" t="s">
        <v>203</v>
      </c>
      <c r="D30" s="6" t="s">
        <v>204</v>
      </c>
      <c r="E30" s="7" t="s">
        <v>204</v>
      </c>
      <c r="F30" s="7" t="s">
        <v>204</v>
      </c>
      <c r="G30" s="3" t="s">
        <v>205</v>
      </c>
      <c r="H30" s="3" t="s">
        <v>206</v>
      </c>
      <c r="I30" s="5" t="s">
        <v>207</v>
      </c>
      <c r="J30" s="3" t="s">
        <v>208</v>
      </c>
    </row>
    <row r="31" spans="2:10" ht="60.65" customHeight="1" x14ac:dyDescent="0.35">
      <c r="B31" s="13" t="s">
        <v>209</v>
      </c>
      <c r="C31" s="6" t="s">
        <v>210</v>
      </c>
      <c r="D31" s="6" t="s">
        <v>211</v>
      </c>
      <c r="E31" s="7" t="s">
        <v>211</v>
      </c>
      <c r="F31" s="7" t="s">
        <v>211</v>
      </c>
      <c r="G31" s="7" t="s">
        <v>212</v>
      </c>
      <c r="H31" s="7" t="s">
        <v>213</v>
      </c>
      <c r="I31" s="3" t="s">
        <v>214</v>
      </c>
      <c r="J31" s="7" t="s">
        <v>215</v>
      </c>
    </row>
    <row r="32" spans="2:10" ht="141.65" customHeight="1" x14ac:dyDescent="0.35">
      <c r="B32" s="13" t="s">
        <v>216</v>
      </c>
      <c r="C32" s="7" t="s">
        <v>217</v>
      </c>
      <c r="D32" s="3" t="s">
        <v>62</v>
      </c>
      <c r="E32" s="1" t="s">
        <v>218</v>
      </c>
      <c r="F32" s="1" t="s">
        <v>219</v>
      </c>
      <c r="G32" s="1" t="s">
        <v>220</v>
      </c>
      <c r="H32" s="1" t="s">
        <v>221</v>
      </c>
      <c r="I32" s="1" t="s">
        <v>222</v>
      </c>
      <c r="J32" s="1" t="s">
        <v>223</v>
      </c>
    </row>
    <row r="33" spans="2:10" ht="28.5" x14ac:dyDescent="0.35">
      <c r="B33" s="13" t="s">
        <v>224</v>
      </c>
      <c r="C33" s="7" t="s">
        <v>168</v>
      </c>
      <c r="D33" s="7" t="s">
        <v>170</v>
      </c>
      <c r="E33" s="7" t="s">
        <v>170</v>
      </c>
      <c r="F33" s="7" t="s">
        <v>170</v>
      </c>
      <c r="G33" s="7" t="s">
        <v>170</v>
      </c>
      <c r="H33" s="7" t="s">
        <v>170</v>
      </c>
      <c r="I33" s="7" t="s">
        <v>170</v>
      </c>
      <c r="J33" s="7" t="s">
        <v>170</v>
      </c>
    </row>
    <row r="34" spans="2:10" ht="140.5" customHeight="1" x14ac:dyDescent="0.35">
      <c r="B34" s="13" t="s">
        <v>225</v>
      </c>
      <c r="C34" s="4" t="s">
        <v>226</v>
      </c>
      <c r="D34" s="1" t="s">
        <v>227</v>
      </c>
      <c r="E34" s="1" t="s">
        <v>228</v>
      </c>
      <c r="F34" s="1" t="s">
        <v>228</v>
      </c>
      <c r="G34" s="4" t="s">
        <v>229</v>
      </c>
      <c r="H34" s="4" t="s">
        <v>230</v>
      </c>
      <c r="I34" s="1" t="s">
        <v>231</v>
      </c>
      <c r="J34" s="4" t="s">
        <v>232</v>
      </c>
    </row>
    <row r="35" spans="2:10" ht="123.5" x14ac:dyDescent="0.35">
      <c r="B35" s="13" t="s">
        <v>233</v>
      </c>
      <c r="C35" s="4" t="s">
        <v>234</v>
      </c>
      <c r="D35" s="1" t="s">
        <v>227</v>
      </c>
      <c r="E35" s="1" t="s">
        <v>235</v>
      </c>
      <c r="F35" s="1" t="s">
        <v>235</v>
      </c>
      <c r="G35" s="4" t="s">
        <v>229</v>
      </c>
      <c r="H35" s="4" t="s">
        <v>236</v>
      </c>
      <c r="I35" s="4" t="s">
        <v>237</v>
      </c>
      <c r="J35" s="4" t="s">
        <v>238</v>
      </c>
    </row>
    <row r="36" spans="2:10" x14ac:dyDescent="0.35">
      <c r="B36" s="83" t="s">
        <v>239</v>
      </c>
      <c r="C36" s="1" t="s">
        <v>240</v>
      </c>
      <c r="D36" s="1" t="s">
        <v>241</v>
      </c>
      <c r="E36" s="1" t="s">
        <v>241</v>
      </c>
      <c r="F36" s="1" t="s">
        <v>241</v>
      </c>
      <c r="G36" s="1" t="s">
        <v>241</v>
      </c>
      <c r="H36" s="1" t="s">
        <v>241</v>
      </c>
      <c r="I36" s="1" t="s">
        <v>241</v>
      </c>
      <c r="J36" s="1" t="s">
        <v>241</v>
      </c>
    </row>
    <row r="37" spans="2:10" x14ac:dyDescent="0.35">
      <c r="B37" s="83" t="s">
        <v>242</v>
      </c>
      <c r="C37" s="1" t="s">
        <v>243</v>
      </c>
      <c r="D37" s="1">
        <v>65</v>
      </c>
      <c r="E37" s="1">
        <v>85</v>
      </c>
      <c r="F37" s="1">
        <v>85</v>
      </c>
      <c r="G37" s="1" t="s">
        <v>243</v>
      </c>
      <c r="H37" s="1" t="s">
        <v>243</v>
      </c>
      <c r="I37" s="1" t="s">
        <v>243</v>
      </c>
      <c r="J37" s="1">
        <v>99</v>
      </c>
    </row>
    <row r="38" spans="2:10" ht="409.4" hidden="1" customHeight="1" x14ac:dyDescent="0.35">
      <c r="B38" s="83" t="s">
        <v>244</v>
      </c>
      <c r="C38" s="4" t="s">
        <v>245</v>
      </c>
      <c r="D38" s="4" t="s">
        <v>246</v>
      </c>
      <c r="E38" s="4" t="s">
        <v>246</v>
      </c>
      <c r="F38" s="4" t="s">
        <v>246</v>
      </c>
      <c r="G38" s="4" t="s">
        <v>247</v>
      </c>
      <c r="H38" s="4" t="s">
        <v>248</v>
      </c>
      <c r="I38" s="1" t="s">
        <v>249</v>
      </c>
      <c r="J38" s="4" t="s">
        <v>250</v>
      </c>
    </row>
    <row r="39" spans="2:10" ht="190" x14ac:dyDescent="0.35">
      <c r="B39" s="83" t="s">
        <v>251</v>
      </c>
      <c r="C39" s="4" t="s">
        <v>252</v>
      </c>
      <c r="D39" s="4" t="s">
        <v>253</v>
      </c>
      <c r="E39" s="4" t="s">
        <v>253</v>
      </c>
      <c r="F39" s="4" t="s">
        <v>253</v>
      </c>
      <c r="G39" s="4" t="s">
        <v>254</v>
      </c>
      <c r="H39" s="4" t="s">
        <v>255</v>
      </c>
      <c r="I39" s="1" t="s">
        <v>256</v>
      </c>
      <c r="J39" s="4" t="s">
        <v>257</v>
      </c>
    </row>
    <row r="40" spans="2:10" ht="19" x14ac:dyDescent="0.35">
      <c r="B40" s="83" t="s">
        <v>258</v>
      </c>
      <c r="C40" s="4" t="s">
        <v>259</v>
      </c>
      <c r="D40" s="4" t="s">
        <v>62</v>
      </c>
      <c r="E40" s="4" t="s">
        <v>62</v>
      </c>
      <c r="F40" s="4" t="s">
        <v>62</v>
      </c>
      <c r="G40" s="4" t="s">
        <v>260</v>
      </c>
      <c r="H40" s="4" t="s">
        <v>261</v>
      </c>
      <c r="I40" s="4" t="s">
        <v>262</v>
      </c>
      <c r="J40" s="4" t="s">
        <v>263</v>
      </c>
    </row>
    <row r="41" spans="2:10" ht="19" x14ac:dyDescent="0.35">
      <c r="B41" s="83" t="s">
        <v>264</v>
      </c>
      <c r="C41" s="4" t="s">
        <v>265</v>
      </c>
      <c r="D41" s="4" t="s">
        <v>266</v>
      </c>
      <c r="E41" s="4" t="s">
        <v>266</v>
      </c>
      <c r="F41" s="4" t="s">
        <v>266</v>
      </c>
      <c r="G41" s="4" t="s">
        <v>267</v>
      </c>
      <c r="H41" s="4" t="s">
        <v>268</v>
      </c>
      <c r="I41" s="1" t="s">
        <v>269</v>
      </c>
      <c r="J41" s="1" t="s">
        <v>270</v>
      </c>
    </row>
    <row r="42" spans="2:10" ht="19" x14ac:dyDescent="0.35">
      <c r="B42" s="84" t="s">
        <v>271</v>
      </c>
      <c r="C42" s="1" t="s">
        <v>240</v>
      </c>
      <c r="D42" s="1" t="s">
        <v>240</v>
      </c>
      <c r="E42" s="1" t="s">
        <v>241</v>
      </c>
      <c r="F42" s="1" t="s">
        <v>241</v>
      </c>
      <c r="G42" s="1" t="s">
        <v>240</v>
      </c>
      <c r="H42" s="1" t="s">
        <v>240</v>
      </c>
      <c r="I42" s="1" t="s">
        <v>240</v>
      </c>
      <c r="J42" s="1" t="s">
        <v>240</v>
      </c>
    </row>
    <row r="43" spans="2:10" x14ac:dyDescent="0.35">
      <c r="B43" s="85" t="s">
        <v>272</v>
      </c>
      <c r="C43" s="1">
        <v>36</v>
      </c>
      <c r="D43" s="1">
        <v>36</v>
      </c>
      <c r="E43" s="1">
        <v>38</v>
      </c>
      <c r="F43" s="1">
        <v>38</v>
      </c>
      <c r="G43" s="1">
        <v>55</v>
      </c>
      <c r="H43" s="1">
        <v>63</v>
      </c>
      <c r="I43" s="1">
        <v>36</v>
      </c>
      <c r="J43" s="1">
        <v>56</v>
      </c>
    </row>
    <row r="44" spans="2:10" ht="19" x14ac:dyDescent="0.35">
      <c r="B44" s="84" t="s">
        <v>273</v>
      </c>
      <c r="C44" s="3">
        <v>2000000</v>
      </c>
      <c r="D44" s="3">
        <v>2000000</v>
      </c>
      <c r="E44" s="3">
        <v>2000000</v>
      </c>
      <c r="F44" s="3">
        <v>2000000</v>
      </c>
      <c r="G44" s="3">
        <v>3000000</v>
      </c>
      <c r="H44" s="3">
        <v>2000000</v>
      </c>
      <c r="I44" s="3">
        <v>3600000</v>
      </c>
      <c r="J44" s="3">
        <v>2000000</v>
      </c>
    </row>
    <row r="45" spans="2:10" x14ac:dyDescent="0.35">
      <c r="B45" s="83" t="s">
        <v>274</v>
      </c>
      <c r="C45" s="1" t="s">
        <v>240</v>
      </c>
      <c r="D45" s="1" t="s">
        <v>62</v>
      </c>
      <c r="E45" s="1" t="s">
        <v>62</v>
      </c>
      <c r="F45" s="1" t="s">
        <v>62</v>
      </c>
      <c r="G45" s="1" t="s">
        <v>240</v>
      </c>
      <c r="H45" s="1" t="s">
        <v>240</v>
      </c>
      <c r="I45" s="1" t="s">
        <v>240</v>
      </c>
      <c r="J45" s="1" t="s">
        <v>240</v>
      </c>
    </row>
    <row r="46" spans="2:10" ht="19" x14ac:dyDescent="0.35">
      <c r="B46" s="86" t="s">
        <v>275</v>
      </c>
      <c r="C46" s="1">
        <v>72</v>
      </c>
      <c r="D46" s="1" t="s">
        <v>62</v>
      </c>
      <c r="E46" s="1" t="s">
        <v>62</v>
      </c>
      <c r="F46" s="1" t="s">
        <v>62</v>
      </c>
      <c r="G46" s="1">
        <v>82</v>
      </c>
      <c r="H46" s="1">
        <v>76</v>
      </c>
      <c r="I46" s="1">
        <v>66</v>
      </c>
      <c r="J46" s="1">
        <v>70</v>
      </c>
    </row>
    <row r="47" spans="2:10" x14ac:dyDescent="0.35">
      <c r="B47" s="86" t="s">
        <v>276</v>
      </c>
      <c r="C47" s="1">
        <v>59</v>
      </c>
      <c r="D47" s="1" t="s">
        <v>62</v>
      </c>
      <c r="E47" s="1" t="s">
        <v>62</v>
      </c>
      <c r="F47" s="1" t="s">
        <v>62</v>
      </c>
      <c r="G47" s="1">
        <v>55</v>
      </c>
      <c r="H47" s="1">
        <v>63</v>
      </c>
      <c r="I47" s="1">
        <v>66</v>
      </c>
      <c r="J47" s="1">
        <v>20</v>
      </c>
    </row>
    <row r="48" spans="2:10" ht="19" x14ac:dyDescent="0.35">
      <c r="B48" s="86" t="s">
        <v>277</v>
      </c>
      <c r="C48" s="1">
        <f>SUM(C46:C47)</f>
        <v>131</v>
      </c>
      <c r="D48" s="1" t="s">
        <v>62</v>
      </c>
      <c r="E48" s="1" t="s">
        <v>62</v>
      </c>
      <c r="F48" s="1" t="s">
        <v>62</v>
      </c>
      <c r="G48" s="1">
        <f>SUM(G46:G47)</f>
        <v>137</v>
      </c>
      <c r="H48" s="1">
        <f>SUM(H46:H47)</f>
        <v>139</v>
      </c>
      <c r="I48" s="1">
        <f>SUM(I46:I47)</f>
        <v>132</v>
      </c>
      <c r="J48" s="1">
        <f>SUM(J46:J47)</f>
        <v>90</v>
      </c>
    </row>
    <row r="49" spans="2:10" ht="19" x14ac:dyDescent="0.35">
      <c r="B49" s="86" t="s">
        <v>278</v>
      </c>
      <c r="C49" s="1">
        <v>11</v>
      </c>
      <c r="D49" s="1" t="s">
        <v>62</v>
      </c>
      <c r="E49" s="1" t="s">
        <v>62</v>
      </c>
      <c r="F49" s="1" t="s">
        <v>62</v>
      </c>
      <c r="G49" s="1">
        <v>12</v>
      </c>
      <c r="H49" s="1">
        <v>11</v>
      </c>
      <c r="I49" s="1">
        <v>15</v>
      </c>
      <c r="J49" s="1">
        <v>13</v>
      </c>
    </row>
    <row r="50" spans="2:10" ht="19" x14ac:dyDescent="0.35">
      <c r="B50" s="86" t="s">
        <v>279</v>
      </c>
      <c r="C50" s="1">
        <v>16</v>
      </c>
      <c r="D50" s="1" t="s">
        <v>62</v>
      </c>
      <c r="E50" s="1" t="s">
        <v>62</v>
      </c>
      <c r="F50" s="1" t="s">
        <v>62</v>
      </c>
      <c r="G50" s="1">
        <v>12</v>
      </c>
      <c r="H50" s="1">
        <v>11</v>
      </c>
      <c r="I50" s="1">
        <v>10</v>
      </c>
      <c r="J50" s="1">
        <v>10</v>
      </c>
    </row>
    <row r="51" spans="2:10" x14ac:dyDescent="0.35">
      <c r="B51" s="86" t="s">
        <v>280</v>
      </c>
      <c r="C51" s="1" t="s">
        <v>62</v>
      </c>
      <c r="D51" s="1" t="s">
        <v>62</v>
      </c>
      <c r="E51" s="1" t="s">
        <v>62</v>
      </c>
      <c r="F51" s="1" t="s">
        <v>62</v>
      </c>
      <c r="G51" s="1" t="s">
        <v>62</v>
      </c>
      <c r="H51" s="1" t="s">
        <v>62</v>
      </c>
      <c r="I51" s="1">
        <v>5</v>
      </c>
      <c r="J51" s="1" t="s">
        <v>62</v>
      </c>
    </row>
    <row r="52" spans="2:10" ht="19" x14ac:dyDescent="0.35">
      <c r="B52" s="86" t="s">
        <v>281</v>
      </c>
      <c r="C52" s="1" t="s">
        <v>62</v>
      </c>
      <c r="D52" s="1" t="s">
        <v>62</v>
      </c>
      <c r="E52" s="1" t="s">
        <v>62</v>
      </c>
      <c r="F52" s="1" t="s">
        <v>62</v>
      </c>
      <c r="G52" s="1" t="s">
        <v>62</v>
      </c>
      <c r="H52" s="1" t="s">
        <v>282</v>
      </c>
      <c r="I52" s="1" t="s">
        <v>283</v>
      </c>
      <c r="J52" s="1" t="s">
        <v>62</v>
      </c>
    </row>
  </sheetData>
  <autoFilter ref="B2:J52" xr:uid="{DEF80F88-42DA-4873-BD84-9FF4DB368566}"/>
  <mergeCells count="1">
    <mergeCell ref="B1:J1"/>
  </mergeCells>
  <pageMargins left="0.7" right="0.7" top="0.75" bottom="0.75" header="0.3" footer="0.3"/>
  <pageSetup orientation="portrait" r:id="rId1"/>
  <headerFooter>
    <oddFooter>&amp;L_x000D_&amp;1#&amp;"Calibri"&amp;8&amp;K0000FF Internal</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60AD-583C-40F4-B8B3-1E7E6E62F5D2}">
  <sheetPr>
    <tabColor theme="9" tint="0.79998168889431442"/>
  </sheetPr>
  <dimension ref="A1:I54"/>
  <sheetViews>
    <sheetView showGridLines="0" zoomScale="75" zoomScaleNormal="75" workbookViewId="0">
      <pane ySplit="2" topLeftCell="A3" activePane="bottomLeft" state="frozen"/>
      <selection activeCell="I26" sqref="I26"/>
      <selection pane="bottomLeft" activeCell="J15" sqref="J15"/>
    </sheetView>
  </sheetViews>
  <sheetFormatPr defaultRowHeight="14.5" x14ac:dyDescent="0.35"/>
  <cols>
    <col min="1" max="9" width="15.81640625" customWidth="1"/>
  </cols>
  <sheetData>
    <row r="1" spans="1:9" ht="14.5" customHeight="1" x14ac:dyDescent="0.35">
      <c r="A1" s="165" t="s">
        <v>106</v>
      </c>
      <c r="B1" s="165"/>
      <c r="C1" s="165"/>
      <c r="D1" s="165"/>
      <c r="E1" s="165"/>
      <c r="F1" s="165"/>
      <c r="G1" s="165"/>
      <c r="H1" s="165"/>
      <c r="I1" s="165"/>
    </row>
    <row r="2" spans="1:9" ht="19" x14ac:dyDescent="0.35">
      <c r="A2" s="13" t="s">
        <v>4</v>
      </c>
      <c r="B2" s="99" t="s">
        <v>107</v>
      </c>
      <c r="C2" s="99" t="s">
        <v>108</v>
      </c>
      <c r="D2" s="99" t="s">
        <v>109</v>
      </c>
      <c r="E2" s="99" t="s">
        <v>110</v>
      </c>
      <c r="F2" s="99" t="s">
        <v>111</v>
      </c>
      <c r="G2" s="100" t="s">
        <v>112</v>
      </c>
      <c r="H2" s="99" t="s">
        <v>284</v>
      </c>
      <c r="I2" s="99" t="s">
        <v>114</v>
      </c>
    </row>
    <row r="3" spans="1:9" x14ac:dyDescent="0.35">
      <c r="A3" s="13" t="s">
        <v>115</v>
      </c>
      <c r="B3" s="1" t="s">
        <v>116</v>
      </c>
      <c r="C3" s="1" t="s">
        <v>117</v>
      </c>
      <c r="D3" s="1" t="s">
        <v>117</v>
      </c>
      <c r="E3" s="1" t="s">
        <v>117</v>
      </c>
      <c r="F3" s="1" t="s">
        <v>116</v>
      </c>
      <c r="G3" s="1" t="s">
        <v>116</v>
      </c>
      <c r="H3" s="1" t="s">
        <v>117</v>
      </c>
      <c r="I3" s="1" t="s">
        <v>117</v>
      </c>
    </row>
    <row r="4" spans="1:9" x14ac:dyDescent="0.35">
      <c r="A4" s="13" t="s">
        <v>118</v>
      </c>
      <c r="B4" s="1" t="s">
        <v>119</v>
      </c>
      <c r="C4" s="1" t="s">
        <v>120</v>
      </c>
      <c r="D4" s="1" t="s">
        <v>120</v>
      </c>
      <c r="E4" s="1" t="s">
        <v>120</v>
      </c>
      <c r="F4" s="1" t="s">
        <v>119</v>
      </c>
      <c r="G4" s="1" t="s">
        <v>119</v>
      </c>
      <c r="H4" s="1" t="s">
        <v>119</v>
      </c>
      <c r="I4" s="1" t="s">
        <v>121</v>
      </c>
    </row>
    <row r="5" spans="1:9" ht="19" x14ac:dyDescent="0.35">
      <c r="A5" s="13" t="s">
        <v>122</v>
      </c>
      <c r="B5" s="1" t="s">
        <v>123</v>
      </c>
      <c r="C5" s="2" t="s">
        <v>124</v>
      </c>
      <c r="D5" s="2" t="s">
        <v>125</v>
      </c>
      <c r="E5" s="2" t="s">
        <v>125</v>
      </c>
      <c r="F5" s="2" t="s">
        <v>124</v>
      </c>
      <c r="G5" s="1" t="s">
        <v>126</v>
      </c>
      <c r="H5" s="1" t="s">
        <v>127</v>
      </c>
      <c r="I5" s="1" t="s">
        <v>128</v>
      </c>
    </row>
    <row r="6" spans="1:9" ht="133.75" customHeight="1" x14ac:dyDescent="0.35">
      <c r="A6" s="13" t="s">
        <v>129</v>
      </c>
      <c r="B6" s="1" t="s">
        <v>130</v>
      </c>
      <c r="C6" s="2" t="s">
        <v>131</v>
      </c>
      <c r="D6" s="2" t="s">
        <v>131</v>
      </c>
      <c r="E6" s="2" t="s">
        <v>131</v>
      </c>
      <c r="F6" s="2" t="s">
        <v>132</v>
      </c>
      <c r="G6" s="1" t="s">
        <v>133</v>
      </c>
      <c r="H6" s="4" t="s">
        <v>134</v>
      </c>
      <c r="I6" s="1" t="s">
        <v>135</v>
      </c>
    </row>
    <row r="7" spans="1:9" x14ac:dyDescent="0.35">
      <c r="A7" s="13" t="s">
        <v>136</v>
      </c>
      <c r="B7" s="3">
        <v>25000</v>
      </c>
      <c r="C7" s="3">
        <v>50000</v>
      </c>
      <c r="D7" s="3">
        <v>20000</v>
      </c>
      <c r="E7" s="3">
        <v>20000</v>
      </c>
      <c r="F7" s="3">
        <v>50000</v>
      </c>
      <c r="G7" s="3">
        <v>50000</v>
      </c>
      <c r="H7" s="3">
        <v>20000</v>
      </c>
      <c r="I7" s="3">
        <v>25000</v>
      </c>
    </row>
    <row r="8" spans="1:9" x14ac:dyDescent="0.35">
      <c r="A8" s="13" t="s">
        <v>137</v>
      </c>
      <c r="B8" s="3" t="s">
        <v>138</v>
      </c>
      <c r="C8" s="3" t="s">
        <v>138</v>
      </c>
      <c r="D8" s="3" t="s">
        <v>138</v>
      </c>
      <c r="E8" s="3" t="s">
        <v>138</v>
      </c>
      <c r="F8" s="3" t="s">
        <v>138</v>
      </c>
      <c r="G8" s="3" t="s">
        <v>138</v>
      </c>
      <c r="H8" s="3" t="s">
        <v>138</v>
      </c>
      <c r="I8" s="3">
        <v>10000000</v>
      </c>
    </row>
    <row r="9" spans="1:9" ht="28.5" x14ac:dyDescent="0.35">
      <c r="A9" s="13" t="s">
        <v>139</v>
      </c>
      <c r="B9" s="3" t="s">
        <v>285</v>
      </c>
      <c r="C9" s="3" t="s">
        <v>62</v>
      </c>
      <c r="D9" s="3" t="s">
        <v>286</v>
      </c>
      <c r="E9" s="3" t="s">
        <v>287</v>
      </c>
      <c r="F9" s="3" t="s">
        <v>288</v>
      </c>
      <c r="G9" s="3" t="s">
        <v>289</v>
      </c>
      <c r="H9" s="3" t="s">
        <v>290</v>
      </c>
      <c r="I9" s="3" t="s">
        <v>291</v>
      </c>
    </row>
    <row r="10" spans="1:9" x14ac:dyDescent="0.35">
      <c r="A10" s="13" t="s">
        <v>147</v>
      </c>
      <c r="B10" s="3" t="s">
        <v>148</v>
      </c>
      <c r="C10" s="3" t="s">
        <v>62</v>
      </c>
      <c r="D10" s="1">
        <v>88</v>
      </c>
      <c r="E10" s="1">
        <v>88</v>
      </c>
      <c r="F10" s="1" t="s">
        <v>149</v>
      </c>
      <c r="G10" s="1" t="s">
        <v>150</v>
      </c>
      <c r="H10" s="1" t="s">
        <v>292</v>
      </c>
      <c r="I10" s="1" t="s">
        <v>152</v>
      </c>
    </row>
    <row r="11" spans="1:9" ht="95" x14ac:dyDescent="0.35">
      <c r="A11" s="13" t="s">
        <v>153</v>
      </c>
      <c r="B11" s="3" t="s">
        <v>154</v>
      </c>
      <c r="C11" s="3" t="s">
        <v>62</v>
      </c>
      <c r="D11" s="3" t="s">
        <v>62</v>
      </c>
      <c r="E11" s="3" t="s">
        <v>62</v>
      </c>
      <c r="F11" s="1" t="s">
        <v>155</v>
      </c>
      <c r="G11" s="1" t="s">
        <v>156</v>
      </c>
      <c r="H11" s="3" t="s">
        <v>62</v>
      </c>
      <c r="I11" s="3" t="s">
        <v>62</v>
      </c>
    </row>
    <row r="12" spans="1:9" ht="19" x14ac:dyDescent="0.35">
      <c r="A12" s="13" t="s">
        <v>157</v>
      </c>
      <c r="B12" s="8">
        <v>5</v>
      </c>
      <c r="C12" s="8">
        <v>5</v>
      </c>
      <c r="D12" s="8">
        <v>5</v>
      </c>
      <c r="E12" s="8">
        <v>5</v>
      </c>
      <c r="F12" s="8">
        <v>5</v>
      </c>
      <c r="G12" s="8">
        <v>4.5</v>
      </c>
      <c r="H12" s="8">
        <v>5</v>
      </c>
      <c r="I12" s="8">
        <v>7.65</v>
      </c>
    </row>
    <row r="13" spans="1:9" ht="19" x14ac:dyDescent="0.35">
      <c r="A13" s="13" t="s">
        <v>158</v>
      </c>
      <c r="B13" s="5">
        <v>5.0000000000000001E-3</v>
      </c>
      <c r="C13" s="5">
        <v>5.0000000000000001E-3</v>
      </c>
      <c r="D13" s="5">
        <v>5.0000000000000001E-3</v>
      </c>
      <c r="E13" s="5">
        <v>5.0000000000000001E-3</v>
      </c>
      <c r="F13" s="5">
        <v>5.0000000000000001E-3</v>
      </c>
      <c r="G13" s="9">
        <v>4.5</v>
      </c>
      <c r="H13" s="5">
        <v>5.0000000000000001E-3</v>
      </c>
      <c r="I13" s="5">
        <v>8.9999999999999993E-3</v>
      </c>
    </row>
    <row r="14" spans="1:9" ht="19" x14ac:dyDescent="0.35">
      <c r="A14" s="13" t="s">
        <v>159</v>
      </c>
      <c r="B14" s="3" t="s">
        <v>160</v>
      </c>
      <c r="C14" s="3" t="s">
        <v>160</v>
      </c>
      <c r="D14" s="3" t="s">
        <v>160</v>
      </c>
      <c r="E14" s="3" t="s">
        <v>160</v>
      </c>
      <c r="F14" s="3" t="s">
        <v>160</v>
      </c>
      <c r="G14" s="3" t="s">
        <v>161</v>
      </c>
      <c r="H14" s="3" t="s">
        <v>160</v>
      </c>
      <c r="I14" s="3" t="s">
        <v>160</v>
      </c>
    </row>
    <row r="15" spans="1:9" ht="28.5" customHeight="1" x14ac:dyDescent="0.35">
      <c r="A15" s="13" t="s">
        <v>293</v>
      </c>
      <c r="B15" s="3" t="s">
        <v>163</v>
      </c>
      <c r="C15" s="3" t="s">
        <v>62</v>
      </c>
      <c r="D15" s="3" t="s">
        <v>163</v>
      </c>
      <c r="E15" s="3" t="s">
        <v>163</v>
      </c>
      <c r="F15" s="1" t="s">
        <v>62</v>
      </c>
      <c r="G15" s="1" t="s">
        <v>163</v>
      </c>
      <c r="H15" s="1" t="s">
        <v>62</v>
      </c>
      <c r="I15" s="1" t="s">
        <v>163</v>
      </c>
    </row>
    <row r="16" spans="1:9" ht="38" x14ac:dyDescent="0.35">
      <c r="A16" s="13" t="s">
        <v>294</v>
      </c>
      <c r="B16" s="3" t="s">
        <v>165</v>
      </c>
      <c r="C16" s="3" t="s">
        <v>62</v>
      </c>
      <c r="D16" s="3" t="s">
        <v>166</v>
      </c>
      <c r="E16" s="3" t="s">
        <v>166</v>
      </c>
      <c r="F16" s="1" t="s">
        <v>62</v>
      </c>
      <c r="G16" s="1" t="s">
        <v>295</v>
      </c>
      <c r="H16" s="3" t="s">
        <v>166</v>
      </c>
      <c r="I16" s="3" t="s">
        <v>166</v>
      </c>
    </row>
    <row r="17" spans="1:9" ht="41.5" customHeight="1" x14ac:dyDescent="0.35">
      <c r="A17" s="13" t="s">
        <v>296</v>
      </c>
      <c r="B17" s="1" t="s">
        <v>168</v>
      </c>
      <c r="C17" s="3" t="s">
        <v>62</v>
      </c>
      <c r="D17" s="3" t="s">
        <v>169</v>
      </c>
      <c r="E17" s="3" t="s">
        <v>169</v>
      </c>
      <c r="F17" s="1" t="s">
        <v>62</v>
      </c>
      <c r="G17" s="1" t="s">
        <v>297</v>
      </c>
      <c r="H17" s="1" t="s">
        <v>170</v>
      </c>
      <c r="I17" s="1" t="s">
        <v>170</v>
      </c>
    </row>
    <row r="18" spans="1:9" ht="38" x14ac:dyDescent="0.35">
      <c r="A18" s="13" t="s">
        <v>298</v>
      </c>
      <c r="B18" s="1">
        <v>2</v>
      </c>
      <c r="C18" s="3" t="s">
        <v>62</v>
      </c>
      <c r="D18" s="1">
        <v>1</v>
      </c>
      <c r="E18" s="1">
        <v>1</v>
      </c>
      <c r="F18" s="1" t="s">
        <v>62</v>
      </c>
      <c r="G18" s="1">
        <v>2</v>
      </c>
      <c r="H18" s="1">
        <v>2</v>
      </c>
      <c r="I18" s="1">
        <v>2</v>
      </c>
    </row>
    <row r="19" spans="1:9" ht="123.5" x14ac:dyDescent="0.35">
      <c r="A19" s="13" t="s">
        <v>299</v>
      </c>
      <c r="B19" s="3" t="s">
        <v>300</v>
      </c>
      <c r="C19" s="3" t="s">
        <v>62</v>
      </c>
      <c r="D19" s="1" t="s">
        <v>174</v>
      </c>
      <c r="E19" s="1" t="s">
        <v>174</v>
      </c>
      <c r="F19" s="1" t="s">
        <v>62</v>
      </c>
      <c r="G19" s="1" t="s">
        <v>175</v>
      </c>
      <c r="H19" s="1" t="s">
        <v>301</v>
      </c>
      <c r="I19" s="1" t="s">
        <v>302</v>
      </c>
    </row>
    <row r="20" spans="1:9" x14ac:dyDescent="0.35">
      <c r="A20" s="13" t="s">
        <v>177</v>
      </c>
      <c r="B20" s="3" t="s">
        <v>163</v>
      </c>
      <c r="C20" s="3" t="s">
        <v>62</v>
      </c>
      <c r="D20" s="3" t="s">
        <v>163</v>
      </c>
      <c r="E20" s="3" t="s">
        <v>163</v>
      </c>
      <c r="F20" s="3" t="s">
        <v>62</v>
      </c>
      <c r="G20" s="3" t="s">
        <v>163</v>
      </c>
      <c r="H20" s="3" t="s">
        <v>163</v>
      </c>
      <c r="I20" s="3" t="s">
        <v>163</v>
      </c>
    </row>
    <row r="21" spans="1:9" x14ac:dyDescent="0.35">
      <c r="A21" s="13" t="s">
        <v>178</v>
      </c>
      <c r="B21" s="1" t="s">
        <v>303</v>
      </c>
      <c r="C21" s="3" t="s">
        <v>62</v>
      </c>
      <c r="D21" s="1" t="s">
        <v>304</v>
      </c>
      <c r="E21" s="1" t="s">
        <v>304</v>
      </c>
      <c r="F21" s="3" t="s">
        <v>62</v>
      </c>
      <c r="G21" s="1" t="s">
        <v>303</v>
      </c>
      <c r="H21" s="3" t="s">
        <v>305</v>
      </c>
      <c r="I21" s="1" t="s">
        <v>181</v>
      </c>
    </row>
    <row r="22" spans="1:9" ht="19" x14ac:dyDescent="0.35">
      <c r="A22" s="13" t="s">
        <v>182</v>
      </c>
      <c r="B22" s="4" t="s">
        <v>306</v>
      </c>
      <c r="C22" s="3" t="s">
        <v>62</v>
      </c>
      <c r="D22" s="4" t="s">
        <v>307</v>
      </c>
      <c r="E22" s="4" t="s">
        <v>307</v>
      </c>
      <c r="F22" s="3" t="s">
        <v>62</v>
      </c>
      <c r="G22" s="1" t="s">
        <v>308</v>
      </c>
      <c r="H22" s="3" t="s">
        <v>309</v>
      </c>
      <c r="I22" s="1" t="s">
        <v>308</v>
      </c>
    </row>
    <row r="23" spans="1:9" ht="54" customHeight="1" x14ac:dyDescent="0.35">
      <c r="A23" s="13" t="s">
        <v>185</v>
      </c>
      <c r="B23" s="3" t="s">
        <v>186</v>
      </c>
      <c r="C23" s="3" t="s">
        <v>62</v>
      </c>
      <c r="D23" s="3" t="s">
        <v>187</v>
      </c>
      <c r="E23" s="3" t="s">
        <v>187</v>
      </c>
      <c r="F23" s="3" t="s">
        <v>62</v>
      </c>
      <c r="G23" s="3" t="s">
        <v>188</v>
      </c>
      <c r="H23" s="3" t="s">
        <v>310</v>
      </c>
      <c r="I23" s="3" t="s">
        <v>189</v>
      </c>
    </row>
    <row r="24" spans="1:9" x14ac:dyDescent="0.35">
      <c r="A24" s="13" t="s">
        <v>190</v>
      </c>
      <c r="B24" s="3" t="s">
        <v>163</v>
      </c>
      <c r="C24" s="3" t="s">
        <v>62</v>
      </c>
      <c r="D24" s="3" t="s">
        <v>163</v>
      </c>
      <c r="E24" s="3" t="s">
        <v>163</v>
      </c>
      <c r="F24" s="3" t="s">
        <v>62</v>
      </c>
      <c r="G24" s="3" t="s">
        <v>163</v>
      </c>
      <c r="H24" s="3" t="s">
        <v>163</v>
      </c>
      <c r="I24" s="3" t="s">
        <v>163</v>
      </c>
    </row>
    <row r="25" spans="1:9" ht="19" x14ac:dyDescent="0.35">
      <c r="A25" s="13" t="s">
        <v>191</v>
      </c>
      <c r="B25" s="3" t="s">
        <v>192</v>
      </c>
      <c r="C25" s="3" t="s">
        <v>62</v>
      </c>
      <c r="D25" s="3" t="s">
        <v>192</v>
      </c>
      <c r="E25" s="3" t="s">
        <v>192</v>
      </c>
      <c r="F25" s="3" t="s">
        <v>62</v>
      </c>
      <c r="G25" s="3" t="s">
        <v>192</v>
      </c>
      <c r="H25" s="3" t="s">
        <v>193</v>
      </c>
      <c r="I25" s="3" t="s">
        <v>193</v>
      </c>
    </row>
    <row r="26" spans="1:9" ht="51" customHeight="1" x14ac:dyDescent="0.35">
      <c r="A26" s="13" t="s">
        <v>194</v>
      </c>
      <c r="B26" s="3" t="s">
        <v>311</v>
      </c>
      <c r="C26" s="3" t="s">
        <v>62</v>
      </c>
      <c r="D26" s="3" t="s">
        <v>62</v>
      </c>
      <c r="E26" s="3" t="s">
        <v>62</v>
      </c>
      <c r="F26" s="3" t="s">
        <v>62</v>
      </c>
      <c r="G26" s="3" t="s">
        <v>62</v>
      </c>
      <c r="H26" s="3" t="s">
        <v>62</v>
      </c>
      <c r="I26" s="3" t="s">
        <v>62</v>
      </c>
    </row>
    <row r="27" spans="1:9" ht="93.65" customHeight="1" x14ac:dyDescent="0.35">
      <c r="A27" s="13" t="s">
        <v>196</v>
      </c>
      <c r="B27" s="3" t="s">
        <v>197</v>
      </c>
      <c r="C27" s="3" t="s">
        <v>62</v>
      </c>
      <c r="D27" s="3" t="s">
        <v>62</v>
      </c>
      <c r="E27" s="3" t="s">
        <v>62</v>
      </c>
      <c r="F27" s="3" t="s">
        <v>62</v>
      </c>
      <c r="G27" s="3" t="s">
        <v>62</v>
      </c>
      <c r="H27" s="3" t="s">
        <v>62</v>
      </c>
      <c r="I27" s="3" t="s">
        <v>62</v>
      </c>
    </row>
    <row r="28" spans="1:9" ht="80.5" customHeight="1" x14ac:dyDescent="0.35">
      <c r="A28" s="13" t="s">
        <v>202</v>
      </c>
      <c r="B28" s="5" t="s">
        <v>312</v>
      </c>
      <c r="C28" s="6" t="s">
        <v>313</v>
      </c>
      <c r="D28" s="7" t="s">
        <v>313</v>
      </c>
      <c r="E28" s="7" t="s">
        <v>313</v>
      </c>
      <c r="F28" s="3" t="s">
        <v>314</v>
      </c>
      <c r="G28" s="3" t="s">
        <v>315</v>
      </c>
      <c r="H28" s="5" t="s">
        <v>316</v>
      </c>
      <c r="I28" s="3" t="s">
        <v>317</v>
      </c>
    </row>
    <row r="29" spans="1:9" ht="60.65" customHeight="1" x14ac:dyDescent="0.35">
      <c r="A29" s="13" t="s">
        <v>209</v>
      </c>
      <c r="B29" s="6" t="s">
        <v>210</v>
      </c>
      <c r="C29" s="6" t="s">
        <v>211</v>
      </c>
      <c r="D29" s="7" t="s">
        <v>211</v>
      </c>
      <c r="E29" s="7" t="s">
        <v>211</v>
      </c>
      <c r="F29" s="7" t="s">
        <v>212</v>
      </c>
      <c r="G29" s="7" t="s">
        <v>213</v>
      </c>
      <c r="H29" s="3" t="s">
        <v>214</v>
      </c>
      <c r="I29" s="7" t="s">
        <v>215</v>
      </c>
    </row>
    <row r="30" spans="1:9" ht="141.65" customHeight="1" x14ac:dyDescent="0.35">
      <c r="A30" s="13" t="s">
        <v>216</v>
      </c>
      <c r="B30" s="7" t="s">
        <v>217</v>
      </c>
      <c r="C30" s="3" t="s">
        <v>62</v>
      </c>
      <c r="D30" s="1" t="s">
        <v>218</v>
      </c>
      <c r="E30" s="1" t="s">
        <v>219</v>
      </c>
      <c r="F30" s="1" t="s">
        <v>220</v>
      </c>
      <c r="G30" s="1" t="s">
        <v>221</v>
      </c>
      <c r="H30" s="1" t="s">
        <v>318</v>
      </c>
      <c r="I30" s="1" t="s">
        <v>223</v>
      </c>
    </row>
    <row r="31" spans="1:9" ht="28.5" x14ac:dyDescent="0.35">
      <c r="A31" s="13" t="s">
        <v>224</v>
      </c>
      <c r="B31" s="7" t="s">
        <v>168</v>
      </c>
      <c r="C31" s="7" t="s">
        <v>170</v>
      </c>
      <c r="D31" s="7" t="s">
        <v>170</v>
      </c>
      <c r="E31" s="7" t="s">
        <v>170</v>
      </c>
      <c r="F31" s="7" t="s">
        <v>170</v>
      </c>
      <c r="G31" s="7" t="s">
        <v>170</v>
      </c>
      <c r="H31" s="7" t="s">
        <v>319</v>
      </c>
      <c r="I31" s="7" t="s">
        <v>170</v>
      </c>
    </row>
    <row r="32" spans="1:9" ht="111.65" customHeight="1" x14ac:dyDescent="0.35">
      <c r="A32" s="13" t="s">
        <v>225</v>
      </c>
      <c r="B32" s="4" t="s">
        <v>320</v>
      </c>
      <c r="C32" s="1" t="s">
        <v>321</v>
      </c>
      <c r="D32" s="1" t="s">
        <v>322</v>
      </c>
      <c r="E32" s="1" t="s">
        <v>323</v>
      </c>
      <c r="F32" s="4" t="s">
        <v>324</v>
      </c>
      <c r="G32" s="4" t="s">
        <v>236</v>
      </c>
      <c r="H32" s="1" t="s">
        <v>325</v>
      </c>
      <c r="I32" s="4" t="s">
        <v>326</v>
      </c>
    </row>
    <row r="33" spans="1:9" ht="107.5" customHeight="1" x14ac:dyDescent="0.35">
      <c r="A33" s="13" t="s">
        <v>233</v>
      </c>
      <c r="B33" s="4" t="s">
        <v>234</v>
      </c>
      <c r="C33" s="1" t="s">
        <v>327</v>
      </c>
      <c r="D33" s="1" t="s">
        <v>328</v>
      </c>
      <c r="E33" s="1" t="s">
        <v>328</v>
      </c>
      <c r="F33" s="4" t="s">
        <v>324</v>
      </c>
      <c r="G33" s="4" t="s">
        <v>236</v>
      </c>
      <c r="H33" s="4" t="s">
        <v>237</v>
      </c>
      <c r="I33" s="4" t="s">
        <v>238</v>
      </c>
    </row>
    <row r="34" spans="1:9" x14ac:dyDescent="0.35">
      <c r="A34" s="83" t="s">
        <v>329</v>
      </c>
      <c r="B34" s="1" t="s">
        <v>240</v>
      </c>
      <c r="C34" s="1" t="s">
        <v>241</v>
      </c>
      <c r="D34" s="1" t="s">
        <v>241</v>
      </c>
      <c r="E34" s="1" t="s">
        <v>241</v>
      </c>
      <c r="F34" s="1" t="s">
        <v>241</v>
      </c>
      <c r="G34" s="1" t="s">
        <v>241</v>
      </c>
      <c r="H34" s="1" t="s">
        <v>241</v>
      </c>
      <c r="I34" s="1" t="s">
        <v>241</v>
      </c>
    </row>
    <row r="35" spans="1:9" x14ac:dyDescent="0.35">
      <c r="A35" s="83" t="s">
        <v>242</v>
      </c>
      <c r="B35" s="1" t="s">
        <v>243</v>
      </c>
      <c r="C35" s="1">
        <v>65</v>
      </c>
      <c r="D35" s="1">
        <v>85</v>
      </c>
      <c r="E35" s="1">
        <v>85</v>
      </c>
      <c r="F35" s="1" t="s">
        <v>243</v>
      </c>
      <c r="G35" s="1" t="s">
        <v>243</v>
      </c>
      <c r="H35" s="1" t="s">
        <v>243</v>
      </c>
      <c r="I35" s="1">
        <v>99</v>
      </c>
    </row>
    <row r="36" spans="1:9" ht="19" x14ac:dyDescent="0.35">
      <c r="A36" s="83" t="s">
        <v>258</v>
      </c>
      <c r="B36" s="4" t="s">
        <v>259</v>
      </c>
      <c r="C36" s="4" t="s">
        <v>62</v>
      </c>
      <c r="D36" s="4" t="s">
        <v>62</v>
      </c>
      <c r="E36" s="4" t="s">
        <v>62</v>
      </c>
      <c r="F36" s="4" t="s">
        <v>260</v>
      </c>
      <c r="G36" s="4" t="s">
        <v>261</v>
      </c>
      <c r="H36" s="4" t="s">
        <v>262</v>
      </c>
      <c r="I36" s="4" t="s">
        <v>330</v>
      </c>
    </row>
    <row r="37" spans="1:9" ht="19" x14ac:dyDescent="0.35">
      <c r="A37" s="83" t="s">
        <v>264</v>
      </c>
      <c r="B37" s="4" t="s">
        <v>265</v>
      </c>
      <c r="C37" s="4" t="s">
        <v>331</v>
      </c>
      <c r="D37" s="4" t="s">
        <v>331</v>
      </c>
      <c r="E37" s="4" t="s">
        <v>331</v>
      </c>
      <c r="F37" s="4" t="s">
        <v>267</v>
      </c>
      <c r="G37" s="4" t="s">
        <v>268</v>
      </c>
      <c r="H37" s="1" t="s">
        <v>332</v>
      </c>
      <c r="I37" s="1" t="s">
        <v>270</v>
      </c>
    </row>
    <row r="38" spans="1:9" ht="19" x14ac:dyDescent="0.35">
      <c r="A38" s="84" t="s">
        <v>333</v>
      </c>
      <c r="B38" s="1" t="s">
        <v>240</v>
      </c>
      <c r="C38" s="1" t="s">
        <v>240</v>
      </c>
      <c r="D38" s="1" t="s">
        <v>241</v>
      </c>
      <c r="E38" s="1" t="s">
        <v>241</v>
      </c>
      <c r="F38" s="1" t="s">
        <v>240</v>
      </c>
      <c r="G38" s="1" t="s">
        <v>240</v>
      </c>
      <c r="H38" s="1" t="s">
        <v>240</v>
      </c>
      <c r="I38" s="1" t="s">
        <v>240</v>
      </c>
    </row>
    <row r="39" spans="1:9" ht="19" x14ac:dyDescent="0.35">
      <c r="A39" s="85" t="s">
        <v>334</v>
      </c>
      <c r="B39" s="1">
        <v>36</v>
      </c>
      <c r="C39" s="1">
        <v>36</v>
      </c>
      <c r="D39" s="1">
        <v>38</v>
      </c>
      <c r="E39" s="1">
        <v>38</v>
      </c>
      <c r="F39" s="1">
        <v>55</v>
      </c>
      <c r="G39" s="1">
        <v>63</v>
      </c>
      <c r="H39" s="1">
        <v>54</v>
      </c>
      <c r="I39" s="1">
        <v>56</v>
      </c>
    </row>
    <row r="40" spans="1:9" ht="19" x14ac:dyDescent="0.35">
      <c r="A40" s="84" t="s">
        <v>335</v>
      </c>
      <c r="B40" s="3">
        <v>4000000</v>
      </c>
      <c r="C40" s="3">
        <v>2000000</v>
      </c>
      <c r="D40" s="3">
        <v>2000000</v>
      </c>
      <c r="E40" s="3">
        <v>2000000</v>
      </c>
      <c r="F40" s="3">
        <v>3000000</v>
      </c>
      <c r="G40" s="3">
        <v>2000000</v>
      </c>
      <c r="H40" s="3">
        <v>3600000</v>
      </c>
      <c r="I40" s="3">
        <v>2000000</v>
      </c>
    </row>
    <row r="41" spans="1:9" ht="73.75" customHeight="1" x14ac:dyDescent="0.35">
      <c r="A41" s="84" t="s">
        <v>336</v>
      </c>
      <c r="B41" s="3" t="s">
        <v>62</v>
      </c>
      <c r="C41" s="3" t="s">
        <v>62</v>
      </c>
      <c r="D41" s="3" t="s">
        <v>62</v>
      </c>
      <c r="E41" s="3" t="s">
        <v>62</v>
      </c>
      <c r="F41" s="3" t="s">
        <v>62</v>
      </c>
      <c r="G41" s="3" t="s">
        <v>62</v>
      </c>
      <c r="H41" s="3" t="s">
        <v>337</v>
      </c>
      <c r="I41" s="3" t="s">
        <v>338</v>
      </c>
    </row>
    <row r="42" spans="1:9" ht="52.4" customHeight="1" x14ac:dyDescent="0.35">
      <c r="A42" s="84" t="s">
        <v>339</v>
      </c>
      <c r="B42" s="3" t="s">
        <v>62</v>
      </c>
      <c r="C42" s="3" t="s">
        <v>62</v>
      </c>
      <c r="D42" s="3" t="s">
        <v>62</v>
      </c>
      <c r="E42" s="3" t="s">
        <v>62</v>
      </c>
      <c r="F42" s="3" t="s">
        <v>62</v>
      </c>
      <c r="G42" s="3" t="s">
        <v>62</v>
      </c>
      <c r="H42" s="3" t="s">
        <v>62</v>
      </c>
      <c r="I42" s="3" t="s">
        <v>340</v>
      </c>
    </row>
    <row r="43" spans="1:9" ht="19" x14ac:dyDescent="0.35">
      <c r="A43" s="83" t="s">
        <v>341</v>
      </c>
      <c r="B43" s="1" t="s">
        <v>240</v>
      </c>
      <c r="C43" s="1" t="s">
        <v>62</v>
      </c>
      <c r="D43" s="1" t="s">
        <v>62</v>
      </c>
      <c r="E43" s="1" t="s">
        <v>62</v>
      </c>
      <c r="F43" s="1" t="s">
        <v>240</v>
      </c>
      <c r="G43" s="1" t="s">
        <v>240</v>
      </c>
      <c r="H43" s="1" t="s">
        <v>240</v>
      </c>
      <c r="I43" s="1" t="s">
        <v>240</v>
      </c>
    </row>
    <row r="44" spans="1:9" ht="19" x14ac:dyDescent="0.35">
      <c r="A44" s="86" t="s">
        <v>275</v>
      </c>
      <c r="B44" s="1">
        <v>72</v>
      </c>
      <c r="C44" s="1" t="s">
        <v>62</v>
      </c>
      <c r="D44" s="1" t="s">
        <v>62</v>
      </c>
      <c r="E44" s="1" t="s">
        <v>62</v>
      </c>
      <c r="F44" s="1">
        <v>82</v>
      </c>
      <c r="G44" s="1">
        <v>76</v>
      </c>
      <c r="H44" s="1">
        <v>66</v>
      </c>
      <c r="I44" s="1">
        <v>70</v>
      </c>
    </row>
    <row r="45" spans="1:9" ht="19" x14ac:dyDescent="0.35">
      <c r="A45" s="86" t="s">
        <v>342</v>
      </c>
      <c r="B45" s="1">
        <v>59</v>
      </c>
      <c r="C45" s="1" t="s">
        <v>62</v>
      </c>
      <c r="D45" s="1" t="s">
        <v>62</v>
      </c>
      <c r="E45" s="1" t="s">
        <v>62</v>
      </c>
      <c r="F45" s="1">
        <v>55</v>
      </c>
      <c r="G45" s="1">
        <v>63</v>
      </c>
      <c r="H45" s="1">
        <v>54</v>
      </c>
      <c r="I45" s="1">
        <v>55</v>
      </c>
    </row>
    <row r="46" spans="1:9" ht="19" x14ac:dyDescent="0.35">
      <c r="A46" s="86" t="s">
        <v>277</v>
      </c>
      <c r="B46" s="1">
        <f>SUM(B44:B45)</f>
        <v>131</v>
      </c>
      <c r="C46" s="1" t="s">
        <v>62</v>
      </c>
      <c r="D46" s="1" t="s">
        <v>62</v>
      </c>
      <c r="E46" s="1" t="s">
        <v>62</v>
      </c>
      <c r="F46" s="1">
        <f>SUM(F44:F45)</f>
        <v>137</v>
      </c>
      <c r="G46" s="1">
        <f>SUM(G44:G45)</f>
        <v>139</v>
      </c>
      <c r="H46" s="1">
        <f>SUM(H44:H45)</f>
        <v>120</v>
      </c>
      <c r="I46" s="1">
        <v>125</v>
      </c>
    </row>
    <row r="47" spans="1:9" ht="19" x14ac:dyDescent="0.35">
      <c r="A47" s="86" t="s">
        <v>278</v>
      </c>
      <c r="B47" s="1">
        <v>11</v>
      </c>
      <c r="C47" s="1" t="s">
        <v>62</v>
      </c>
      <c r="D47" s="1" t="s">
        <v>62</v>
      </c>
      <c r="E47" s="1" t="s">
        <v>62</v>
      </c>
      <c r="F47" s="1">
        <v>12</v>
      </c>
      <c r="G47" s="1">
        <v>18</v>
      </c>
      <c r="H47" s="1">
        <v>17</v>
      </c>
      <c r="I47" s="1">
        <v>13</v>
      </c>
    </row>
    <row r="48" spans="1:9" ht="19" x14ac:dyDescent="0.35">
      <c r="A48" s="86" t="s">
        <v>279</v>
      </c>
      <c r="B48" s="1">
        <v>16</v>
      </c>
      <c r="C48" s="1" t="s">
        <v>62</v>
      </c>
      <c r="D48" s="1" t="s">
        <v>62</v>
      </c>
      <c r="E48" s="1" t="s">
        <v>62</v>
      </c>
      <c r="F48" s="1">
        <v>12</v>
      </c>
      <c r="G48" s="1">
        <v>11</v>
      </c>
      <c r="H48" s="1">
        <v>17</v>
      </c>
      <c r="I48" s="1">
        <v>10</v>
      </c>
    </row>
    <row r="49" spans="1:9" x14ac:dyDescent="0.35">
      <c r="A49" s="86" t="s">
        <v>280</v>
      </c>
      <c r="B49" s="1" t="s">
        <v>62</v>
      </c>
      <c r="C49" s="1" t="s">
        <v>62</v>
      </c>
      <c r="D49" s="1" t="s">
        <v>62</v>
      </c>
      <c r="E49" s="1" t="s">
        <v>62</v>
      </c>
      <c r="F49" s="1" t="s">
        <v>62</v>
      </c>
      <c r="G49" s="1" t="s">
        <v>62</v>
      </c>
      <c r="H49" s="1">
        <v>5</v>
      </c>
      <c r="I49" s="1" t="s">
        <v>62</v>
      </c>
    </row>
    <row r="50" spans="1:9" ht="38" x14ac:dyDescent="0.35">
      <c r="A50" s="86" t="s">
        <v>343</v>
      </c>
      <c r="B50" s="1" t="s">
        <v>344</v>
      </c>
      <c r="C50" s="1" t="s">
        <v>62</v>
      </c>
      <c r="D50" s="1" t="s">
        <v>62</v>
      </c>
      <c r="E50" s="1" t="s">
        <v>62</v>
      </c>
      <c r="F50" s="1" t="s">
        <v>62</v>
      </c>
      <c r="G50" s="1" t="s">
        <v>62</v>
      </c>
      <c r="H50" s="1" t="s">
        <v>345</v>
      </c>
      <c r="I50" s="1" t="s">
        <v>62</v>
      </c>
    </row>
    <row r="51" spans="1:9" ht="32.5" customHeight="1" x14ac:dyDescent="0.35">
      <c r="A51" s="86" t="s">
        <v>346</v>
      </c>
      <c r="B51" s="1" t="s">
        <v>62</v>
      </c>
      <c r="C51" s="1" t="s">
        <v>62</v>
      </c>
      <c r="D51" s="1" t="s">
        <v>62</v>
      </c>
      <c r="E51" s="1" t="s">
        <v>62</v>
      </c>
      <c r="F51" s="1" t="s">
        <v>62</v>
      </c>
      <c r="G51" s="1" t="s">
        <v>62</v>
      </c>
      <c r="H51" s="1" t="s">
        <v>347</v>
      </c>
      <c r="I51" s="1" t="s">
        <v>62</v>
      </c>
    </row>
    <row r="52" spans="1:9" ht="47.5" customHeight="1" x14ac:dyDescent="0.35">
      <c r="A52" s="86" t="s">
        <v>348</v>
      </c>
      <c r="B52" s="1" t="s">
        <v>349</v>
      </c>
      <c r="C52" s="1" t="s">
        <v>62</v>
      </c>
      <c r="D52" s="1" t="s">
        <v>62</v>
      </c>
      <c r="E52" s="1" t="s">
        <v>62</v>
      </c>
      <c r="F52" s="1" t="s">
        <v>62</v>
      </c>
      <c r="G52" s="1" t="s">
        <v>62</v>
      </c>
      <c r="H52" s="1" t="s">
        <v>62</v>
      </c>
      <c r="I52" s="1" t="s">
        <v>62</v>
      </c>
    </row>
    <row r="53" spans="1:9" ht="92.5" customHeight="1" x14ac:dyDescent="0.35">
      <c r="A53" s="86" t="s">
        <v>350</v>
      </c>
      <c r="B53" s="1" t="s">
        <v>62</v>
      </c>
      <c r="C53" s="1" t="s">
        <v>62</v>
      </c>
      <c r="D53" s="1" t="s">
        <v>62</v>
      </c>
      <c r="E53" s="1" t="s">
        <v>62</v>
      </c>
      <c r="F53" s="1" t="s">
        <v>62</v>
      </c>
      <c r="G53" s="1" t="s">
        <v>351</v>
      </c>
      <c r="H53" s="1" t="s">
        <v>352</v>
      </c>
      <c r="I53" s="1" t="s">
        <v>62</v>
      </c>
    </row>
    <row r="54" spans="1:9" ht="43.4" customHeight="1" x14ac:dyDescent="0.35">
      <c r="A54" s="86" t="s">
        <v>353</v>
      </c>
      <c r="B54" s="1" t="s">
        <v>62</v>
      </c>
      <c r="C54" s="1" t="s">
        <v>62</v>
      </c>
      <c r="D54" s="1" t="s">
        <v>62</v>
      </c>
      <c r="E54" s="1" t="s">
        <v>62</v>
      </c>
      <c r="F54" s="1" t="s">
        <v>62</v>
      </c>
      <c r="G54" s="1" t="s">
        <v>354</v>
      </c>
      <c r="H54" s="1" t="s">
        <v>62</v>
      </c>
      <c r="I54" s="1" t="s">
        <v>62</v>
      </c>
    </row>
  </sheetData>
  <sheetProtection algorithmName="SHA-512" hashValue="e87L6Zu0r0zuIU6WepThSld6B2sgKoLP+LXTbLGHY3Ckag+7m6SzzDZH4huEczXTM2QwLVAOcoZWfbCXvR9Ktw==" saltValue="uSNP+sizwuxk2EnOSPZ2wg==" spinCount="100000" sheet="1" objects="1" scenarios="1" selectLockedCells="1" sort="0" autoFilter="0" selectUnlockedCells="1"/>
  <autoFilter ref="A2:I54" xr:uid="{DEF80F88-42DA-4873-BD84-9FF4DB368566}"/>
  <mergeCells count="1">
    <mergeCell ref="A1:I1"/>
  </mergeCells>
  <pageMargins left="0.7" right="0.7" top="0.75" bottom="0.75" header="0.3" footer="0.3"/>
  <pageSetup orientation="portrait" r:id="rId1"/>
  <headerFooter>
    <oddFooter>&amp;L_x000D_&amp;1#&amp;"Calibri"&amp;8&amp;K0000FF Internal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0DC6-8A39-44DE-BE4D-5EC95B807F98}">
  <dimension ref="A2:B26"/>
  <sheetViews>
    <sheetView showGridLines="0" zoomScale="75" zoomScaleNormal="75" workbookViewId="0">
      <selection activeCell="B15" sqref="B15:B22"/>
    </sheetView>
  </sheetViews>
  <sheetFormatPr defaultRowHeight="14.5" x14ac:dyDescent="0.35"/>
  <cols>
    <col min="1" max="1" width="6.81640625" customWidth="1"/>
    <col min="2" max="2" width="52.54296875" customWidth="1"/>
  </cols>
  <sheetData>
    <row r="2" spans="1:2" x14ac:dyDescent="0.35">
      <c r="A2" s="166" t="s">
        <v>471</v>
      </c>
      <c r="B2" s="166"/>
    </row>
    <row r="3" spans="1:2" x14ac:dyDescent="0.35">
      <c r="A3" s="166" t="s">
        <v>470</v>
      </c>
      <c r="B3" s="166"/>
    </row>
    <row r="12" spans="1:2" x14ac:dyDescent="0.35">
      <c r="A12" s="103" t="s">
        <v>396</v>
      </c>
      <c r="B12" s="104"/>
    </row>
    <row r="13" spans="1:2" ht="29" x14ac:dyDescent="0.35">
      <c r="A13" s="105" t="s">
        <v>397</v>
      </c>
      <c r="B13" s="118" t="s">
        <v>398</v>
      </c>
    </row>
    <row r="14" spans="1:2" ht="29" x14ac:dyDescent="0.35">
      <c r="A14" s="124"/>
      <c r="B14" s="128" t="s">
        <v>399</v>
      </c>
    </row>
    <row r="15" spans="1:2" x14ac:dyDescent="0.35">
      <c r="A15" s="124"/>
      <c r="B15" s="128" t="s">
        <v>400</v>
      </c>
    </row>
    <row r="16" spans="1:2" ht="43.5" x14ac:dyDescent="0.35">
      <c r="A16" s="105" t="s">
        <v>401</v>
      </c>
      <c r="B16" s="118" t="s">
        <v>402</v>
      </c>
    </row>
    <row r="17" spans="1:2" ht="29" x14ac:dyDescent="0.35">
      <c r="A17" s="105" t="s">
        <v>403</v>
      </c>
      <c r="B17" s="118" t="s">
        <v>404</v>
      </c>
    </row>
    <row r="18" spans="1:2" ht="29" x14ac:dyDescent="0.35">
      <c r="A18" s="105" t="s">
        <v>405</v>
      </c>
      <c r="B18" s="118" t="s">
        <v>406</v>
      </c>
    </row>
    <row r="19" spans="1:2" x14ac:dyDescent="0.35">
      <c r="A19" s="125"/>
      <c r="B19" s="121"/>
    </row>
    <row r="20" spans="1:2" x14ac:dyDescent="0.35">
      <c r="A20" s="106" t="s">
        <v>407</v>
      </c>
      <c r="B20" s="122"/>
    </row>
    <row r="21" spans="1:2" ht="43.5" x14ac:dyDescent="0.35">
      <c r="A21" s="105" t="s">
        <v>397</v>
      </c>
      <c r="B21" s="119" t="s">
        <v>408</v>
      </c>
    </row>
    <row r="22" spans="1:2" ht="29" x14ac:dyDescent="0.35">
      <c r="A22" s="126"/>
      <c r="B22" s="123" t="s">
        <v>409</v>
      </c>
    </row>
    <row r="23" spans="1:2" ht="43.5" x14ac:dyDescent="0.35">
      <c r="A23" s="126"/>
      <c r="B23" s="123" t="s">
        <v>410</v>
      </c>
    </row>
    <row r="24" spans="1:2" ht="43.5" x14ac:dyDescent="0.35">
      <c r="A24" s="105" t="s">
        <v>401</v>
      </c>
      <c r="B24" s="119" t="s">
        <v>411</v>
      </c>
    </row>
    <row r="25" spans="1:2" ht="29" x14ac:dyDescent="0.35">
      <c r="A25" s="126"/>
      <c r="B25" s="123" t="s">
        <v>409</v>
      </c>
    </row>
    <row r="26" spans="1:2" x14ac:dyDescent="0.35">
      <c r="A26" s="127"/>
      <c r="B26" s="107"/>
    </row>
  </sheetData>
  <sheetProtection algorithmName="SHA-512" hashValue="EHgNZ60/pri4fbynTNyrW9Xb0zNcyNjNlfT/7s4cGl5IKbEDxqDogDAgfbgnIIj1oLEWT2WMT1IZKcaOJKY1Lw==" saltValue="rXUw5vAgFe3dNdC7UG7b+A==" spinCount="100000" sheet="1" objects="1" scenarios="1" selectLockedCells="1" autoFilter="0" selectUnlockedCells="1"/>
  <mergeCells count="2">
    <mergeCell ref="A2:B2"/>
    <mergeCell ref="A3: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78D4-A846-4FF6-891A-47A1B7E67879}">
  <dimension ref="A1:L51"/>
  <sheetViews>
    <sheetView showGridLines="0" zoomScale="75" zoomScaleNormal="75" workbookViewId="0">
      <pane ySplit="1" topLeftCell="A2" activePane="bottomLeft" state="frozen"/>
      <selection activeCell="M22" sqref="M22"/>
      <selection pane="bottomLeft" activeCell="B13" sqref="B13:I31"/>
    </sheetView>
  </sheetViews>
  <sheetFormatPr defaultRowHeight="14.5" x14ac:dyDescent="0.35"/>
  <cols>
    <col min="1" max="1" width="63.453125" bestFit="1" customWidth="1"/>
    <col min="2" max="6" width="12.81640625" customWidth="1"/>
    <col min="8" max="9" width="12.81640625" customWidth="1"/>
    <col min="12" max="12" width="0" hidden="1" customWidth="1"/>
  </cols>
  <sheetData>
    <row r="1" spans="1:12" ht="72.5" x14ac:dyDescent="0.35">
      <c r="A1" s="98" t="s">
        <v>412</v>
      </c>
      <c r="B1" s="28" t="s">
        <v>356</v>
      </c>
      <c r="C1" s="28" t="s">
        <v>359</v>
      </c>
      <c r="D1" s="28" t="s">
        <v>360</v>
      </c>
      <c r="E1" s="28" t="s">
        <v>413</v>
      </c>
      <c r="F1" s="28" t="s">
        <v>361</v>
      </c>
      <c r="H1" s="29" t="s">
        <v>362</v>
      </c>
      <c r="I1" s="30" t="s">
        <v>363</v>
      </c>
    </row>
    <row r="2" spans="1:12" x14ac:dyDescent="0.35">
      <c r="A2" s="31" t="s">
        <v>364</v>
      </c>
      <c r="B2" s="32"/>
      <c r="C2" s="32"/>
      <c r="D2" s="32"/>
      <c r="E2" s="32"/>
      <c r="F2" s="32"/>
    </row>
    <row r="3" spans="1:12" x14ac:dyDescent="0.35">
      <c r="A3" s="33" t="s">
        <v>365</v>
      </c>
      <c r="B3" s="34">
        <v>100000</v>
      </c>
      <c r="C3" s="34">
        <v>100000</v>
      </c>
      <c r="D3" s="34">
        <v>100000</v>
      </c>
      <c r="E3" s="34">
        <v>100000</v>
      </c>
      <c r="F3" s="34">
        <v>100000</v>
      </c>
    </row>
    <row r="4" spans="1:12" x14ac:dyDescent="0.35">
      <c r="A4" s="33" t="s">
        <v>274</v>
      </c>
      <c r="B4" s="34">
        <v>50000</v>
      </c>
      <c r="C4" s="34">
        <v>50000</v>
      </c>
      <c r="D4" s="34">
        <v>50000</v>
      </c>
      <c r="E4" s="34">
        <v>50000</v>
      </c>
      <c r="F4" s="34">
        <v>50000</v>
      </c>
    </row>
    <row r="5" spans="1:12" x14ac:dyDescent="0.35">
      <c r="A5" s="33" t="s">
        <v>271</v>
      </c>
      <c r="B5" s="34">
        <v>50000</v>
      </c>
      <c r="C5" s="34">
        <v>50000</v>
      </c>
      <c r="D5" s="34">
        <v>50000</v>
      </c>
      <c r="E5" s="34">
        <v>50000</v>
      </c>
      <c r="F5" s="34">
        <v>50000</v>
      </c>
    </row>
    <row r="6" spans="1:12" ht="29" x14ac:dyDescent="0.35">
      <c r="A6" s="33" t="s">
        <v>366</v>
      </c>
      <c r="B6" s="35" t="s">
        <v>414</v>
      </c>
      <c r="C6" s="36" t="s">
        <v>415</v>
      </c>
      <c r="D6" s="36" t="s">
        <v>415</v>
      </c>
      <c r="E6" s="35" t="s">
        <v>416</v>
      </c>
      <c r="F6" s="35" t="s">
        <v>417</v>
      </c>
    </row>
    <row r="7" spans="1:12" x14ac:dyDescent="0.35">
      <c r="A7" s="31" t="s">
        <v>372</v>
      </c>
      <c r="B7" s="32"/>
      <c r="C7" s="32"/>
      <c r="D7" s="32"/>
      <c r="E7" s="32"/>
      <c r="F7" s="32"/>
    </row>
    <row r="8" spans="1:12" x14ac:dyDescent="0.35">
      <c r="A8" s="33" t="s">
        <v>373</v>
      </c>
      <c r="B8" s="33">
        <v>20</v>
      </c>
      <c r="C8" s="33">
        <v>20</v>
      </c>
      <c r="D8" s="33">
        <v>20</v>
      </c>
      <c r="E8" s="33">
        <v>20</v>
      </c>
      <c r="F8" s="33">
        <v>20</v>
      </c>
    </row>
    <row r="9" spans="1:12" x14ac:dyDescent="0.35">
      <c r="A9" s="33" t="s">
        <v>374</v>
      </c>
      <c r="B9" s="37">
        <f>1000+144+16+40</f>
        <v>1200</v>
      </c>
      <c r="C9" s="37">
        <f>1028.2+101</f>
        <v>1129.2</v>
      </c>
      <c r="D9" s="37">
        <v>889</v>
      </c>
      <c r="E9" s="37">
        <v>1157.8499999999999</v>
      </c>
      <c r="F9" s="37">
        <f>1140.23+47.93</f>
        <v>1188.1600000000001</v>
      </c>
    </row>
    <row r="10" spans="1:12" x14ac:dyDescent="0.35">
      <c r="A10" s="33" t="s">
        <v>375</v>
      </c>
      <c r="B10" s="37">
        <f>115.5+336</f>
        <v>451.5</v>
      </c>
      <c r="C10" s="37">
        <v>254.1</v>
      </c>
      <c r="D10" s="37">
        <v>391.5</v>
      </c>
      <c r="E10" s="37">
        <v>696.9</v>
      </c>
      <c r="F10" s="37">
        <v>485.02</v>
      </c>
    </row>
    <row r="11" spans="1:12" x14ac:dyDescent="0.35">
      <c r="A11" s="33" t="s">
        <v>376</v>
      </c>
      <c r="B11" s="37">
        <f>52+159</f>
        <v>211</v>
      </c>
      <c r="C11" s="37">
        <v>121.75</v>
      </c>
      <c r="D11" s="37">
        <v>138</v>
      </c>
      <c r="E11" s="37">
        <v>270</v>
      </c>
      <c r="F11" s="37">
        <v>241.77</v>
      </c>
    </row>
    <row r="12" spans="1:12" x14ac:dyDescent="0.35">
      <c r="A12" s="33" t="s">
        <v>377</v>
      </c>
      <c r="B12" s="34">
        <f t="shared" ref="B12:D12" si="0">SUM(B9:B11)</f>
        <v>1862.5</v>
      </c>
      <c r="C12" s="34">
        <f t="shared" si="0"/>
        <v>1505.05</v>
      </c>
      <c r="D12" s="34">
        <f t="shared" si="0"/>
        <v>1418.5</v>
      </c>
      <c r="E12" s="34">
        <f>SUM(E9:E11)</f>
        <v>2124.75</v>
      </c>
      <c r="F12" s="34">
        <f>SUM(F9:F11)</f>
        <v>1914.95</v>
      </c>
      <c r="L12" t="str">
        <f>INDEX($B$1:$F$1,1,MATCH((MIN(B12:F12)),B12:F12,0))</f>
        <v>Etiqa 
Essential Lifetime secure</v>
      </c>
    </row>
    <row r="13" spans="1:12" x14ac:dyDescent="0.35">
      <c r="A13" s="33" t="s">
        <v>378</v>
      </c>
      <c r="B13" s="34">
        <f t="shared" ref="B13:F16" si="1">B9*B$8</f>
        <v>24000</v>
      </c>
      <c r="C13" s="34">
        <f t="shared" si="1"/>
        <v>22584</v>
      </c>
      <c r="D13" s="34">
        <f t="shared" si="1"/>
        <v>17780</v>
      </c>
      <c r="E13" s="34">
        <f>E9*E$8</f>
        <v>23157</v>
      </c>
      <c r="F13" s="34">
        <f t="shared" si="1"/>
        <v>23763.200000000001</v>
      </c>
      <c r="L13" t="str">
        <f>INDEX($B$1:$F$1,1,MATCH((MIN(B13:F13)),B13:F13,0))</f>
        <v>Etiqa 
Essential Lifetime secure</v>
      </c>
    </row>
    <row r="14" spans="1:12" x14ac:dyDescent="0.35">
      <c r="A14" s="33" t="s">
        <v>379</v>
      </c>
      <c r="B14" s="34">
        <f t="shared" si="1"/>
        <v>9030</v>
      </c>
      <c r="C14" s="34">
        <f t="shared" si="1"/>
        <v>5082</v>
      </c>
      <c r="D14" s="34">
        <f t="shared" si="1"/>
        <v>7830</v>
      </c>
      <c r="E14" s="34">
        <f>E10*E$8</f>
        <v>13938</v>
      </c>
      <c r="F14" s="34">
        <f t="shared" si="1"/>
        <v>9700.4</v>
      </c>
      <c r="L14" t="str">
        <f>INDEX($B$1:$F$1,1,MATCH((MIN(B14:F14)),B14:F14,0))</f>
        <v>China Taiping 
I-Secure Legacy (II)</v>
      </c>
    </row>
    <row r="15" spans="1:12" x14ac:dyDescent="0.35">
      <c r="A15" s="33" t="s">
        <v>380</v>
      </c>
      <c r="B15" s="34">
        <f t="shared" si="1"/>
        <v>4220</v>
      </c>
      <c r="C15" s="34">
        <f t="shared" si="1"/>
        <v>2435</v>
      </c>
      <c r="D15" s="34">
        <f t="shared" si="1"/>
        <v>2760</v>
      </c>
      <c r="E15" s="34">
        <f>E11*E$8</f>
        <v>5400</v>
      </c>
      <c r="F15" s="34">
        <f t="shared" si="1"/>
        <v>4835.4000000000005</v>
      </c>
      <c r="L15" t="str">
        <f>INDEX($B$1:$F$1,1,MATCH((MIN(B15:F15)),B15:F15,0))</f>
        <v>China Taiping 
I-Secure Legacy (II)</v>
      </c>
    </row>
    <row r="16" spans="1:12" x14ac:dyDescent="0.35">
      <c r="A16" s="33" t="s">
        <v>381</v>
      </c>
      <c r="B16" s="34">
        <f t="shared" si="1"/>
        <v>37250</v>
      </c>
      <c r="C16" s="34">
        <f t="shared" si="1"/>
        <v>30101</v>
      </c>
      <c r="D16" s="34">
        <f t="shared" si="1"/>
        <v>28370</v>
      </c>
      <c r="E16" s="34">
        <f>E12*E$8</f>
        <v>42495</v>
      </c>
      <c r="F16" s="34">
        <f t="shared" si="1"/>
        <v>38299</v>
      </c>
      <c r="L16" t="str">
        <f>INDEX($B$1:$F$1,1,MATCH((MIN(B16:F16)),B16:F16,0))</f>
        <v>Etiqa 
Essential Lifetime secure</v>
      </c>
    </row>
    <row r="17" spans="1:12" x14ac:dyDescent="0.35">
      <c r="A17" s="63" t="s">
        <v>18</v>
      </c>
      <c r="B17" s="65"/>
      <c r="C17" s="65"/>
      <c r="D17" s="64"/>
      <c r="E17" s="64"/>
      <c r="F17" s="64"/>
    </row>
    <row r="18" spans="1:12" hidden="1" x14ac:dyDescent="0.35">
      <c r="A18" s="33" t="s">
        <v>382</v>
      </c>
      <c r="B18" s="37">
        <v>300000</v>
      </c>
      <c r="C18" s="37">
        <v>300000</v>
      </c>
      <c r="D18" s="37">
        <v>300000</v>
      </c>
      <c r="E18" s="37">
        <v>300000</v>
      </c>
      <c r="F18" s="37">
        <v>300000</v>
      </c>
    </row>
    <row r="19" spans="1:12" hidden="1" x14ac:dyDescent="0.35">
      <c r="A19" s="33" t="s">
        <v>383</v>
      </c>
      <c r="B19" s="37">
        <v>150000</v>
      </c>
      <c r="C19" s="37">
        <v>150000</v>
      </c>
      <c r="D19" s="37">
        <v>150000</v>
      </c>
      <c r="E19" s="37">
        <v>150000</v>
      </c>
      <c r="F19" s="37">
        <v>150000</v>
      </c>
    </row>
    <row r="20" spans="1:12" hidden="1" x14ac:dyDescent="0.35">
      <c r="A20" s="33" t="s">
        <v>384</v>
      </c>
      <c r="B20" s="37">
        <v>150000</v>
      </c>
      <c r="C20" s="37">
        <v>150000</v>
      </c>
      <c r="D20" s="37">
        <v>150000</v>
      </c>
      <c r="E20" s="37">
        <v>150000</v>
      </c>
      <c r="F20" s="37">
        <v>150000</v>
      </c>
    </row>
    <row r="21" spans="1:12" x14ac:dyDescent="0.35">
      <c r="A21" s="55" t="s">
        <v>385</v>
      </c>
      <c r="B21" s="38">
        <f t="shared" ref="B21:F23" si="2">B18/B9</f>
        <v>250</v>
      </c>
      <c r="C21" s="38">
        <f t="shared" si="2"/>
        <v>265.67481402763019</v>
      </c>
      <c r="D21" s="38">
        <f t="shared" si="2"/>
        <v>337.45781777277841</v>
      </c>
      <c r="E21" s="38">
        <f>E18/E9</f>
        <v>259.10091980826536</v>
      </c>
      <c r="F21" s="38">
        <f t="shared" si="2"/>
        <v>252.49124697010501</v>
      </c>
      <c r="L21" t="str">
        <f>INDEX($B$1:$F$1,1,MATCH((MAX(B21:F21)),B21:F21,0))</f>
        <v>Etiqa 
Essential Lifetime secure</v>
      </c>
    </row>
    <row r="22" spans="1:12" x14ac:dyDescent="0.35">
      <c r="A22" s="55" t="s">
        <v>386</v>
      </c>
      <c r="B22" s="38">
        <f t="shared" si="2"/>
        <v>332.22591362126246</v>
      </c>
      <c r="C22" s="38">
        <f t="shared" si="2"/>
        <v>590.31877213695395</v>
      </c>
      <c r="D22" s="38">
        <f t="shared" si="2"/>
        <v>383.14176245210729</v>
      </c>
      <c r="E22" s="38">
        <f>E19/E10</f>
        <v>215.23891519586741</v>
      </c>
      <c r="F22" s="38">
        <f t="shared" si="2"/>
        <v>309.26559729495693</v>
      </c>
      <c r="L22" t="str">
        <f>INDEX($B$1:$F$1,1,MATCH((MAX(B22:F22)),B22:F22,0))</f>
        <v>China Taiping 
I-Secure Legacy (II)</v>
      </c>
    </row>
    <row r="23" spans="1:12" x14ac:dyDescent="0.35">
      <c r="A23" s="55" t="s">
        <v>387</v>
      </c>
      <c r="B23" s="38">
        <f t="shared" si="2"/>
        <v>710.90047393364932</v>
      </c>
      <c r="C23" s="38">
        <f t="shared" si="2"/>
        <v>1232.0328542094455</v>
      </c>
      <c r="D23" s="38">
        <f t="shared" si="2"/>
        <v>1086.9565217391305</v>
      </c>
      <c r="E23" s="38">
        <f>E20/E11</f>
        <v>555.55555555555554</v>
      </c>
      <c r="F23" s="38">
        <f t="shared" si="2"/>
        <v>620.42437026926416</v>
      </c>
      <c r="L23" t="str">
        <f>INDEX($B$1:$F$1,1,MATCH((MAX(B23:F23)),B23:F23,0))</f>
        <v>China Taiping 
I-Secure Legacy (II)</v>
      </c>
    </row>
    <row r="24" spans="1:12" x14ac:dyDescent="0.35">
      <c r="A24" s="63" t="s">
        <v>22</v>
      </c>
      <c r="B24" s="65"/>
      <c r="C24" s="65"/>
      <c r="D24" s="64"/>
      <c r="E24" s="64"/>
      <c r="F24" s="64"/>
    </row>
    <row r="25" spans="1:12" hidden="1" x14ac:dyDescent="0.35">
      <c r="A25" s="33" t="s">
        <v>388</v>
      </c>
      <c r="B25" s="37">
        <v>300000</v>
      </c>
      <c r="C25" s="37">
        <v>300000</v>
      </c>
      <c r="D25" s="37">
        <v>300000</v>
      </c>
      <c r="E25" s="37">
        <v>300000</v>
      </c>
      <c r="F25" s="37">
        <v>300000</v>
      </c>
    </row>
    <row r="26" spans="1:12" hidden="1" x14ac:dyDescent="0.35">
      <c r="A26" s="33" t="s">
        <v>389</v>
      </c>
      <c r="B26" s="37">
        <v>457376</v>
      </c>
      <c r="C26" s="37">
        <v>300000</v>
      </c>
      <c r="D26" s="37">
        <v>302862</v>
      </c>
      <c r="E26" s="37">
        <v>325923</v>
      </c>
      <c r="F26" s="37">
        <v>312840</v>
      </c>
    </row>
    <row r="27" spans="1:12" hidden="1" x14ac:dyDescent="0.35">
      <c r="A27" s="33" t="s">
        <v>390</v>
      </c>
      <c r="B27" s="37">
        <v>62300</v>
      </c>
      <c r="C27" s="37">
        <v>49000</v>
      </c>
      <c r="D27" s="37">
        <v>38600</v>
      </c>
      <c r="E27" s="37">
        <v>42000</v>
      </c>
      <c r="F27" s="37">
        <v>27500</v>
      </c>
    </row>
    <row r="28" spans="1:12" hidden="1" x14ac:dyDescent="0.35">
      <c r="A28" s="33" t="s">
        <v>391</v>
      </c>
      <c r="B28" s="37">
        <v>166064</v>
      </c>
      <c r="C28" s="37">
        <v>142812</v>
      </c>
      <c r="D28" s="37">
        <v>138932</v>
      </c>
      <c r="E28" s="37">
        <v>162620</v>
      </c>
      <c r="F28" s="37">
        <v>143820</v>
      </c>
    </row>
    <row r="29" spans="1:12" x14ac:dyDescent="0.35">
      <c r="A29" s="55" t="s">
        <v>392</v>
      </c>
      <c r="B29" s="38">
        <f t="shared" ref="B29:F32" si="3">B25/B$13</f>
        <v>12.5</v>
      </c>
      <c r="C29" s="38">
        <f t="shared" si="3"/>
        <v>13.283740701381509</v>
      </c>
      <c r="D29" s="38">
        <f t="shared" si="3"/>
        <v>16.872890888638921</v>
      </c>
      <c r="E29" s="38">
        <f>E25/E$13</f>
        <v>12.955045990413266</v>
      </c>
      <c r="F29" s="38">
        <f t="shared" si="3"/>
        <v>12.624562348505252</v>
      </c>
      <c r="L29" t="str">
        <f>INDEX($B$1:$F$1,1,MATCH((MAX(B29:F29)),B29:F29,0))</f>
        <v>Etiqa 
Essential Lifetime secure</v>
      </c>
    </row>
    <row r="30" spans="1:12" x14ac:dyDescent="0.35">
      <c r="A30" s="55" t="s">
        <v>418</v>
      </c>
      <c r="B30" s="38">
        <f t="shared" si="3"/>
        <v>19.057333333333332</v>
      </c>
      <c r="C30" s="38">
        <f t="shared" si="3"/>
        <v>13.283740701381509</v>
      </c>
      <c r="D30" s="38">
        <f t="shared" si="3"/>
        <v>17.033858267716536</v>
      </c>
      <c r="E30" s="38">
        <f>E26/E$13</f>
        <v>14.074491514444876</v>
      </c>
      <c r="F30" s="38">
        <f t="shared" si="3"/>
        <v>13.164893617021276</v>
      </c>
      <c r="L30" t="str">
        <f>INDEX($B$1:$F$1,1,MATCH((MAX(B30:F30)),B30:F30,0))</f>
        <v>Singlife 
Whole Life Choice</v>
      </c>
    </row>
    <row r="31" spans="1:12" x14ac:dyDescent="0.35">
      <c r="A31" s="55" t="s">
        <v>394</v>
      </c>
      <c r="B31" s="38">
        <f t="shared" si="3"/>
        <v>2.5958333333333332</v>
      </c>
      <c r="C31" s="38">
        <f t="shared" si="3"/>
        <v>2.1696776478923132</v>
      </c>
      <c r="D31" s="38">
        <f t="shared" si="3"/>
        <v>2.1709786276715413</v>
      </c>
      <c r="E31" s="38">
        <f>E27/E$13</f>
        <v>1.8137064386578572</v>
      </c>
      <c r="F31" s="38">
        <f t="shared" si="3"/>
        <v>1.1572515486129813</v>
      </c>
      <c r="L31" t="str">
        <f>INDEX($B$1:$F$1,1,MATCH((MAX(B31:F31)),B31:F31,0))</f>
        <v>Singlife 
Whole Life Choice</v>
      </c>
    </row>
    <row r="32" spans="1:12" x14ac:dyDescent="0.35">
      <c r="A32" s="55" t="s">
        <v>395</v>
      </c>
      <c r="B32" s="38">
        <f t="shared" si="3"/>
        <v>6.9193333333333333</v>
      </c>
      <c r="C32" s="38">
        <f t="shared" si="3"/>
        <v>6.3235919234856537</v>
      </c>
      <c r="D32" s="38">
        <f t="shared" si="3"/>
        <v>7.8139482564679419</v>
      </c>
      <c r="E32" s="38">
        <f>E28/E$13</f>
        <v>7.0224985965366846</v>
      </c>
      <c r="F32" s="38">
        <f t="shared" si="3"/>
        <v>6.0522151898734178</v>
      </c>
      <c r="L32" t="str">
        <f>INDEX($B$1:$F$1,1,MATCH((MAX(B32:F32)),B32:F32,0))</f>
        <v>Etiqa 
Essential Lifetime secure</v>
      </c>
    </row>
    <row r="33" spans="1:12" x14ac:dyDescent="0.35">
      <c r="A33" s="63" t="s">
        <v>28</v>
      </c>
      <c r="B33" s="65"/>
      <c r="C33" s="65"/>
      <c r="D33" s="64"/>
      <c r="E33" s="64"/>
      <c r="F33" s="64"/>
    </row>
    <row r="34" spans="1:12" hidden="1" x14ac:dyDescent="0.35">
      <c r="A34" s="33" t="s">
        <v>388</v>
      </c>
      <c r="B34" s="37">
        <v>150000</v>
      </c>
      <c r="C34" s="37">
        <v>150000</v>
      </c>
      <c r="D34" s="37">
        <v>150000</v>
      </c>
      <c r="E34" s="37">
        <v>100000</v>
      </c>
      <c r="F34" s="37">
        <v>100000</v>
      </c>
    </row>
    <row r="35" spans="1:12" hidden="1" x14ac:dyDescent="0.35">
      <c r="A35" s="33" t="s">
        <v>389</v>
      </c>
      <c r="B35" s="37">
        <v>374575</v>
      </c>
      <c r="C35" s="37">
        <v>394202</v>
      </c>
      <c r="D35" s="37">
        <v>403990</v>
      </c>
      <c r="E35" s="37">
        <v>426069</v>
      </c>
      <c r="F35" s="37">
        <v>378822</v>
      </c>
    </row>
    <row r="36" spans="1:12" hidden="1" x14ac:dyDescent="0.35">
      <c r="A36" s="33" t="s">
        <v>390</v>
      </c>
      <c r="B36" s="37">
        <v>80500</v>
      </c>
      <c r="C36" s="37">
        <v>68700</v>
      </c>
      <c r="D36" s="37">
        <v>53300</v>
      </c>
      <c r="E36" s="37">
        <v>61700</v>
      </c>
      <c r="F36" s="37">
        <v>37300</v>
      </c>
    </row>
    <row r="37" spans="1:12" hidden="1" x14ac:dyDescent="0.35">
      <c r="A37" s="33" t="s">
        <v>391</v>
      </c>
      <c r="B37" s="37">
        <v>265491</v>
      </c>
      <c r="C37" s="37">
        <v>270817</v>
      </c>
      <c r="D37" s="37">
        <v>221653</v>
      </c>
      <c r="E37" s="37">
        <v>288600</v>
      </c>
      <c r="F37" s="37">
        <v>227728</v>
      </c>
    </row>
    <row r="38" spans="1:12" x14ac:dyDescent="0.35">
      <c r="A38" s="55" t="s">
        <v>392</v>
      </c>
      <c r="B38" s="38">
        <f t="shared" ref="B38:F41" si="4">B34/B$13</f>
        <v>6.25</v>
      </c>
      <c r="C38" s="38">
        <f t="shared" si="4"/>
        <v>6.6418703506907546</v>
      </c>
      <c r="D38" s="38">
        <f t="shared" si="4"/>
        <v>8.4364454443194603</v>
      </c>
      <c r="E38" s="38">
        <f>E34/E$13</f>
        <v>4.318348663471089</v>
      </c>
      <c r="F38" s="38">
        <f t="shared" si="4"/>
        <v>4.2081874495017502</v>
      </c>
      <c r="L38" t="str">
        <f>INDEX($B$1:$F$1,1,MATCH((MAX(B38:F38)),B38:F38,0))</f>
        <v>Etiqa 
Essential Lifetime secure</v>
      </c>
    </row>
    <row r="39" spans="1:12" x14ac:dyDescent="0.35">
      <c r="A39" s="55" t="s">
        <v>393</v>
      </c>
      <c r="B39" s="38">
        <f t="shared" si="4"/>
        <v>15.607291666666667</v>
      </c>
      <c r="C39" s="38">
        <f t="shared" si="4"/>
        <v>17.454923839886646</v>
      </c>
      <c r="D39" s="38">
        <f t="shared" si="4"/>
        <v>22.721597300337457</v>
      </c>
      <c r="E39" s="38">
        <f>E35/E$13</f>
        <v>18.399144966964634</v>
      </c>
      <c r="F39" s="38">
        <f t="shared" si="4"/>
        <v>15.94153985995152</v>
      </c>
      <c r="L39" t="str">
        <f>INDEX($B$1:$F$1,1,MATCH((MAX(B39:F39)),B39:F39,0))</f>
        <v>Etiqa 
Essential Lifetime secure</v>
      </c>
    </row>
    <row r="40" spans="1:12" x14ac:dyDescent="0.35">
      <c r="A40" s="55" t="s">
        <v>394</v>
      </c>
      <c r="B40" s="38">
        <f t="shared" si="4"/>
        <v>3.3541666666666665</v>
      </c>
      <c r="C40" s="38">
        <f t="shared" si="4"/>
        <v>3.0419766206163654</v>
      </c>
      <c r="D40" s="38">
        <f t="shared" si="4"/>
        <v>2.9977502812148482</v>
      </c>
      <c r="E40" s="38">
        <f>E36/E$13</f>
        <v>2.6644211253616619</v>
      </c>
      <c r="F40" s="38">
        <f t="shared" si="4"/>
        <v>1.5696539186641529</v>
      </c>
      <c r="L40" t="str">
        <f>INDEX($B$1:$F$1,1,MATCH((MAX(B40:F40)),B40:F40,0))</f>
        <v>Singlife 
Whole Life Choice</v>
      </c>
    </row>
    <row r="41" spans="1:12" x14ac:dyDescent="0.35">
      <c r="A41" s="55" t="s">
        <v>395</v>
      </c>
      <c r="B41" s="38">
        <f t="shared" si="4"/>
        <v>11.062125</v>
      </c>
      <c r="C41" s="38">
        <f t="shared" si="4"/>
        <v>11.991542685086786</v>
      </c>
      <c r="D41" s="38">
        <f t="shared" si="4"/>
        <v>12.466422947131608</v>
      </c>
      <c r="E41" s="38">
        <f>E37/E$13</f>
        <v>12.462754242777562</v>
      </c>
      <c r="F41" s="38">
        <f t="shared" si="4"/>
        <v>9.5832211150013471</v>
      </c>
      <c r="L41" t="str">
        <f>INDEX($B$1:$F$1,1,MATCH((MAX(B41:F41)),B41:F41,0))</f>
        <v>Etiqa 
Essential Lifetime secure</v>
      </c>
    </row>
    <row r="42" spans="1:12" x14ac:dyDescent="0.35">
      <c r="A42" s="63" t="s">
        <v>31</v>
      </c>
      <c r="B42" s="65"/>
      <c r="C42" s="65"/>
      <c r="D42" s="64"/>
      <c r="E42" s="64"/>
      <c r="F42" s="64"/>
    </row>
    <row r="43" spans="1:12" hidden="1" x14ac:dyDescent="0.35">
      <c r="A43" s="33" t="s">
        <v>388</v>
      </c>
      <c r="B43" s="37">
        <v>100000</v>
      </c>
      <c r="C43" s="37">
        <v>150000</v>
      </c>
      <c r="D43" s="37">
        <v>150000</v>
      </c>
      <c r="E43" s="37">
        <v>100000</v>
      </c>
      <c r="F43" s="37">
        <v>100000</v>
      </c>
    </row>
    <row r="44" spans="1:12" hidden="1" x14ac:dyDescent="0.35">
      <c r="A44" s="33" t="s">
        <v>389</v>
      </c>
      <c r="B44" s="37">
        <v>375912</v>
      </c>
      <c r="C44" s="37">
        <v>439932</v>
      </c>
      <c r="D44" s="37">
        <v>451745</v>
      </c>
      <c r="E44" s="37">
        <v>505083</v>
      </c>
      <c r="F44" s="37">
        <v>427192</v>
      </c>
    </row>
    <row r="45" spans="1:12" hidden="1" x14ac:dyDescent="0.35">
      <c r="A45" s="33" t="s">
        <v>390</v>
      </c>
      <c r="B45" s="37">
        <v>91100</v>
      </c>
      <c r="C45" s="37">
        <v>81900</v>
      </c>
      <c r="D45" s="37">
        <v>61800</v>
      </c>
      <c r="E45" s="37">
        <v>74200</v>
      </c>
      <c r="F45" s="37">
        <v>43300</v>
      </c>
    </row>
    <row r="46" spans="1:12" hidden="1" x14ac:dyDescent="0.35">
      <c r="A46" s="33" t="s">
        <v>391</v>
      </c>
      <c r="B46" s="37">
        <v>343392</v>
      </c>
      <c r="C46" s="37">
        <v>360304</v>
      </c>
      <c r="D46" s="37">
        <v>280989</v>
      </c>
      <c r="E46" s="37">
        <v>389485</v>
      </c>
      <c r="F46" s="37">
        <v>291979</v>
      </c>
    </row>
    <row r="47" spans="1:12" x14ac:dyDescent="0.35">
      <c r="A47" s="55" t="s">
        <v>392</v>
      </c>
      <c r="B47" s="38">
        <f t="shared" ref="B47:F50" si="5">B43/B$13</f>
        <v>4.166666666666667</v>
      </c>
      <c r="C47" s="38">
        <f t="shared" si="5"/>
        <v>6.6418703506907546</v>
      </c>
      <c r="D47" s="38">
        <f t="shared" si="5"/>
        <v>8.4364454443194603</v>
      </c>
      <c r="E47" s="38">
        <f>E43/E$13</f>
        <v>4.318348663471089</v>
      </c>
      <c r="F47" s="38">
        <f t="shared" si="5"/>
        <v>4.2081874495017502</v>
      </c>
      <c r="L47" t="str">
        <f>INDEX($B$1:$F$1,1,MATCH((MAX(B47:F47)),B47:F47,0))</f>
        <v>Etiqa 
Essential Lifetime secure</v>
      </c>
    </row>
    <row r="48" spans="1:12" x14ac:dyDescent="0.35">
      <c r="A48" s="55" t="s">
        <v>393</v>
      </c>
      <c r="B48" s="38">
        <f t="shared" si="5"/>
        <v>15.663</v>
      </c>
      <c r="C48" s="38">
        <f t="shared" si="5"/>
        <v>19.479808714133899</v>
      </c>
      <c r="D48" s="38">
        <f t="shared" si="5"/>
        <v>25.40748031496063</v>
      </c>
      <c r="E48" s="38">
        <f>E44/E$13</f>
        <v>21.811244979919678</v>
      </c>
      <c r="F48" s="38">
        <f t="shared" si="5"/>
        <v>17.977040129275519</v>
      </c>
      <c r="L48" t="str">
        <f>INDEX($B$1:$F$1,1,MATCH((MAX(B48:F48)),B48:F48,0))</f>
        <v>Etiqa 
Essential Lifetime secure</v>
      </c>
    </row>
    <row r="49" spans="1:12" x14ac:dyDescent="0.35">
      <c r="A49" s="55" t="s">
        <v>394</v>
      </c>
      <c r="B49" s="38">
        <f t="shared" si="5"/>
        <v>3.7958333333333334</v>
      </c>
      <c r="C49" s="38">
        <f t="shared" si="5"/>
        <v>3.6264612114771522</v>
      </c>
      <c r="D49" s="38">
        <f t="shared" si="5"/>
        <v>3.4758155230596177</v>
      </c>
      <c r="E49" s="38">
        <f>E45/E$13</f>
        <v>3.2042147082955479</v>
      </c>
      <c r="F49" s="38">
        <f t="shared" si="5"/>
        <v>1.822145165634258</v>
      </c>
      <c r="L49" t="str">
        <f>INDEX($B$1:$F$1,1,MATCH((MAX(B49:F49)),B49:F49,0))</f>
        <v>Singlife 
Whole Life Choice</v>
      </c>
    </row>
    <row r="50" spans="1:12" x14ac:dyDescent="0.35">
      <c r="A50" s="55" t="s">
        <v>395</v>
      </c>
      <c r="B50" s="38">
        <f t="shared" si="5"/>
        <v>14.308</v>
      </c>
      <c r="C50" s="38">
        <f t="shared" si="5"/>
        <v>15.953949698901878</v>
      </c>
      <c r="D50" s="38">
        <f t="shared" si="5"/>
        <v>15.803655793025872</v>
      </c>
      <c r="E50" s="38">
        <f>E46/E$13</f>
        <v>16.81932029192037</v>
      </c>
      <c r="F50" s="38">
        <f t="shared" si="5"/>
        <v>12.287023633180716</v>
      </c>
      <c r="L50" t="str">
        <f>INDEX($B$1:$F$1,1,MATCH((MAX(B50:F50)),B50:F50,0))</f>
        <v>Income 
Complete Life Secure</v>
      </c>
    </row>
    <row r="51" spans="1:12" x14ac:dyDescent="0.35">
      <c r="A51" s="39" t="s">
        <v>33</v>
      </c>
      <c r="B51" s="40">
        <v>3.5999999999999997E-2</v>
      </c>
      <c r="C51" s="40">
        <v>3.3300000000000003E-2</v>
      </c>
      <c r="D51" s="40">
        <v>3.73E-2</v>
      </c>
      <c r="E51" s="40">
        <v>3.5400000000000001E-2</v>
      </c>
      <c r="F51" s="40">
        <v>3.2599999999999997E-2</v>
      </c>
      <c r="L51" t="str">
        <f>INDEX($B$1:$F$1,1,MATCH((MAX(B51:F51)),B51:F51,0))</f>
        <v>Etiqa 
Essential Lifetime secure</v>
      </c>
    </row>
  </sheetData>
  <sheetProtection algorithmName="SHA-512" hashValue="y2VImMzaOgAZvf4VJKJQep5Isr3JGpmsL07IY9prJsOreMFmPloKqbA755kkrsdz9iGk8YeFpp9I36YaJjoUsw==" saltValue="uTmHpj8Gd6DUMB28RkPLMQ==" spinCount="100000" sheet="1" objects="1" scenarios="1" selectLockedCells="1" autoFilter="0" selectUnlockedCells="1"/>
  <conditionalFormatting sqref="B12:F12">
    <cfRule type="top10" dxfId="420" priority="989" bottom="1" rank="1"/>
    <cfRule type="top10" dxfId="419" priority="990" bottom="1" rank="2"/>
  </conditionalFormatting>
  <conditionalFormatting sqref="B13:F13">
    <cfRule type="top10" dxfId="418" priority="993" bottom="1" rank="1"/>
    <cfRule type="top10" dxfId="417" priority="994" bottom="1" rank="2"/>
  </conditionalFormatting>
  <conditionalFormatting sqref="B14:F14">
    <cfRule type="top10" dxfId="416" priority="997" bottom="1" rank="1"/>
    <cfRule type="top10" dxfId="415" priority="998" bottom="1" rank="2"/>
  </conditionalFormatting>
  <conditionalFormatting sqref="B15:F15">
    <cfRule type="top10" dxfId="414" priority="1001" bottom="1" rank="1"/>
    <cfRule type="top10" dxfId="413" priority="1002" bottom="1" rank="2"/>
  </conditionalFormatting>
  <conditionalFormatting sqref="B16:F16">
    <cfRule type="top10" dxfId="412" priority="1005" bottom="1" rank="1"/>
    <cfRule type="top10" dxfId="411" priority="1006" bottom="1" rank="2"/>
  </conditionalFormatting>
  <conditionalFormatting sqref="B21:F21">
    <cfRule type="top10" dxfId="410" priority="1009" rank="1"/>
    <cfRule type="top10" dxfId="409" priority="1010" rank="2"/>
  </conditionalFormatting>
  <conditionalFormatting sqref="B22:F22">
    <cfRule type="top10" dxfId="408" priority="1013" rank="1"/>
    <cfRule type="top10" dxfId="407" priority="1014" rank="2"/>
  </conditionalFormatting>
  <conditionalFormatting sqref="B23:F23">
    <cfRule type="top10" dxfId="406" priority="1017" rank="1"/>
    <cfRule type="top10" dxfId="405" priority="1018" rank="2"/>
  </conditionalFormatting>
  <conditionalFormatting sqref="B29:F29">
    <cfRule type="top10" dxfId="404" priority="1021" rank="1"/>
    <cfRule type="top10" dxfId="403" priority="1022" rank="2"/>
  </conditionalFormatting>
  <conditionalFormatting sqref="B30:F30">
    <cfRule type="top10" dxfId="402" priority="1025" rank="1"/>
    <cfRule type="top10" dxfId="401" priority="1026" rank="2"/>
  </conditionalFormatting>
  <conditionalFormatting sqref="B31:F31">
    <cfRule type="top10" dxfId="400" priority="1029" rank="1"/>
    <cfRule type="top10" dxfId="399" priority="1030" rank="2"/>
  </conditionalFormatting>
  <conditionalFormatting sqref="B32:F32">
    <cfRule type="top10" dxfId="398" priority="1033" rank="1"/>
    <cfRule type="top10" dxfId="397" priority="1034" rank="2"/>
  </conditionalFormatting>
  <conditionalFormatting sqref="B38:F38">
    <cfRule type="top10" dxfId="396" priority="1037" rank="1"/>
    <cfRule type="top10" dxfId="395" priority="1038" rank="2"/>
  </conditionalFormatting>
  <conditionalFormatting sqref="B39:F39">
    <cfRule type="top10" dxfId="394" priority="1041" rank="1"/>
    <cfRule type="top10" dxfId="393" priority="1042" rank="2"/>
  </conditionalFormatting>
  <conditionalFormatting sqref="B40:F40">
    <cfRule type="top10" dxfId="392" priority="1045" rank="1"/>
    <cfRule type="top10" dxfId="391" priority="1046" rank="2"/>
  </conditionalFormatting>
  <conditionalFormatting sqref="B41:F41">
    <cfRule type="top10" dxfId="390" priority="1049" rank="1"/>
    <cfRule type="top10" dxfId="389" priority="1050" rank="2"/>
  </conditionalFormatting>
  <conditionalFormatting sqref="B47:F47">
    <cfRule type="top10" dxfId="388" priority="1053" rank="1"/>
    <cfRule type="top10" dxfId="387" priority="1054" rank="2"/>
  </conditionalFormatting>
  <conditionalFormatting sqref="B48:F48">
    <cfRule type="top10" dxfId="386" priority="1057" rank="1"/>
    <cfRule type="top10" dxfId="385" priority="1058" rank="2"/>
  </conditionalFormatting>
  <conditionalFormatting sqref="B49:F49">
    <cfRule type="top10" dxfId="384" priority="1061" rank="1"/>
    <cfRule type="top10" dxfId="383" priority="1062" rank="2"/>
  </conditionalFormatting>
  <conditionalFormatting sqref="B50:F50">
    <cfRule type="top10" dxfId="382" priority="1065" rank="1"/>
    <cfRule type="top10" dxfId="381" priority="1066" rank="2"/>
  </conditionalFormatting>
  <conditionalFormatting sqref="B51:F51">
    <cfRule type="top10" dxfId="380" priority="1069" rank="1"/>
    <cfRule type="top10" dxfId="379" priority="1070" rank="2"/>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88D5-A933-41ED-8CD5-B8805E959228}">
  <sheetPr>
    <tabColor rgb="FFCCECFF"/>
  </sheetPr>
  <dimension ref="B1:M51"/>
  <sheetViews>
    <sheetView showGridLines="0" zoomScale="70" zoomScaleNormal="70" workbookViewId="0">
      <pane ySplit="1" topLeftCell="A2" activePane="bottomLeft" state="frozen"/>
      <selection activeCell="M22" sqref="M22"/>
      <selection pane="bottomLeft" activeCell="I55" sqref="I55"/>
    </sheetView>
  </sheetViews>
  <sheetFormatPr defaultRowHeight="14.5" x14ac:dyDescent="0.35"/>
  <cols>
    <col min="2" max="2" width="63.453125" bestFit="1" customWidth="1"/>
    <col min="3" max="7" width="12.81640625" customWidth="1"/>
    <col min="9" max="10" width="12.81640625" customWidth="1"/>
  </cols>
  <sheetData>
    <row r="1" spans="2:13" ht="72.5" x14ac:dyDescent="0.35">
      <c r="B1" s="98" t="s">
        <v>412</v>
      </c>
      <c r="C1" s="28" t="s">
        <v>356</v>
      </c>
      <c r="D1" s="28" t="s">
        <v>359</v>
      </c>
      <c r="E1" s="28" t="s">
        <v>360</v>
      </c>
      <c r="F1" s="28" t="s">
        <v>419</v>
      </c>
      <c r="G1" s="28" t="s">
        <v>361</v>
      </c>
      <c r="I1" s="29" t="s">
        <v>362</v>
      </c>
      <c r="J1" s="30" t="s">
        <v>363</v>
      </c>
    </row>
    <row r="2" spans="2:13" x14ac:dyDescent="0.35">
      <c r="B2" s="31" t="s">
        <v>364</v>
      </c>
      <c r="C2" s="32"/>
      <c r="D2" s="32"/>
      <c r="E2" s="32"/>
      <c r="F2" s="32"/>
      <c r="G2" s="32"/>
    </row>
    <row r="3" spans="2:13" x14ac:dyDescent="0.35">
      <c r="B3" s="33" t="s">
        <v>365</v>
      </c>
      <c r="C3" s="34">
        <v>100000</v>
      </c>
      <c r="D3" s="34">
        <v>100000</v>
      </c>
      <c r="E3" s="34">
        <v>100000</v>
      </c>
      <c r="F3" s="34">
        <v>100000</v>
      </c>
      <c r="G3" s="34">
        <v>100000</v>
      </c>
    </row>
    <row r="4" spans="2:13" x14ac:dyDescent="0.35">
      <c r="B4" s="33" t="s">
        <v>274</v>
      </c>
      <c r="C4" s="34">
        <v>50000</v>
      </c>
      <c r="D4" s="34">
        <v>50000</v>
      </c>
      <c r="E4" s="34">
        <v>50000</v>
      </c>
      <c r="F4" s="34">
        <v>50000</v>
      </c>
      <c r="G4" s="34">
        <v>50000</v>
      </c>
    </row>
    <row r="5" spans="2:13" x14ac:dyDescent="0.35">
      <c r="B5" s="33" t="s">
        <v>271</v>
      </c>
      <c r="C5" s="34">
        <v>50000</v>
      </c>
      <c r="D5" s="34">
        <v>50000</v>
      </c>
      <c r="E5" s="34">
        <v>50000</v>
      </c>
      <c r="F5" s="34">
        <v>50000</v>
      </c>
      <c r="G5" s="34">
        <v>50000</v>
      </c>
    </row>
    <row r="6" spans="2:13" ht="29" x14ac:dyDescent="0.35">
      <c r="B6" s="33" t="s">
        <v>366</v>
      </c>
      <c r="C6" s="35" t="s">
        <v>414</v>
      </c>
      <c r="D6" s="36" t="s">
        <v>415</v>
      </c>
      <c r="E6" s="36" t="s">
        <v>415</v>
      </c>
      <c r="F6" s="35" t="s">
        <v>416</v>
      </c>
      <c r="G6" s="35" t="s">
        <v>417</v>
      </c>
    </row>
    <row r="7" spans="2:13" x14ac:dyDescent="0.35">
      <c r="B7" s="31" t="s">
        <v>372</v>
      </c>
      <c r="C7" s="32"/>
      <c r="D7" s="32"/>
      <c r="E7" s="32"/>
      <c r="F7" s="32"/>
      <c r="G7" s="32"/>
    </row>
    <row r="8" spans="2:13" x14ac:dyDescent="0.35">
      <c r="B8" s="33" t="s">
        <v>373</v>
      </c>
      <c r="C8" s="33">
        <v>20</v>
      </c>
      <c r="D8" s="33">
        <v>20</v>
      </c>
      <c r="E8" s="33">
        <v>20</v>
      </c>
      <c r="F8" s="33">
        <v>20</v>
      </c>
      <c r="G8" s="33">
        <v>20</v>
      </c>
    </row>
    <row r="9" spans="2:13" x14ac:dyDescent="0.35">
      <c r="B9" s="33" t="s">
        <v>374</v>
      </c>
      <c r="C9" s="37">
        <f>1000+144+16+40</f>
        <v>1200</v>
      </c>
      <c r="D9" s="37">
        <f>1028.2+101</f>
        <v>1129.2</v>
      </c>
      <c r="E9" s="37">
        <v>889</v>
      </c>
      <c r="F9" s="37">
        <v>1050</v>
      </c>
      <c r="G9" s="37">
        <f>1140.23+47.93</f>
        <v>1188.1600000000001</v>
      </c>
    </row>
    <row r="10" spans="2:13" x14ac:dyDescent="0.35">
      <c r="B10" s="33" t="s">
        <v>375</v>
      </c>
      <c r="C10" s="37">
        <f>115.5+336</f>
        <v>451.5</v>
      </c>
      <c r="D10" s="37">
        <v>254.1</v>
      </c>
      <c r="E10" s="37">
        <v>391.5</v>
      </c>
      <c r="F10" s="37">
        <v>399.2</v>
      </c>
      <c r="G10" s="37">
        <v>485.02</v>
      </c>
    </row>
    <row r="11" spans="2:13" x14ac:dyDescent="0.35">
      <c r="B11" s="33" t="s">
        <v>376</v>
      </c>
      <c r="C11" s="37">
        <f>52+159</f>
        <v>211</v>
      </c>
      <c r="D11" s="37">
        <v>121.75</v>
      </c>
      <c r="E11" s="37">
        <v>138</v>
      </c>
      <c r="F11" s="37">
        <v>308.64999999999998</v>
      </c>
      <c r="G11" s="37">
        <v>241.77</v>
      </c>
    </row>
    <row r="12" spans="2:13" x14ac:dyDescent="0.35">
      <c r="B12" s="33" t="s">
        <v>377</v>
      </c>
      <c r="C12" s="34">
        <f t="shared" ref="C12:F12" si="0">SUM(C9:C11)</f>
        <v>1862.5</v>
      </c>
      <c r="D12" s="34">
        <f t="shared" si="0"/>
        <v>1505.05</v>
      </c>
      <c r="E12" s="34">
        <f t="shared" si="0"/>
        <v>1418.5</v>
      </c>
      <c r="F12" s="34">
        <f t="shared" si="0"/>
        <v>1757.85</v>
      </c>
      <c r="G12" s="34">
        <f>SUM(G9:G11)</f>
        <v>1914.95</v>
      </c>
      <c r="M12" t="str">
        <f>INDEX($C$1:$G$1,1,MATCH((MIN(C12:G12)),C12:G12,0))</f>
        <v>Etiqa 
Essential Lifetime secure</v>
      </c>
    </row>
    <row r="13" spans="2:13" x14ac:dyDescent="0.35">
      <c r="B13" s="33" t="s">
        <v>378</v>
      </c>
      <c r="C13" s="34">
        <f t="shared" ref="C13:G13" si="1">C9*C$8</f>
        <v>24000</v>
      </c>
      <c r="D13" s="34">
        <f t="shared" si="1"/>
        <v>22584</v>
      </c>
      <c r="E13" s="34">
        <f t="shared" si="1"/>
        <v>17780</v>
      </c>
      <c r="F13" s="34">
        <f t="shared" si="1"/>
        <v>21000</v>
      </c>
      <c r="G13" s="34">
        <f t="shared" si="1"/>
        <v>23763.200000000001</v>
      </c>
      <c r="M13" t="str">
        <f>INDEX($C$1:$G$1,1,MATCH((MIN(C13:G13)),C13:G13,0))</f>
        <v>Etiqa 
Essential Lifetime secure</v>
      </c>
    </row>
    <row r="14" spans="2:13" x14ac:dyDescent="0.35">
      <c r="B14" s="33" t="s">
        <v>379</v>
      </c>
      <c r="C14" s="34">
        <f t="shared" ref="C14:G16" si="2">C10*C$8</f>
        <v>9030</v>
      </c>
      <c r="D14" s="34">
        <f t="shared" si="2"/>
        <v>5082</v>
      </c>
      <c r="E14" s="34">
        <f t="shared" si="2"/>
        <v>7830</v>
      </c>
      <c r="F14" s="34">
        <f t="shared" si="2"/>
        <v>7984</v>
      </c>
      <c r="G14" s="34">
        <f t="shared" si="2"/>
        <v>9700.4</v>
      </c>
      <c r="M14" t="str">
        <f>INDEX($C$1:$G$1,1,MATCH((MIN(C14:G14)),C14:G14,0))</f>
        <v>China Taiping 
I-Secure Legacy (II)</v>
      </c>
    </row>
    <row r="15" spans="2:13" x14ac:dyDescent="0.35">
      <c r="B15" s="33" t="s">
        <v>380</v>
      </c>
      <c r="C15" s="34">
        <f t="shared" si="2"/>
        <v>4220</v>
      </c>
      <c r="D15" s="34">
        <f t="shared" si="2"/>
        <v>2435</v>
      </c>
      <c r="E15" s="34">
        <f t="shared" si="2"/>
        <v>2760</v>
      </c>
      <c r="F15" s="34">
        <f t="shared" si="2"/>
        <v>6173</v>
      </c>
      <c r="G15" s="34">
        <f t="shared" si="2"/>
        <v>4835.4000000000005</v>
      </c>
      <c r="M15" t="str">
        <f>INDEX($C$1:$G$1,1,MATCH((MIN(C15:G15)),C15:G15,0))</f>
        <v>China Taiping 
I-Secure Legacy (II)</v>
      </c>
    </row>
    <row r="16" spans="2:13" x14ac:dyDescent="0.35">
      <c r="B16" s="33" t="s">
        <v>381</v>
      </c>
      <c r="C16" s="34">
        <f t="shared" si="2"/>
        <v>37250</v>
      </c>
      <c r="D16" s="34">
        <f t="shared" si="2"/>
        <v>30101</v>
      </c>
      <c r="E16" s="34">
        <f t="shared" si="2"/>
        <v>28370</v>
      </c>
      <c r="F16" s="34">
        <f t="shared" si="2"/>
        <v>35157</v>
      </c>
      <c r="G16" s="34">
        <f t="shared" si="2"/>
        <v>38299</v>
      </c>
      <c r="M16" t="str">
        <f>INDEX($C$1:$G$1,1,MATCH((MIN(C16:G16)),C16:G16,0))</f>
        <v>Etiqa 
Essential Lifetime secure</v>
      </c>
    </row>
    <row r="17" spans="2:13" x14ac:dyDescent="0.35">
      <c r="B17" s="63" t="s">
        <v>18</v>
      </c>
      <c r="C17" s="65"/>
      <c r="D17" s="65"/>
      <c r="E17" s="64"/>
      <c r="F17" s="64"/>
      <c r="G17" s="64"/>
    </row>
    <row r="18" spans="2:13" hidden="1" x14ac:dyDescent="0.35">
      <c r="B18" s="33" t="s">
        <v>382</v>
      </c>
      <c r="C18" s="37">
        <v>300000</v>
      </c>
      <c r="D18" s="37">
        <v>300000</v>
      </c>
      <c r="E18" s="37">
        <v>300000</v>
      </c>
      <c r="F18" s="37">
        <v>300000</v>
      </c>
      <c r="G18" s="37">
        <v>300000</v>
      </c>
    </row>
    <row r="19" spans="2:13" hidden="1" x14ac:dyDescent="0.35">
      <c r="B19" s="33" t="s">
        <v>383</v>
      </c>
      <c r="C19" s="37">
        <v>150000</v>
      </c>
      <c r="D19" s="37">
        <v>150000</v>
      </c>
      <c r="E19" s="37">
        <v>150000</v>
      </c>
      <c r="F19" s="37">
        <v>150000</v>
      </c>
      <c r="G19" s="37">
        <v>150000</v>
      </c>
    </row>
    <row r="20" spans="2:13" hidden="1" x14ac:dyDescent="0.35">
      <c r="B20" s="33" t="s">
        <v>384</v>
      </c>
      <c r="C20" s="37">
        <v>150000</v>
      </c>
      <c r="D20" s="37">
        <v>150000</v>
      </c>
      <c r="E20" s="37">
        <v>150000</v>
      </c>
      <c r="F20" s="37">
        <v>150000</v>
      </c>
      <c r="G20" s="37">
        <v>150000</v>
      </c>
    </row>
    <row r="21" spans="2:13" x14ac:dyDescent="0.35">
      <c r="B21" s="55" t="s">
        <v>385</v>
      </c>
      <c r="C21" s="38">
        <f t="shared" ref="C21:G21" si="3">C18/C9</f>
        <v>250</v>
      </c>
      <c r="D21" s="38">
        <f t="shared" si="3"/>
        <v>265.67481402763019</v>
      </c>
      <c r="E21" s="38">
        <f t="shared" si="3"/>
        <v>337.45781777277841</v>
      </c>
      <c r="F21" s="38">
        <f t="shared" si="3"/>
        <v>285.71428571428572</v>
      </c>
      <c r="G21" s="38">
        <f t="shared" si="3"/>
        <v>252.49124697010501</v>
      </c>
      <c r="M21" t="str">
        <f>INDEX($C$1:$G$1,1,MATCH((MAX(C21:G21)),C21:G21,0))</f>
        <v>Etiqa 
Essential Lifetime secure</v>
      </c>
    </row>
    <row r="22" spans="2:13" x14ac:dyDescent="0.35">
      <c r="B22" s="55" t="s">
        <v>386</v>
      </c>
      <c r="C22" s="38">
        <f t="shared" ref="C22:G23" si="4">C19/C10</f>
        <v>332.22591362126246</v>
      </c>
      <c r="D22" s="38">
        <f t="shared" si="4"/>
        <v>590.31877213695395</v>
      </c>
      <c r="E22" s="38">
        <f t="shared" si="4"/>
        <v>383.14176245210729</v>
      </c>
      <c r="F22" s="38">
        <f t="shared" si="4"/>
        <v>375.75150300601206</v>
      </c>
      <c r="G22" s="38">
        <f t="shared" si="4"/>
        <v>309.26559729495693</v>
      </c>
      <c r="M22" t="str">
        <f>INDEX($C$1:$G$1,1,MATCH((MAX(C22:G22)),C22:G22,0))</f>
        <v>China Taiping 
I-Secure Legacy (II)</v>
      </c>
    </row>
    <row r="23" spans="2:13" x14ac:dyDescent="0.35">
      <c r="B23" s="55" t="s">
        <v>387</v>
      </c>
      <c r="C23" s="38">
        <f t="shared" si="4"/>
        <v>710.90047393364932</v>
      </c>
      <c r="D23" s="38">
        <f t="shared" si="4"/>
        <v>1232.0328542094455</v>
      </c>
      <c r="E23" s="38">
        <f t="shared" si="4"/>
        <v>1086.9565217391305</v>
      </c>
      <c r="F23" s="38">
        <f t="shared" si="4"/>
        <v>485.98736432852752</v>
      </c>
      <c r="G23" s="38">
        <f t="shared" si="4"/>
        <v>620.42437026926416</v>
      </c>
      <c r="M23" t="str">
        <f>INDEX($C$1:$G$1,1,MATCH((MAX(C23:G23)),C23:G23,0))</f>
        <v>China Taiping 
I-Secure Legacy (II)</v>
      </c>
    </row>
    <row r="24" spans="2:13" x14ac:dyDescent="0.35">
      <c r="B24" s="63" t="s">
        <v>22</v>
      </c>
      <c r="C24" s="65"/>
      <c r="D24" s="65"/>
      <c r="E24" s="64"/>
      <c r="F24" s="64"/>
      <c r="G24" s="64"/>
    </row>
    <row r="25" spans="2:13" hidden="1" x14ac:dyDescent="0.35">
      <c r="B25" s="33" t="s">
        <v>388</v>
      </c>
      <c r="C25" s="37">
        <v>300000</v>
      </c>
      <c r="D25" s="37">
        <v>300000</v>
      </c>
      <c r="E25" s="37">
        <v>300000</v>
      </c>
      <c r="F25" s="37">
        <v>300000</v>
      </c>
      <c r="G25" s="37">
        <v>300000</v>
      </c>
    </row>
    <row r="26" spans="2:13" hidden="1" x14ac:dyDescent="0.35">
      <c r="B26" s="33" t="s">
        <v>389</v>
      </c>
      <c r="C26" s="37">
        <v>457376</v>
      </c>
      <c r="D26" s="37">
        <v>300000</v>
      </c>
      <c r="E26" s="37">
        <v>302862</v>
      </c>
      <c r="F26" s="37">
        <v>300000</v>
      </c>
      <c r="G26" s="37">
        <v>312840</v>
      </c>
    </row>
    <row r="27" spans="2:13" hidden="1" x14ac:dyDescent="0.35">
      <c r="B27" s="33" t="s">
        <v>390</v>
      </c>
      <c r="C27" s="37">
        <v>62300</v>
      </c>
      <c r="D27" s="37">
        <v>49000</v>
      </c>
      <c r="E27" s="37">
        <v>38600</v>
      </c>
      <c r="F27" s="37">
        <v>42000</v>
      </c>
      <c r="G27" s="37">
        <v>27500</v>
      </c>
    </row>
    <row r="28" spans="2:13" hidden="1" x14ac:dyDescent="0.35">
      <c r="B28" s="33" t="s">
        <v>391</v>
      </c>
      <c r="C28" s="37">
        <v>166064</v>
      </c>
      <c r="D28" s="37">
        <v>142812</v>
      </c>
      <c r="E28" s="37">
        <v>138932</v>
      </c>
      <c r="F28" s="37">
        <v>121882</v>
      </c>
      <c r="G28" s="37">
        <v>143820</v>
      </c>
    </row>
    <row r="29" spans="2:13" x14ac:dyDescent="0.35">
      <c r="B29" s="55" t="s">
        <v>392</v>
      </c>
      <c r="C29" s="38">
        <f t="shared" ref="C29:G29" si="5">C25/C$13</f>
        <v>12.5</v>
      </c>
      <c r="D29" s="38">
        <f t="shared" si="5"/>
        <v>13.283740701381509</v>
      </c>
      <c r="E29" s="38">
        <f t="shared" si="5"/>
        <v>16.872890888638921</v>
      </c>
      <c r="F29" s="38">
        <f t="shared" si="5"/>
        <v>14.285714285714286</v>
      </c>
      <c r="G29" s="38">
        <f t="shared" si="5"/>
        <v>12.624562348505252</v>
      </c>
      <c r="M29" t="str">
        <f>INDEX($C$1:$G$1,1,MATCH((MAX(C29:G29)),C29:G29,0))</f>
        <v>Etiqa 
Essential Lifetime secure</v>
      </c>
    </row>
    <row r="30" spans="2:13" x14ac:dyDescent="0.35">
      <c r="B30" s="55" t="s">
        <v>418</v>
      </c>
      <c r="C30" s="38">
        <f t="shared" ref="C30:G32" si="6">C26/C$13</f>
        <v>19.057333333333332</v>
      </c>
      <c r="D30" s="38">
        <f t="shared" si="6"/>
        <v>13.283740701381509</v>
      </c>
      <c r="E30" s="38">
        <f t="shared" si="6"/>
        <v>17.033858267716536</v>
      </c>
      <c r="F30" s="38">
        <f t="shared" si="6"/>
        <v>14.285714285714286</v>
      </c>
      <c r="G30" s="38">
        <f t="shared" si="6"/>
        <v>13.164893617021276</v>
      </c>
      <c r="M30" t="str">
        <f>INDEX($C$1:$G$1,1,MATCH((MAX(C30:G30)),C30:G30,0))</f>
        <v>Singlife 
Whole Life Choice</v>
      </c>
    </row>
    <row r="31" spans="2:13" x14ac:dyDescent="0.35">
      <c r="B31" s="55" t="s">
        <v>394</v>
      </c>
      <c r="C31" s="38">
        <f t="shared" si="6"/>
        <v>2.5958333333333332</v>
      </c>
      <c r="D31" s="38">
        <f t="shared" si="6"/>
        <v>2.1696776478923132</v>
      </c>
      <c r="E31" s="38">
        <f t="shared" si="6"/>
        <v>2.1709786276715413</v>
      </c>
      <c r="F31" s="38">
        <f t="shared" si="6"/>
        <v>2</v>
      </c>
      <c r="G31" s="38">
        <f t="shared" si="6"/>
        <v>1.1572515486129813</v>
      </c>
      <c r="M31" t="str">
        <f>INDEX($C$1:$G$1,1,MATCH((MAX(C31:G31)),C31:G31,0))</f>
        <v>Singlife 
Whole Life Choice</v>
      </c>
    </row>
    <row r="32" spans="2:13" x14ac:dyDescent="0.35">
      <c r="B32" s="55" t="s">
        <v>395</v>
      </c>
      <c r="C32" s="38">
        <f t="shared" si="6"/>
        <v>6.9193333333333333</v>
      </c>
      <c r="D32" s="38">
        <f t="shared" si="6"/>
        <v>6.3235919234856537</v>
      </c>
      <c r="E32" s="38">
        <f t="shared" si="6"/>
        <v>7.8139482564679419</v>
      </c>
      <c r="F32" s="38">
        <f t="shared" si="6"/>
        <v>5.8039047619047617</v>
      </c>
      <c r="G32" s="38">
        <f t="shared" si="6"/>
        <v>6.0522151898734178</v>
      </c>
      <c r="M32" t="str">
        <f>INDEX($C$1:$G$1,1,MATCH((MAX(C32:G32)),C32:G32,0))</f>
        <v>Etiqa 
Essential Lifetime secure</v>
      </c>
    </row>
    <row r="33" spans="2:13" x14ac:dyDescent="0.35">
      <c r="B33" s="63" t="s">
        <v>28</v>
      </c>
      <c r="C33" s="65"/>
      <c r="D33" s="65"/>
      <c r="E33" s="64"/>
      <c r="F33" s="64"/>
      <c r="G33" s="64"/>
    </row>
    <row r="34" spans="2:13" hidden="1" x14ac:dyDescent="0.35">
      <c r="B34" s="33" t="s">
        <v>388</v>
      </c>
      <c r="C34" s="37">
        <v>150000</v>
      </c>
      <c r="D34" s="37">
        <v>150000</v>
      </c>
      <c r="E34" s="37">
        <v>150000</v>
      </c>
      <c r="F34" s="37">
        <v>100000</v>
      </c>
      <c r="G34" s="37">
        <v>100000</v>
      </c>
    </row>
    <row r="35" spans="2:13" hidden="1" x14ac:dyDescent="0.35">
      <c r="B35" s="33" t="s">
        <v>389</v>
      </c>
      <c r="C35" s="37">
        <v>374575</v>
      </c>
      <c r="D35" s="37">
        <v>394202</v>
      </c>
      <c r="E35" s="37">
        <v>403990</v>
      </c>
      <c r="F35" s="37">
        <v>355859</v>
      </c>
      <c r="G35" s="37">
        <v>378822</v>
      </c>
    </row>
    <row r="36" spans="2:13" hidden="1" x14ac:dyDescent="0.35">
      <c r="B36" s="33" t="s">
        <v>390</v>
      </c>
      <c r="C36" s="37">
        <v>80500</v>
      </c>
      <c r="D36" s="37">
        <v>68700</v>
      </c>
      <c r="E36" s="37">
        <v>53300</v>
      </c>
      <c r="F36" s="37">
        <v>64600</v>
      </c>
      <c r="G36" s="37">
        <v>37300</v>
      </c>
    </row>
    <row r="37" spans="2:13" hidden="1" x14ac:dyDescent="0.35">
      <c r="B37" s="33" t="s">
        <v>391</v>
      </c>
      <c r="C37" s="37">
        <v>265491</v>
      </c>
      <c r="D37" s="37">
        <v>270817</v>
      </c>
      <c r="E37" s="37">
        <v>221653</v>
      </c>
      <c r="F37" s="37">
        <v>219390</v>
      </c>
      <c r="G37" s="37">
        <v>227728</v>
      </c>
    </row>
    <row r="38" spans="2:13" x14ac:dyDescent="0.35">
      <c r="B38" s="55" t="s">
        <v>392</v>
      </c>
      <c r="C38" s="38">
        <f t="shared" ref="C38:G38" si="7">C34/C$13</f>
        <v>6.25</v>
      </c>
      <c r="D38" s="38">
        <f t="shared" si="7"/>
        <v>6.6418703506907546</v>
      </c>
      <c r="E38" s="38">
        <f t="shared" si="7"/>
        <v>8.4364454443194603</v>
      </c>
      <c r="F38" s="38">
        <f t="shared" si="7"/>
        <v>4.7619047619047619</v>
      </c>
      <c r="G38" s="38">
        <f t="shared" si="7"/>
        <v>4.2081874495017502</v>
      </c>
      <c r="M38" t="str">
        <f>INDEX($C$1:$G$1,1,MATCH((MAX(C38:G38)),C38:G38,0))</f>
        <v>Etiqa 
Essential Lifetime secure</v>
      </c>
    </row>
    <row r="39" spans="2:13" x14ac:dyDescent="0.35">
      <c r="B39" s="55" t="s">
        <v>393</v>
      </c>
      <c r="C39" s="38">
        <f t="shared" ref="C39:G41" si="8">C35/C$13</f>
        <v>15.607291666666667</v>
      </c>
      <c r="D39" s="38">
        <f t="shared" si="8"/>
        <v>17.454923839886646</v>
      </c>
      <c r="E39" s="38">
        <f t="shared" si="8"/>
        <v>22.721597300337457</v>
      </c>
      <c r="F39" s="38">
        <f t="shared" si="8"/>
        <v>16.945666666666668</v>
      </c>
      <c r="G39" s="38">
        <f t="shared" si="8"/>
        <v>15.94153985995152</v>
      </c>
      <c r="M39" t="str">
        <f>INDEX($C$1:$G$1,1,MATCH((MAX(C39:G39)),C39:G39,0))</f>
        <v>Etiqa 
Essential Lifetime secure</v>
      </c>
    </row>
    <row r="40" spans="2:13" x14ac:dyDescent="0.35">
      <c r="B40" s="55" t="s">
        <v>394</v>
      </c>
      <c r="C40" s="38">
        <f t="shared" si="8"/>
        <v>3.3541666666666665</v>
      </c>
      <c r="D40" s="38">
        <f t="shared" si="8"/>
        <v>3.0419766206163654</v>
      </c>
      <c r="E40" s="38">
        <f t="shared" si="8"/>
        <v>2.9977502812148482</v>
      </c>
      <c r="F40" s="38">
        <f t="shared" si="8"/>
        <v>3.0761904761904764</v>
      </c>
      <c r="G40" s="38">
        <f t="shared" si="8"/>
        <v>1.5696539186641529</v>
      </c>
      <c r="M40" t="str">
        <f>INDEX($C$1:$G$1,1,MATCH((MAX(C40:G40)),C40:G40,0))</f>
        <v>Singlife 
Whole Life Choice</v>
      </c>
    </row>
    <row r="41" spans="2:13" x14ac:dyDescent="0.35">
      <c r="B41" s="55" t="s">
        <v>395</v>
      </c>
      <c r="C41" s="38">
        <f t="shared" si="8"/>
        <v>11.062125</v>
      </c>
      <c r="D41" s="38">
        <f t="shared" si="8"/>
        <v>11.991542685086786</v>
      </c>
      <c r="E41" s="38">
        <f t="shared" si="8"/>
        <v>12.466422947131608</v>
      </c>
      <c r="F41" s="38">
        <f t="shared" si="8"/>
        <v>10.447142857142858</v>
      </c>
      <c r="G41" s="38">
        <f t="shared" si="8"/>
        <v>9.5832211150013471</v>
      </c>
      <c r="M41" t="str">
        <f>INDEX($C$1:$G$1,1,MATCH((MAX(C41:G41)),C41:G41,0))</f>
        <v>Etiqa 
Essential Lifetime secure</v>
      </c>
    </row>
    <row r="42" spans="2:13" x14ac:dyDescent="0.35">
      <c r="B42" s="63" t="s">
        <v>31</v>
      </c>
      <c r="C42" s="65"/>
      <c r="D42" s="65"/>
      <c r="E42" s="64"/>
      <c r="F42" s="64"/>
      <c r="G42" s="64"/>
    </row>
    <row r="43" spans="2:13" hidden="1" x14ac:dyDescent="0.35">
      <c r="B43" s="33" t="s">
        <v>388</v>
      </c>
      <c r="C43" s="37">
        <v>100000</v>
      </c>
      <c r="D43" s="37">
        <v>150000</v>
      </c>
      <c r="E43" s="37">
        <v>150000</v>
      </c>
      <c r="F43" s="37">
        <v>100000</v>
      </c>
      <c r="G43" s="37">
        <v>100000</v>
      </c>
    </row>
    <row r="44" spans="2:13" hidden="1" x14ac:dyDescent="0.35">
      <c r="B44" s="33" t="s">
        <v>389</v>
      </c>
      <c r="C44" s="37">
        <v>375912</v>
      </c>
      <c r="D44" s="37">
        <v>439932</v>
      </c>
      <c r="E44" s="37">
        <v>451745</v>
      </c>
      <c r="F44" s="37">
        <v>392374</v>
      </c>
      <c r="G44" s="37">
        <v>427192</v>
      </c>
    </row>
    <row r="45" spans="2:13" hidden="1" x14ac:dyDescent="0.35">
      <c r="B45" s="33" t="s">
        <v>390</v>
      </c>
      <c r="C45" s="37">
        <v>91100</v>
      </c>
      <c r="D45" s="37">
        <v>81900</v>
      </c>
      <c r="E45" s="37">
        <v>61800</v>
      </c>
      <c r="F45" s="37">
        <v>80200</v>
      </c>
      <c r="G45" s="37">
        <v>43300</v>
      </c>
    </row>
    <row r="46" spans="2:13" hidden="1" x14ac:dyDescent="0.35">
      <c r="B46" s="33" t="s">
        <v>391</v>
      </c>
      <c r="C46" s="37">
        <v>343392</v>
      </c>
      <c r="D46" s="37">
        <v>360304</v>
      </c>
      <c r="E46" s="37">
        <v>280989</v>
      </c>
      <c r="F46" s="37">
        <v>299796</v>
      </c>
      <c r="G46" s="37">
        <v>291979</v>
      </c>
    </row>
    <row r="47" spans="2:13" x14ac:dyDescent="0.35">
      <c r="B47" s="55" t="s">
        <v>392</v>
      </c>
      <c r="C47" s="38">
        <f t="shared" ref="C47:G47" si="9">C43/C$13</f>
        <v>4.166666666666667</v>
      </c>
      <c r="D47" s="38">
        <f t="shared" si="9"/>
        <v>6.6418703506907546</v>
      </c>
      <c r="E47" s="38">
        <f t="shared" si="9"/>
        <v>8.4364454443194603</v>
      </c>
      <c r="F47" s="38">
        <f t="shared" si="9"/>
        <v>4.7619047619047619</v>
      </c>
      <c r="G47" s="38">
        <f t="shared" si="9"/>
        <v>4.2081874495017502</v>
      </c>
      <c r="M47" t="str">
        <f>INDEX($C$1:$G$1,1,MATCH((MAX(C47:G47)),C47:G47,0))</f>
        <v>Etiqa 
Essential Lifetime secure</v>
      </c>
    </row>
    <row r="48" spans="2:13" x14ac:dyDescent="0.35">
      <c r="B48" s="55" t="s">
        <v>393</v>
      </c>
      <c r="C48" s="38">
        <f t="shared" ref="C48:G50" si="10">C44/C$13</f>
        <v>15.663</v>
      </c>
      <c r="D48" s="38">
        <f t="shared" si="10"/>
        <v>19.479808714133899</v>
      </c>
      <c r="E48" s="38">
        <f t="shared" si="10"/>
        <v>25.40748031496063</v>
      </c>
      <c r="F48" s="38">
        <f t="shared" si="10"/>
        <v>18.68447619047619</v>
      </c>
      <c r="G48" s="38">
        <f t="shared" si="10"/>
        <v>17.977040129275519</v>
      </c>
      <c r="M48" t="str">
        <f>INDEX($C$1:$G$1,1,MATCH((MAX(C48:G48)),C48:G48,0))</f>
        <v>Etiqa 
Essential Lifetime secure</v>
      </c>
    </row>
    <row r="49" spans="2:13" x14ac:dyDescent="0.35">
      <c r="B49" s="55" t="s">
        <v>394</v>
      </c>
      <c r="C49" s="38">
        <f t="shared" si="10"/>
        <v>3.7958333333333334</v>
      </c>
      <c r="D49" s="38">
        <f t="shared" si="10"/>
        <v>3.6264612114771522</v>
      </c>
      <c r="E49" s="38">
        <f t="shared" si="10"/>
        <v>3.4758155230596177</v>
      </c>
      <c r="F49" s="38">
        <f>F45/F$13</f>
        <v>3.8190476190476192</v>
      </c>
      <c r="G49" s="38">
        <f t="shared" si="10"/>
        <v>1.822145165634258</v>
      </c>
      <c r="M49" t="str">
        <f>INDEX($C$1:$G$1,1,MATCH((MAX(C49:G49)),C49:G49,0))</f>
        <v>Income 
Star Secure Pro</v>
      </c>
    </row>
    <row r="50" spans="2:13" x14ac:dyDescent="0.35">
      <c r="B50" s="55" t="s">
        <v>395</v>
      </c>
      <c r="C50" s="38">
        <f t="shared" si="10"/>
        <v>14.308</v>
      </c>
      <c r="D50" s="38">
        <f t="shared" si="10"/>
        <v>15.953949698901878</v>
      </c>
      <c r="E50" s="38">
        <f t="shared" si="10"/>
        <v>15.803655793025872</v>
      </c>
      <c r="F50" s="38">
        <f>F46/F$13</f>
        <v>14.276</v>
      </c>
      <c r="G50" s="38">
        <f t="shared" si="10"/>
        <v>12.287023633180716</v>
      </c>
      <c r="M50" t="str">
        <f>INDEX($C$1:$G$1,1,MATCH((MAX(C50:G50)),C50:G50,0))</f>
        <v>China Taiping 
I-Secure Legacy (II)</v>
      </c>
    </row>
    <row r="51" spans="2:13" x14ac:dyDescent="0.35">
      <c r="B51" s="39" t="s">
        <v>33</v>
      </c>
      <c r="C51" s="40">
        <v>3.5999999999999997E-2</v>
      </c>
      <c r="D51" s="40">
        <v>3.3300000000000003E-2</v>
      </c>
      <c r="E51" s="40">
        <v>3.73E-2</v>
      </c>
      <c r="F51" s="40">
        <v>3.1899999999999998E-2</v>
      </c>
      <c r="G51" s="40">
        <v>3.2599999999999997E-2</v>
      </c>
      <c r="M51" t="str">
        <f>INDEX($C$1:$G$1,1,MATCH((MAX(C51:G51)),C51:G51,0))</f>
        <v>Etiqa 
Essential Lifetime secure</v>
      </c>
    </row>
  </sheetData>
  <conditionalFormatting sqref="C12:G12">
    <cfRule type="top10" dxfId="378" priority="125" bottom="1" rank="1"/>
    <cfRule type="top10" dxfId="377" priority="126" bottom="1" rank="2"/>
  </conditionalFormatting>
  <conditionalFormatting sqref="C13:G13">
    <cfRule type="top10" dxfId="376" priority="127" bottom="1" rank="1"/>
    <cfRule type="top10" dxfId="375" priority="128" bottom="1" rank="2"/>
  </conditionalFormatting>
  <conditionalFormatting sqref="C14:G14">
    <cfRule type="top10" dxfId="374" priority="129" bottom="1" rank="1"/>
    <cfRule type="top10" dxfId="373" priority="130" bottom="1" rank="2"/>
  </conditionalFormatting>
  <conditionalFormatting sqref="C15:G15">
    <cfRule type="top10" dxfId="372" priority="131" bottom="1" rank="1"/>
    <cfRule type="top10" dxfId="371" priority="132" bottom="1" rank="2"/>
  </conditionalFormatting>
  <conditionalFormatting sqref="C16:G16">
    <cfRule type="top10" dxfId="370" priority="133" bottom="1" rank="1"/>
    <cfRule type="top10" dxfId="369" priority="134" bottom="1" rank="2"/>
  </conditionalFormatting>
  <conditionalFormatting sqref="C21:G21">
    <cfRule type="top10" dxfId="368" priority="135" rank="1"/>
    <cfRule type="top10" dxfId="367" priority="136" rank="2"/>
  </conditionalFormatting>
  <conditionalFormatting sqref="C22:G22">
    <cfRule type="top10" dxfId="366" priority="137" rank="1"/>
    <cfRule type="top10" dxfId="365" priority="138" rank="2"/>
  </conditionalFormatting>
  <conditionalFormatting sqref="C23:G23">
    <cfRule type="top10" dxfId="364" priority="139" rank="1"/>
    <cfRule type="top10" dxfId="363" priority="140" rank="2"/>
  </conditionalFormatting>
  <conditionalFormatting sqref="C29:G29">
    <cfRule type="top10" dxfId="362" priority="141" rank="1"/>
    <cfRule type="top10" dxfId="361" priority="142" rank="2"/>
  </conditionalFormatting>
  <conditionalFormatting sqref="C30:G30">
    <cfRule type="top10" dxfId="360" priority="143" rank="1"/>
    <cfRule type="top10" dxfId="359" priority="144" rank="2"/>
  </conditionalFormatting>
  <conditionalFormatting sqref="C31:G31">
    <cfRule type="top10" dxfId="358" priority="145" rank="1"/>
    <cfRule type="top10" dxfId="357" priority="146" rank="2"/>
  </conditionalFormatting>
  <conditionalFormatting sqref="C32:G32">
    <cfRule type="top10" dxfId="356" priority="147" rank="1"/>
    <cfRule type="top10" dxfId="355" priority="148" rank="2"/>
  </conditionalFormatting>
  <conditionalFormatting sqref="C38:G38">
    <cfRule type="top10" dxfId="354" priority="149" rank="1"/>
    <cfRule type="top10" dxfId="353" priority="150" rank="2"/>
  </conditionalFormatting>
  <conditionalFormatting sqref="C39:G39">
    <cfRule type="top10" dxfId="352" priority="151" rank="1"/>
    <cfRule type="top10" dxfId="351" priority="152" rank="2"/>
  </conditionalFormatting>
  <conditionalFormatting sqref="C40:G40">
    <cfRule type="top10" dxfId="350" priority="153" rank="1"/>
    <cfRule type="top10" dxfId="349" priority="154" rank="2"/>
  </conditionalFormatting>
  <conditionalFormatting sqref="C41:G41">
    <cfRule type="top10" dxfId="348" priority="155" rank="1"/>
    <cfRule type="top10" dxfId="347" priority="156" rank="2"/>
  </conditionalFormatting>
  <conditionalFormatting sqref="C47:G47">
    <cfRule type="top10" dxfId="346" priority="157" rank="1"/>
    <cfRule type="top10" dxfId="345" priority="158" rank="2"/>
  </conditionalFormatting>
  <conditionalFormatting sqref="C48:G48">
    <cfRule type="top10" dxfId="344" priority="159" rank="1"/>
    <cfRule type="top10" dxfId="343" priority="160" rank="2"/>
  </conditionalFormatting>
  <conditionalFormatting sqref="C49:G49">
    <cfRule type="top10" dxfId="342" priority="161" rank="1"/>
    <cfRule type="top10" dxfId="341" priority="162" rank="2"/>
  </conditionalFormatting>
  <conditionalFormatting sqref="C50:G50">
    <cfRule type="top10" dxfId="340" priority="163" rank="1"/>
    <cfRule type="top10" dxfId="339" priority="164" rank="2"/>
  </conditionalFormatting>
  <conditionalFormatting sqref="C51:G51">
    <cfRule type="top10" dxfId="338" priority="165" rank="1"/>
    <cfRule type="top10" dxfId="337" priority="166" rank="2"/>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00CF-240F-495C-8556-E9D9D0B72627}">
  <dimension ref="A1:K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6" width="12.81640625" customWidth="1"/>
    <col min="8" max="9" width="12.81640625" customWidth="1"/>
    <col min="11" max="11" width="0" hidden="1" customWidth="1"/>
  </cols>
  <sheetData>
    <row r="1" spans="1:11" ht="72.5" x14ac:dyDescent="0.35">
      <c r="A1" s="98" t="s">
        <v>420</v>
      </c>
      <c r="B1" s="28" t="s">
        <v>356</v>
      </c>
      <c r="C1" s="28" t="s">
        <v>359</v>
      </c>
      <c r="D1" s="28" t="s">
        <v>360</v>
      </c>
      <c r="E1" s="28" t="s">
        <v>284</v>
      </c>
      <c r="F1" s="28" t="s">
        <v>361</v>
      </c>
      <c r="H1" s="29" t="s">
        <v>362</v>
      </c>
      <c r="I1" s="30" t="s">
        <v>363</v>
      </c>
    </row>
    <row r="2" spans="1:11" x14ac:dyDescent="0.35">
      <c r="A2" s="31" t="s">
        <v>364</v>
      </c>
      <c r="B2" s="32"/>
      <c r="C2" s="32"/>
      <c r="D2" s="32"/>
      <c r="E2" s="32"/>
      <c r="F2" s="32"/>
    </row>
    <row r="3" spans="1:11" x14ac:dyDescent="0.35">
      <c r="A3" s="33" t="s">
        <v>365</v>
      </c>
      <c r="B3" s="34">
        <v>100000</v>
      </c>
      <c r="C3" s="34">
        <v>100000</v>
      </c>
      <c r="D3" s="34">
        <v>100000</v>
      </c>
      <c r="E3" s="34">
        <v>100000</v>
      </c>
      <c r="F3" s="34">
        <v>100000</v>
      </c>
    </row>
    <row r="4" spans="1:11" x14ac:dyDescent="0.35">
      <c r="A4" s="33" t="s">
        <v>274</v>
      </c>
      <c r="B4" s="34">
        <v>50000</v>
      </c>
      <c r="C4" s="34">
        <v>50000</v>
      </c>
      <c r="D4" s="34">
        <v>50000</v>
      </c>
      <c r="E4" s="34">
        <v>50000</v>
      </c>
      <c r="F4" s="34">
        <v>50000</v>
      </c>
    </row>
    <row r="5" spans="1:11" x14ac:dyDescent="0.35">
      <c r="A5" s="33" t="s">
        <v>271</v>
      </c>
      <c r="B5" s="34">
        <v>50000</v>
      </c>
      <c r="C5" s="34">
        <v>50000</v>
      </c>
      <c r="D5" s="34">
        <v>50000</v>
      </c>
      <c r="E5" s="34">
        <v>50000</v>
      </c>
      <c r="F5" s="34">
        <v>50000</v>
      </c>
    </row>
    <row r="6" spans="1:11" ht="29" x14ac:dyDescent="0.35">
      <c r="A6" s="33" t="s">
        <v>366</v>
      </c>
      <c r="B6" s="35" t="s">
        <v>414</v>
      </c>
      <c r="C6" s="36" t="s">
        <v>415</v>
      </c>
      <c r="D6" s="36" t="s">
        <v>415</v>
      </c>
      <c r="E6" s="35" t="s">
        <v>416</v>
      </c>
      <c r="F6" s="35" t="s">
        <v>417</v>
      </c>
    </row>
    <row r="7" spans="1:11" x14ac:dyDescent="0.35">
      <c r="A7" s="31" t="s">
        <v>372</v>
      </c>
      <c r="B7" s="32"/>
      <c r="C7" s="32"/>
      <c r="D7" s="32"/>
      <c r="E7" s="32"/>
      <c r="F7" s="32"/>
    </row>
    <row r="8" spans="1:11" x14ac:dyDescent="0.35">
      <c r="A8" s="33" t="s">
        <v>373</v>
      </c>
      <c r="B8" s="33">
        <v>20</v>
      </c>
      <c r="C8" s="33">
        <v>20</v>
      </c>
      <c r="D8" s="33">
        <v>20</v>
      </c>
      <c r="E8" s="33">
        <v>20</v>
      </c>
      <c r="F8" s="33">
        <v>20</v>
      </c>
    </row>
    <row r="9" spans="1:11" x14ac:dyDescent="0.35">
      <c r="A9" s="33" t="s">
        <v>374</v>
      </c>
      <c r="B9" s="37">
        <f>955+122+12+26</f>
        <v>1115</v>
      </c>
      <c r="C9" s="37">
        <f>956.7+105.4</f>
        <v>1062.1000000000001</v>
      </c>
      <c r="D9" s="37">
        <v>857</v>
      </c>
      <c r="E9" s="37">
        <v>1105.3499999999999</v>
      </c>
      <c r="F9" s="37">
        <f>1140.23+47.93</f>
        <v>1188.1600000000001</v>
      </c>
    </row>
    <row r="10" spans="1:11" x14ac:dyDescent="0.35">
      <c r="A10" s="33" t="s">
        <v>375</v>
      </c>
      <c r="B10" s="37">
        <f>132.5+398</f>
        <v>530.5</v>
      </c>
      <c r="C10" s="37">
        <v>285.75</v>
      </c>
      <c r="D10" s="37">
        <v>669.5</v>
      </c>
      <c r="E10" s="37">
        <v>767.85</v>
      </c>
      <c r="F10" s="37">
        <v>485.02</v>
      </c>
    </row>
    <row r="11" spans="1:11" x14ac:dyDescent="0.35">
      <c r="A11" s="33" t="s">
        <v>376</v>
      </c>
      <c r="B11" s="37">
        <f>58.5+175</f>
        <v>233.5</v>
      </c>
      <c r="C11" s="37">
        <v>134.6</v>
      </c>
      <c r="D11" s="37">
        <v>255</v>
      </c>
      <c r="E11" s="37">
        <v>279.2</v>
      </c>
      <c r="F11" s="37">
        <v>241.77</v>
      </c>
    </row>
    <row r="12" spans="1:11" x14ac:dyDescent="0.35">
      <c r="A12" s="33" t="s">
        <v>377</v>
      </c>
      <c r="B12" s="34">
        <f t="shared" ref="B12:F12" si="0">SUM(B9:B11)</f>
        <v>1879</v>
      </c>
      <c r="C12" s="34">
        <f t="shared" si="0"/>
        <v>1482.45</v>
      </c>
      <c r="D12" s="34">
        <f t="shared" si="0"/>
        <v>1781.5</v>
      </c>
      <c r="E12" s="34">
        <f t="shared" si="0"/>
        <v>2152.3999999999996</v>
      </c>
      <c r="F12" s="34">
        <f t="shared" si="0"/>
        <v>1914.95</v>
      </c>
      <c r="K12" t="str">
        <f>INDEX($B$1:$F$1,1,MATCH((MIN(B12:F12)),B12:F12,0))</f>
        <v>China Taiping 
I-Secure Legacy (II)</v>
      </c>
    </row>
    <row r="13" spans="1:11" x14ac:dyDescent="0.35">
      <c r="A13" s="33" t="s">
        <v>378</v>
      </c>
      <c r="B13" s="34">
        <f>B9*B$8</f>
        <v>22300</v>
      </c>
      <c r="C13" s="34">
        <f t="shared" ref="C13:F13" si="1">C9*C$8</f>
        <v>21242.000000000004</v>
      </c>
      <c r="D13" s="34">
        <f t="shared" si="1"/>
        <v>17140</v>
      </c>
      <c r="E13" s="34">
        <f t="shared" si="1"/>
        <v>22107</v>
      </c>
      <c r="F13" s="34">
        <f t="shared" si="1"/>
        <v>23763.200000000001</v>
      </c>
      <c r="K13" t="str">
        <f t="shared" ref="K13:K16" si="2">INDEX($B$1:$F$1,1,MATCH((MIN(B13:F13)),B13:F13,0))</f>
        <v>Etiqa 
Essential Lifetime secure</v>
      </c>
    </row>
    <row r="14" spans="1:11" x14ac:dyDescent="0.35">
      <c r="A14" s="33" t="s">
        <v>379</v>
      </c>
      <c r="B14" s="34">
        <f t="shared" ref="B14:F16" si="3">B10*B$8</f>
        <v>10610</v>
      </c>
      <c r="C14" s="34">
        <f t="shared" si="3"/>
        <v>5715</v>
      </c>
      <c r="D14" s="34">
        <f t="shared" si="3"/>
        <v>13390</v>
      </c>
      <c r="E14" s="34">
        <f t="shared" si="3"/>
        <v>15357</v>
      </c>
      <c r="F14" s="34">
        <f t="shared" si="3"/>
        <v>9700.4</v>
      </c>
      <c r="K14" t="str">
        <f t="shared" si="2"/>
        <v>China Taiping 
I-Secure Legacy (II)</v>
      </c>
    </row>
    <row r="15" spans="1:11" x14ac:dyDescent="0.35">
      <c r="A15" s="33" t="s">
        <v>380</v>
      </c>
      <c r="B15" s="34">
        <f t="shared" si="3"/>
        <v>4670</v>
      </c>
      <c r="C15" s="34">
        <f t="shared" si="3"/>
        <v>2692</v>
      </c>
      <c r="D15" s="34">
        <f t="shared" si="3"/>
        <v>5100</v>
      </c>
      <c r="E15" s="34">
        <f t="shared" si="3"/>
        <v>5584</v>
      </c>
      <c r="F15" s="34">
        <f t="shared" si="3"/>
        <v>4835.4000000000005</v>
      </c>
      <c r="K15" t="str">
        <f t="shared" si="2"/>
        <v>China Taiping 
I-Secure Legacy (II)</v>
      </c>
    </row>
    <row r="16" spans="1:11" x14ac:dyDescent="0.35">
      <c r="A16" s="33" t="s">
        <v>381</v>
      </c>
      <c r="B16" s="34">
        <f t="shared" si="3"/>
        <v>37580</v>
      </c>
      <c r="C16" s="34">
        <f t="shared" si="3"/>
        <v>29649</v>
      </c>
      <c r="D16" s="34">
        <f t="shared" si="3"/>
        <v>35630</v>
      </c>
      <c r="E16" s="34">
        <f t="shared" si="3"/>
        <v>43047.999999999993</v>
      </c>
      <c r="F16" s="34">
        <f t="shared" si="3"/>
        <v>38299</v>
      </c>
      <c r="K16" t="str">
        <f t="shared" si="2"/>
        <v>China Taiping 
I-Secure Legacy (II)</v>
      </c>
    </row>
    <row r="17" spans="1:11" x14ac:dyDescent="0.35">
      <c r="A17" s="60" t="s">
        <v>18</v>
      </c>
      <c r="B17" s="62"/>
      <c r="C17" s="62"/>
      <c r="D17" s="61"/>
      <c r="E17" s="61"/>
      <c r="F17" s="61"/>
    </row>
    <row r="18" spans="1:11" hidden="1" x14ac:dyDescent="0.35">
      <c r="A18" s="33" t="s">
        <v>382</v>
      </c>
      <c r="B18" s="37">
        <v>300000</v>
      </c>
      <c r="C18" s="37">
        <v>300000</v>
      </c>
      <c r="D18" s="37">
        <v>300000</v>
      </c>
      <c r="E18" s="37">
        <v>300000</v>
      </c>
      <c r="F18" s="37">
        <v>300000</v>
      </c>
    </row>
    <row r="19" spans="1:11" hidden="1" x14ac:dyDescent="0.35">
      <c r="A19" s="33" t="s">
        <v>383</v>
      </c>
      <c r="B19" s="37">
        <v>150000</v>
      </c>
      <c r="C19" s="37">
        <v>150000</v>
      </c>
      <c r="D19" s="37">
        <v>150000</v>
      </c>
      <c r="E19" s="37">
        <v>150000</v>
      </c>
      <c r="F19" s="37">
        <v>150000</v>
      </c>
    </row>
    <row r="20" spans="1:11" hidden="1" x14ac:dyDescent="0.35">
      <c r="A20" s="33" t="s">
        <v>384</v>
      </c>
      <c r="B20" s="37">
        <v>150000</v>
      </c>
      <c r="C20" s="37">
        <v>150000</v>
      </c>
      <c r="D20" s="37">
        <v>150000</v>
      </c>
      <c r="E20" s="37">
        <v>150000</v>
      </c>
      <c r="F20" s="37">
        <v>150000</v>
      </c>
    </row>
    <row r="21" spans="1:11" x14ac:dyDescent="0.35">
      <c r="A21" s="55" t="s">
        <v>385</v>
      </c>
      <c r="B21" s="38">
        <f t="shared" ref="B21:F21" si="4">B18/B9</f>
        <v>269.05829596412553</v>
      </c>
      <c r="C21" s="38">
        <f t="shared" si="4"/>
        <v>282.45927878730811</v>
      </c>
      <c r="D21" s="38">
        <f t="shared" si="4"/>
        <v>350.05834305717622</v>
      </c>
      <c r="E21" s="38">
        <f t="shared" si="4"/>
        <v>271.40724657348352</v>
      </c>
      <c r="F21" s="38">
        <f t="shared" si="4"/>
        <v>252.49124697010501</v>
      </c>
      <c r="K21" t="str">
        <f>INDEX($B$1:$F$1,1,MATCH((MAX(B21:F21)),B21:F21,0))</f>
        <v>Etiqa 
Essential Lifetime secure</v>
      </c>
    </row>
    <row r="22" spans="1:11" ht="15" customHeight="1" x14ac:dyDescent="0.35">
      <c r="A22" s="55" t="s">
        <v>386</v>
      </c>
      <c r="B22" s="38">
        <f t="shared" ref="B22:F23" si="5">B19/B10</f>
        <v>282.75212064090482</v>
      </c>
      <c r="C22" s="38">
        <f t="shared" si="5"/>
        <v>524.93438320209975</v>
      </c>
      <c r="D22" s="38">
        <f t="shared" si="5"/>
        <v>224.04779686333083</v>
      </c>
      <c r="E22" s="38">
        <f t="shared" si="5"/>
        <v>195.35065442469232</v>
      </c>
      <c r="F22" s="38">
        <f t="shared" si="5"/>
        <v>309.26559729495693</v>
      </c>
      <c r="K22" t="str">
        <f t="shared" ref="K22:K23" si="6">INDEX($B$1:$F$1,1,MATCH((MAX(B22:F22)),B22:F22,0))</f>
        <v>China Taiping 
I-Secure Legacy (II)</v>
      </c>
    </row>
    <row r="23" spans="1:11" x14ac:dyDescent="0.35">
      <c r="A23" s="55" t="s">
        <v>387</v>
      </c>
      <c r="B23" s="38">
        <f t="shared" si="5"/>
        <v>642.3982869379015</v>
      </c>
      <c r="C23" s="38">
        <f t="shared" si="5"/>
        <v>1114.4130757800892</v>
      </c>
      <c r="D23" s="38">
        <f t="shared" si="5"/>
        <v>588.23529411764707</v>
      </c>
      <c r="E23" s="38">
        <f t="shared" si="5"/>
        <v>537.24928366762185</v>
      </c>
      <c r="F23" s="38">
        <f t="shared" si="5"/>
        <v>620.42437026926416</v>
      </c>
      <c r="K23" t="str">
        <f t="shared" si="6"/>
        <v>China Taiping 
I-Secure Legacy (II)</v>
      </c>
    </row>
    <row r="24" spans="1:11" x14ac:dyDescent="0.35">
      <c r="A24" s="60" t="s">
        <v>22</v>
      </c>
      <c r="B24" s="62"/>
      <c r="C24" s="62"/>
      <c r="D24" s="61"/>
      <c r="E24" s="61"/>
      <c r="F24" s="61"/>
    </row>
    <row r="25" spans="1:11" hidden="1" x14ac:dyDescent="0.35">
      <c r="A25" s="33" t="s">
        <v>388</v>
      </c>
      <c r="B25" s="37">
        <v>300000</v>
      </c>
      <c r="C25" s="37">
        <v>300000</v>
      </c>
      <c r="D25" s="37">
        <v>300000</v>
      </c>
      <c r="E25" s="37">
        <v>300000</v>
      </c>
      <c r="F25" s="37">
        <v>300000</v>
      </c>
    </row>
    <row r="26" spans="1:11" hidden="1" x14ac:dyDescent="0.35">
      <c r="A26" s="33" t="s">
        <v>389</v>
      </c>
      <c r="B26" s="37">
        <v>457376</v>
      </c>
      <c r="C26" s="37">
        <v>300000</v>
      </c>
      <c r="D26" s="37">
        <v>302862</v>
      </c>
      <c r="E26" s="37">
        <v>325923</v>
      </c>
      <c r="F26" s="37">
        <v>312840</v>
      </c>
    </row>
    <row r="27" spans="1:11" hidden="1" x14ac:dyDescent="0.35">
      <c r="A27" s="33" t="s">
        <v>390</v>
      </c>
      <c r="B27" s="37">
        <v>58900</v>
      </c>
      <c r="C27" s="37">
        <v>46800</v>
      </c>
      <c r="D27" s="37">
        <v>38600</v>
      </c>
      <c r="E27" s="37">
        <v>39400</v>
      </c>
      <c r="F27" s="37">
        <v>27500</v>
      </c>
    </row>
    <row r="28" spans="1:11" hidden="1" x14ac:dyDescent="0.35">
      <c r="A28" s="33" t="s">
        <v>391</v>
      </c>
      <c r="B28" s="37">
        <v>156924</v>
      </c>
      <c r="C28" s="37">
        <v>136400</v>
      </c>
      <c r="D28" s="37">
        <v>138932</v>
      </c>
      <c r="E28" s="37">
        <v>152553</v>
      </c>
      <c r="F28" s="37">
        <v>143820</v>
      </c>
    </row>
    <row r="29" spans="1:11" x14ac:dyDescent="0.35">
      <c r="A29" s="55" t="s">
        <v>392</v>
      </c>
      <c r="B29" s="38">
        <f t="shared" ref="B29:F29" si="7">B25/B$13</f>
        <v>13.452914798206278</v>
      </c>
      <c r="C29" s="38">
        <f t="shared" si="7"/>
        <v>14.122963939365405</v>
      </c>
      <c r="D29" s="38">
        <f t="shared" si="7"/>
        <v>17.50291715285881</v>
      </c>
      <c r="E29" s="38">
        <f t="shared" si="7"/>
        <v>13.570362328674175</v>
      </c>
      <c r="F29" s="38">
        <f t="shared" si="7"/>
        <v>12.624562348505252</v>
      </c>
      <c r="K29" t="str">
        <f>INDEX($B$1:$F$1,1,MATCH((MAX(B29:F29)),B29:F29,0))</f>
        <v>Etiqa 
Essential Lifetime secure</v>
      </c>
    </row>
    <row r="30" spans="1:11" x14ac:dyDescent="0.35">
      <c r="A30" s="55" t="s">
        <v>418</v>
      </c>
      <c r="B30" s="38">
        <f t="shared" ref="B30:F32" si="8">B26/B$13</f>
        <v>20.510134529147983</v>
      </c>
      <c r="C30" s="38">
        <f t="shared" si="8"/>
        <v>14.122963939365405</v>
      </c>
      <c r="D30" s="38">
        <f t="shared" si="8"/>
        <v>17.669894982497084</v>
      </c>
      <c r="E30" s="38">
        <f t="shared" si="8"/>
        <v>14.742977337494912</v>
      </c>
      <c r="F30" s="38">
        <f t="shared" si="8"/>
        <v>13.164893617021276</v>
      </c>
      <c r="K30" t="str">
        <f t="shared" ref="K30:K32" si="9">INDEX($B$1:$F$1,1,MATCH((MAX(B30:F30)),B30:F30,0))</f>
        <v>Singlife 
Whole Life Choice</v>
      </c>
    </row>
    <row r="31" spans="1:11" x14ac:dyDescent="0.35">
      <c r="A31" s="55" t="s">
        <v>394</v>
      </c>
      <c r="B31" s="38">
        <f t="shared" si="8"/>
        <v>2.6412556053811658</v>
      </c>
      <c r="C31" s="38">
        <f t="shared" si="8"/>
        <v>2.2031823745410031</v>
      </c>
      <c r="D31" s="38">
        <f t="shared" si="8"/>
        <v>2.2520420070011671</v>
      </c>
      <c r="E31" s="38">
        <f t="shared" si="8"/>
        <v>1.782240919165875</v>
      </c>
      <c r="F31" s="38">
        <f t="shared" si="8"/>
        <v>1.1572515486129813</v>
      </c>
      <c r="K31" t="str">
        <f t="shared" si="9"/>
        <v>Singlife 
Whole Life Choice</v>
      </c>
    </row>
    <row r="32" spans="1:11" x14ac:dyDescent="0.35">
      <c r="A32" s="55" t="s">
        <v>395</v>
      </c>
      <c r="B32" s="38">
        <f t="shared" si="8"/>
        <v>7.03695067264574</v>
      </c>
      <c r="C32" s="38">
        <f t="shared" si="8"/>
        <v>6.4212409377648045</v>
      </c>
      <c r="D32" s="38">
        <f t="shared" si="8"/>
        <v>8.1057176196032668</v>
      </c>
      <c r="E32" s="38">
        <f t="shared" si="8"/>
        <v>6.9006649477541053</v>
      </c>
      <c r="F32" s="38">
        <f t="shared" si="8"/>
        <v>6.0522151898734178</v>
      </c>
      <c r="K32" t="str">
        <f t="shared" si="9"/>
        <v>Etiqa 
Essential Lifetime secure</v>
      </c>
    </row>
    <row r="33" spans="1:11" x14ac:dyDescent="0.35">
      <c r="A33" s="60" t="s">
        <v>28</v>
      </c>
      <c r="B33" s="62"/>
      <c r="C33" s="62"/>
      <c r="D33" s="61"/>
      <c r="E33" s="61"/>
      <c r="F33" s="61"/>
    </row>
    <row r="34" spans="1:11" hidden="1" x14ac:dyDescent="0.35">
      <c r="A34" s="33" t="s">
        <v>388</v>
      </c>
      <c r="B34" s="37">
        <v>150000</v>
      </c>
      <c r="C34" s="37">
        <v>150000</v>
      </c>
      <c r="D34" s="37">
        <v>150000</v>
      </c>
      <c r="E34" s="37">
        <v>100000</v>
      </c>
      <c r="F34" s="37">
        <v>100000</v>
      </c>
    </row>
    <row r="35" spans="1:11" hidden="1" x14ac:dyDescent="0.35">
      <c r="A35" s="33" t="s">
        <v>389</v>
      </c>
      <c r="B35" s="37">
        <v>374575</v>
      </c>
      <c r="C35" s="37">
        <v>394202</v>
      </c>
      <c r="D35" s="37">
        <v>403990</v>
      </c>
      <c r="E35" s="37">
        <v>426069</v>
      </c>
      <c r="F35" s="37">
        <v>378822</v>
      </c>
    </row>
    <row r="36" spans="1:11" hidden="1" x14ac:dyDescent="0.35">
      <c r="A36" s="33" t="s">
        <v>390</v>
      </c>
      <c r="B36" s="37">
        <v>77700</v>
      </c>
      <c r="C36" s="37">
        <v>67500</v>
      </c>
      <c r="D36" s="37">
        <v>53300</v>
      </c>
      <c r="E36" s="37">
        <v>59900</v>
      </c>
      <c r="F36" s="37">
        <v>37300</v>
      </c>
    </row>
    <row r="37" spans="1:11" hidden="1" x14ac:dyDescent="0.35">
      <c r="A37" s="33" t="s">
        <v>391</v>
      </c>
      <c r="B37" s="37">
        <v>256418</v>
      </c>
      <c r="C37" s="37">
        <v>266086</v>
      </c>
      <c r="D37" s="37">
        <v>221653</v>
      </c>
      <c r="E37" s="37">
        <v>280181</v>
      </c>
      <c r="F37" s="37">
        <v>227728</v>
      </c>
    </row>
    <row r="38" spans="1:11" x14ac:dyDescent="0.35">
      <c r="A38" s="55" t="s">
        <v>392</v>
      </c>
      <c r="B38" s="38">
        <f t="shared" ref="B38:F38" si="10">B34/B$13</f>
        <v>6.7264573991031389</v>
      </c>
      <c r="C38" s="38">
        <f t="shared" si="10"/>
        <v>7.0614819696827027</v>
      </c>
      <c r="D38" s="38">
        <f t="shared" si="10"/>
        <v>8.7514585764294051</v>
      </c>
      <c r="E38" s="38">
        <f t="shared" si="10"/>
        <v>4.5234541095580587</v>
      </c>
      <c r="F38" s="38">
        <f t="shared" si="10"/>
        <v>4.2081874495017502</v>
      </c>
      <c r="K38" t="str">
        <f t="shared" ref="K38:K41" si="11">INDEX($B$1:$F$1,1,MATCH((MAX(B38:F38)),B38:F38,0))</f>
        <v>Etiqa 
Essential Lifetime secure</v>
      </c>
    </row>
    <row r="39" spans="1:11" ht="14.15" customHeight="1" x14ac:dyDescent="0.35">
      <c r="A39" s="55" t="s">
        <v>393</v>
      </c>
      <c r="B39" s="38">
        <f t="shared" ref="B39:F41" si="12">B35/B$13</f>
        <v>16.79708520179372</v>
      </c>
      <c r="C39" s="38">
        <f t="shared" si="12"/>
        <v>18.557668769419074</v>
      </c>
      <c r="D39" s="38">
        <f t="shared" si="12"/>
        <v>23.570011668611436</v>
      </c>
      <c r="E39" s="38">
        <f t="shared" si="12"/>
        <v>19.273035690052925</v>
      </c>
      <c r="F39" s="38">
        <f t="shared" si="12"/>
        <v>15.94153985995152</v>
      </c>
      <c r="K39" t="str">
        <f t="shared" si="11"/>
        <v>Etiqa 
Essential Lifetime secure</v>
      </c>
    </row>
    <row r="40" spans="1:11" x14ac:dyDescent="0.35">
      <c r="A40" s="55" t="s">
        <v>394</v>
      </c>
      <c r="B40" s="38">
        <f t="shared" si="12"/>
        <v>3.4843049327354261</v>
      </c>
      <c r="C40" s="38">
        <f t="shared" si="12"/>
        <v>3.1776668863572164</v>
      </c>
      <c r="D40" s="38">
        <f t="shared" si="12"/>
        <v>3.1096849474912487</v>
      </c>
      <c r="E40" s="38">
        <f t="shared" si="12"/>
        <v>2.7095490116252772</v>
      </c>
      <c r="F40" s="38">
        <f t="shared" si="12"/>
        <v>1.5696539186641529</v>
      </c>
      <c r="K40" t="str">
        <f t="shared" si="11"/>
        <v>Singlife 
Whole Life Choice</v>
      </c>
    </row>
    <row r="41" spans="1:11" x14ac:dyDescent="0.35">
      <c r="A41" s="55" t="s">
        <v>395</v>
      </c>
      <c r="B41" s="38">
        <f t="shared" si="12"/>
        <v>11.498565022421525</v>
      </c>
      <c r="C41" s="38">
        <f t="shared" si="12"/>
        <v>12.526409942566611</v>
      </c>
      <c r="D41" s="38">
        <f t="shared" si="12"/>
        <v>12.931913652275378</v>
      </c>
      <c r="E41" s="38">
        <f t="shared" si="12"/>
        <v>12.673858958700864</v>
      </c>
      <c r="F41" s="38">
        <f t="shared" si="12"/>
        <v>9.5832211150013471</v>
      </c>
      <c r="K41" t="str">
        <f t="shared" si="11"/>
        <v>Etiqa 
Essential Lifetime secure</v>
      </c>
    </row>
    <row r="42" spans="1:11" x14ac:dyDescent="0.35">
      <c r="A42" s="60" t="s">
        <v>31</v>
      </c>
      <c r="B42" s="62"/>
      <c r="C42" s="62"/>
      <c r="D42" s="61"/>
      <c r="E42" s="61"/>
      <c r="F42" s="61"/>
    </row>
    <row r="43" spans="1:11" hidden="1" x14ac:dyDescent="0.35">
      <c r="A43" s="33" t="s">
        <v>388</v>
      </c>
      <c r="B43" s="37">
        <v>100000</v>
      </c>
      <c r="C43" s="37">
        <v>150000</v>
      </c>
      <c r="D43" s="37">
        <v>150000</v>
      </c>
      <c r="E43" s="37">
        <v>100000</v>
      </c>
      <c r="F43" s="37">
        <v>100000</v>
      </c>
    </row>
    <row r="44" spans="1:11" hidden="1" x14ac:dyDescent="0.35">
      <c r="A44" s="33" t="s">
        <v>389</v>
      </c>
      <c r="B44" s="37">
        <v>375912</v>
      </c>
      <c r="C44" s="37">
        <v>439932</v>
      </c>
      <c r="D44" s="37">
        <v>451745</v>
      </c>
      <c r="E44" s="37">
        <v>505083</v>
      </c>
      <c r="F44" s="37">
        <v>427192</v>
      </c>
    </row>
    <row r="45" spans="1:11" hidden="1" x14ac:dyDescent="0.35">
      <c r="A45" s="33" t="s">
        <v>390</v>
      </c>
      <c r="B45" s="37">
        <v>88500</v>
      </c>
      <c r="C45" s="37">
        <v>81000</v>
      </c>
      <c r="D45" s="37">
        <v>61800</v>
      </c>
      <c r="E45" s="37">
        <v>72000</v>
      </c>
      <c r="F45" s="37">
        <v>43300</v>
      </c>
    </row>
    <row r="46" spans="1:11" hidden="1" x14ac:dyDescent="0.35">
      <c r="A46" s="33" t="s">
        <v>391</v>
      </c>
      <c r="B46" s="37">
        <v>333659</v>
      </c>
      <c r="C46" s="37">
        <v>356344</v>
      </c>
      <c r="D46" s="37">
        <v>280989</v>
      </c>
      <c r="E46" s="37">
        <v>377937</v>
      </c>
      <c r="F46" s="37">
        <v>291979</v>
      </c>
    </row>
    <row r="47" spans="1:11" x14ac:dyDescent="0.35">
      <c r="A47" s="55" t="s">
        <v>392</v>
      </c>
      <c r="B47" s="38">
        <f t="shared" ref="B47:F47" si="13">B43/B$13</f>
        <v>4.4843049327354256</v>
      </c>
      <c r="C47" s="38">
        <f t="shared" si="13"/>
        <v>7.0614819696827027</v>
      </c>
      <c r="D47" s="38">
        <f t="shared" si="13"/>
        <v>8.7514585764294051</v>
      </c>
      <c r="E47" s="38">
        <f t="shared" si="13"/>
        <v>4.5234541095580587</v>
      </c>
      <c r="F47" s="38">
        <f t="shared" si="13"/>
        <v>4.2081874495017502</v>
      </c>
      <c r="K47" t="str">
        <f t="shared" ref="K47:K51" si="14">INDEX($B$1:$F$1,1,MATCH((MAX(B47:F47)),B47:F47,0))</f>
        <v>Etiqa 
Essential Lifetime secure</v>
      </c>
    </row>
    <row r="48" spans="1:11" x14ac:dyDescent="0.35">
      <c r="A48" s="55" t="s">
        <v>393</v>
      </c>
      <c r="B48" s="38">
        <f t="shared" ref="B48:F50" si="15">B44/B$13</f>
        <v>16.857040358744396</v>
      </c>
      <c r="C48" s="38">
        <f t="shared" si="15"/>
        <v>20.710479239243007</v>
      </c>
      <c r="D48" s="38">
        <f t="shared" si="15"/>
        <v>26.356184364060677</v>
      </c>
      <c r="E48" s="38">
        <f t="shared" si="15"/>
        <v>22.847197720179128</v>
      </c>
      <c r="F48" s="38">
        <f t="shared" si="15"/>
        <v>17.977040129275519</v>
      </c>
      <c r="K48" t="str">
        <f t="shared" si="14"/>
        <v>Etiqa 
Essential Lifetime secure</v>
      </c>
    </row>
    <row r="49" spans="1:11" x14ac:dyDescent="0.35">
      <c r="A49" s="55" t="s">
        <v>394</v>
      </c>
      <c r="B49" s="38">
        <f t="shared" si="15"/>
        <v>3.9686098654708521</v>
      </c>
      <c r="C49" s="38">
        <f t="shared" si="15"/>
        <v>3.8132002636286595</v>
      </c>
      <c r="D49" s="38">
        <f t="shared" si="15"/>
        <v>3.605600933488915</v>
      </c>
      <c r="E49" s="38">
        <f>E45/E$13</f>
        <v>3.2568869588818021</v>
      </c>
      <c r="F49" s="38">
        <f t="shared" si="15"/>
        <v>1.822145165634258</v>
      </c>
      <c r="K49" t="str">
        <f t="shared" si="14"/>
        <v>Singlife 
Whole Life Choice</v>
      </c>
    </row>
    <row r="50" spans="1:11" x14ac:dyDescent="0.35">
      <c r="A50" s="55" t="s">
        <v>395</v>
      </c>
      <c r="B50" s="38">
        <f t="shared" si="15"/>
        <v>14.962286995515695</v>
      </c>
      <c r="C50" s="38">
        <f t="shared" si="15"/>
        <v>16.775444873364087</v>
      </c>
      <c r="D50" s="38">
        <f t="shared" si="15"/>
        <v>16.393757292882146</v>
      </c>
      <c r="E50" s="38">
        <f>E46/E$13</f>
        <v>17.095806758040439</v>
      </c>
      <c r="F50" s="38">
        <f t="shared" si="15"/>
        <v>12.287023633180716</v>
      </c>
      <c r="K50" t="str">
        <f t="shared" si="14"/>
        <v>Income Complete Life Secure</v>
      </c>
    </row>
    <row r="51" spans="1:11" x14ac:dyDescent="0.35">
      <c r="A51" s="39" t="s">
        <v>33</v>
      </c>
      <c r="B51" s="40">
        <v>3.5999999999999997E-2</v>
      </c>
      <c r="C51" s="40">
        <v>3.3599999999999998E-2</v>
      </c>
      <c r="D51" s="40">
        <v>3.7999999999999999E-2</v>
      </c>
      <c r="E51" s="40">
        <v>3.5099999999999999E-2</v>
      </c>
      <c r="F51" s="40">
        <v>3.2599999999999997E-2</v>
      </c>
      <c r="K51" t="str">
        <f t="shared" si="14"/>
        <v>Etiqa 
Essential Lifetime secure</v>
      </c>
    </row>
  </sheetData>
  <sheetProtection algorithmName="SHA-512" hashValue="/42EQeIoYaZxVhXpgHMV73wmf4nhHIKcfig1NP/oArMVSz+DdMkorSX0jtRByRBHgjr7mb1MRe4XNqmMef2Lhw==" saltValue="wxzNR/6i1ogKoX9paJtoXw==" spinCount="100000" sheet="1" objects="1" scenarios="1" selectLockedCells="1" autoFilter="0" selectUnlockedCells="1"/>
  <conditionalFormatting sqref="B12:F12">
    <cfRule type="top10" dxfId="336" priority="209" bottom="1" rank="1"/>
    <cfRule type="top10" dxfId="335" priority="210" bottom="1" rank="2"/>
  </conditionalFormatting>
  <conditionalFormatting sqref="B13:F13">
    <cfRule type="top10" dxfId="334" priority="213" bottom="1" rank="1"/>
    <cfRule type="top10" dxfId="333" priority="214" bottom="1" rank="2"/>
  </conditionalFormatting>
  <conditionalFormatting sqref="B14:F14">
    <cfRule type="top10" dxfId="332" priority="217" bottom="1" rank="1"/>
    <cfRule type="top10" dxfId="331" priority="218" bottom="1" rank="2"/>
  </conditionalFormatting>
  <conditionalFormatting sqref="B15:F15">
    <cfRule type="top10" dxfId="330" priority="221" bottom="1" rank="1"/>
    <cfRule type="top10" dxfId="329" priority="222" bottom="1" rank="2"/>
  </conditionalFormatting>
  <conditionalFormatting sqref="B16:F16">
    <cfRule type="top10" dxfId="328" priority="225" bottom="1" rank="1"/>
    <cfRule type="top10" dxfId="327" priority="226" bottom="1" rank="2"/>
  </conditionalFormatting>
  <conditionalFormatting sqref="B21:F21">
    <cfRule type="top10" dxfId="326" priority="229" rank="1"/>
    <cfRule type="top10" dxfId="325" priority="230" rank="2"/>
  </conditionalFormatting>
  <conditionalFormatting sqref="B22:F22">
    <cfRule type="top10" dxfId="324" priority="233" rank="1"/>
    <cfRule type="top10" dxfId="323" priority="234" rank="2"/>
  </conditionalFormatting>
  <conditionalFormatting sqref="B23:F23">
    <cfRule type="top10" dxfId="322" priority="237" rank="1"/>
    <cfRule type="top10" dxfId="321" priority="238" rank="2"/>
  </conditionalFormatting>
  <conditionalFormatting sqref="B29:F29">
    <cfRule type="top10" dxfId="320" priority="241" rank="1"/>
    <cfRule type="top10" dxfId="319" priority="242" rank="2"/>
  </conditionalFormatting>
  <conditionalFormatting sqref="B30:F30">
    <cfRule type="top10" dxfId="318" priority="245" rank="1"/>
    <cfRule type="top10" dxfId="317" priority="246" rank="2"/>
  </conditionalFormatting>
  <conditionalFormatting sqref="B31:F31">
    <cfRule type="top10" dxfId="316" priority="249" rank="1"/>
    <cfRule type="top10" dxfId="315" priority="250" rank="2"/>
  </conditionalFormatting>
  <conditionalFormatting sqref="B32:F32">
    <cfRule type="top10" dxfId="314" priority="253" rank="1"/>
    <cfRule type="top10" dxfId="313" priority="254" rank="2"/>
  </conditionalFormatting>
  <conditionalFormatting sqref="B38:F38">
    <cfRule type="top10" dxfId="312" priority="257" rank="1"/>
    <cfRule type="top10" dxfId="311" priority="258" rank="2"/>
  </conditionalFormatting>
  <conditionalFormatting sqref="B39:F39">
    <cfRule type="top10" dxfId="310" priority="261" rank="1"/>
    <cfRule type="top10" dxfId="309" priority="262" rank="2"/>
  </conditionalFormatting>
  <conditionalFormatting sqref="B40:F40">
    <cfRule type="top10" dxfId="308" priority="265" rank="1"/>
    <cfRule type="top10" dxfId="307" priority="266" rank="2"/>
  </conditionalFormatting>
  <conditionalFormatting sqref="B41:F41">
    <cfRule type="top10" dxfId="306" priority="269" rank="1"/>
    <cfRule type="top10" dxfId="305" priority="270" rank="2"/>
  </conditionalFormatting>
  <conditionalFormatting sqref="B47:F47">
    <cfRule type="top10" dxfId="304" priority="273" rank="1"/>
    <cfRule type="top10" dxfId="303" priority="274" rank="2"/>
  </conditionalFormatting>
  <conditionalFormatting sqref="B48:F48">
    <cfRule type="top10" dxfId="302" priority="277" rank="1"/>
    <cfRule type="top10" dxfId="301" priority="278" rank="2"/>
  </conditionalFormatting>
  <conditionalFormatting sqref="B49:F49">
    <cfRule type="top10" dxfId="300" priority="281" rank="1"/>
    <cfRule type="top10" dxfId="299" priority="282" rank="2"/>
  </conditionalFormatting>
  <conditionalFormatting sqref="B50:F50">
    <cfRule type="top10" dxfId="298" priority="285" rank="1"/>
    <cfRule type="top10" dxfId="297" priority="286" rank="2"/>
  </conditionalFormatting>
  <conditionalFormatting sqref="B51:F51">
    <cfRule type="top10" dxfId="296" priority="289" rank="1"/>
    <cfRule type="top10" dxfId="295" priority="290" rank="2"/>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BB7B-9DB4-484C-88B1-CEA2166AAAA6}">
  <dimension ref="A1:M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8" width="12.81640625" customWidth="1"/>
    <col min="10" max="11" width="12.81640625" customWidth="1"/>
    <col min="13" max="13" width="0" hidden="1" customWidth="1"/>
  </cols>
  <sheetData>
    <row r="1" spans="1:13" ht="72.5" x14ac:dyDescent="0.35">
      <c r="A1" s="98" t="s">
        <v>421</v>
      </c>
      <c r="B1" s="28" t="s">
        <v>356</v>
      </c>
      <c r="C1" s="28" t="s">
        <v>357</v>
      </c>
      <c r="D1" s="28" t="s">
        <v>422</v>
      </c>
      <c r="E1" s="28" t="s">
        <v>359</v>
      </c>
      <c r="F1" s="28" t="s">
        <v>360</v>
      </c>
      <c r="G1" s="28" t="s">
        <v>284</v>
      </c>
      <c r="H1" s="28" t="s">
        <v>361</v>
      </c>
      <c r="J1" s="29" t="s">
        <v>362</v>
      </c>
      <c r="K1" s="30" t="s">
        <v>363</v>
      </c>
    </row>
    <row r="2" spans="1:13" x14ac:dyDescent="0.35">
      <c r="A2" s="31" t="s">
        <v>364</v>
      </c>
      <c r="B2" s="31"/>
      <c r="C2" s="41"/>
      <c r="D2" s="41"/>
      <c r="E2" s="31"/>
      <c r="F2" s="31"/>
      <c r="G2" s="31"/>
      <c r="H2" s="31"/>
    </row>
    <row r="3" spans="1:13" x14ac:dyDescent="0.35">
      <c r="A3" s="33" t="s">
        <v>365</v>
      </c>
      <c r="B3" s="34">
        <v>100000</v>
      </c>
      <c r="C3" s="34">
        <v>100000</v>
      </c>
      <c r="D3" s="34">
        <v>100000</v>
      </c>
      <c r="E3" s="34">
        <v>100000</v>
      </c>
      <c r="F3" s="34">
        <v>100000</v>
      </c>
      <c r="G3" s="34">
        <v>100000</v>
      </c>
      <c r="H3" s="34">
        <v>100000</v>
      </c>
    </row>
    <row r="4" spans="1:13" x14ac:dyDescent="0.35">
      <c r="A4" s="33" t="s">
        <v>274</v>
      </c>
      <c r="B4" s="34">
        <v>50000</v>
      </c>
      <c r="C4" s="34">
        <v>50000</v>
      </c>
      <c r="D4" s="34">
        <v>50000</v>
      </c>
      <c r="E4" s="34">
        <v>50000</v>
      </c>
      <c r="F4" s="34">
        <v>50000</v>
      </c>
      <c r="G4" s="34">
        <v>50000</v>
      </c>
      <c r="H4" s="34">
        <v>50000</v>
      </c>
    </row>
    <row r="5" spans="1:13" x14ac:dyDescent="0.35">
      <c r="A5" s="33" t="s">
        <v>271</v>
      </c>
      <c r="B5" s="34">
        <v>50000</v>
      </c>
      <c r="C5" s="34">
        <v>50000</v>
      </c>
      <c r="D5" s="34">
        <v>50000</v>
      </c>
      <c r="E5" s="34">
        <v>50000</v>
      </c>
      <c r="F5" s="34">
        <v>50000</v>
      </c>
      <c r="G5" s="34">
        <v>50000</v>
      </c>
      <c r="H5" s="34">
        <v>50000</v>
      </c>
    </row>
    <row r="6" spans="1:13" ht="29" x14ac:dyDescent="0.35">
      <c r="A6" s="33" t="s">
        <v>366</v>
      </c>
      <c r="B6" s="35" t="s">
        <v>367</v>
      </c>
      <c r="C6" s="35" t="s">
        <v>368</v>
      </c>
      <c r="D6" s="35" t="s">
        <v>368</v>
      </c>
      <c r="E6" s="36" t="s">
        <v>369</v>
      </c>
      <c r="F6" s="36" t="s">
        <v>370</v>
      </c>
      <c r="G6" s="35" t="s">
        <v>371</v>
      </c>
      <c r="H6" s="35" t="s">
        <v>371</v>
      </c>
    </row>
    <row r="7" spans="1:13" x14ac:dyDescent="0.35">
      <c r="A7" s="31" t="s">
        <v>372</v>
      </c>
      <c r="B7" s="32"/>
      <c r="C7" s="42"/>
      <c r="D7" s="42"/>
      <c r="E7" s="32"/>
      <c r="F7" s="32"/>
      <c r="G7" s="32"/>
      <c r="H7" s="32"/>
    </row>
    <row r="8" spans="1:13" x14ac:dyDescent="0.35">
      <c r="A8" s="43" t="s">
        <v>373</v>
      </c>
      <c r="B8" s="43">
        <v>20</v>
      </c>
      <c r="C8">
        <v>20</v>
      </c>
      <c r="D8" s="33">
        <v>20</v>
      </c>
      <c r="E8" s="43">
        <v>20</v>
      </c>
      <c r="F8" s="43">
        <v>20</v>
      </c>
      <c r="G8" s="43">
        <v>20</v>
      </c>
      <c r="H8" s="43">
        <v>20</v>
      </c>
    </row>
    <row r="9" spans="1:13" x14ac:dyDescent="0.35">
      <c r="A9" s="33" t="s">
        <v>374</v>
      </c>
      <c r="B9" s="37">
        <f>1000+158+16+50</f>
        <v>1224</v>
      </c>
      <c r="C9" s="37">
        <v>1600</v>
      </c>
      <c r="D9" s="37">
        <v>1978</v>
      </c>
      <c r="E9" s="37">
        <f>1034.9+101.7</f>
        <v>1136.6000000000001</v>
      </c>
      <c r="F9" s="37">
        <v>889</v>
      </c>
      <c r="G9" s="37">
        <v>1169.3499999999999</v>
      </c>
      <c r="H9" s="37">
        <f>1140.23+118.11</f>
        <v>1258.3399999999999</v>
      </c>
    </row>
    <row r="10" spans="1:13" x14ac:dyDescent="0.35">
      <c r="A10" s="33" t="s">
        <v>375</v>
      </c>
      <c r="B10" s="37">
        <f>115.5+373</f>
        <v>488.5</v>
      </c>
      <c r="C10" s="37">
        <v>0</v>
      </c>
      <c r="D10" s="37">
        <v>0</v>
      </c>
      <c r="E10" s="37">
        <v>256.3</v>
      </c>
      <c r="F10" s="37">
        <v>391.5</v>
      </c>
      <c r="G10" s="37">
        <v>713.05</v>
      </c>
      <c r="H10" s="37">
        <v>539.9</v>
      </c>
    </row>
    <row r="11" spans="1:13" x14ac:dyDescent="0.35">
      <c r="A11" s="33" t="s">
        <v>376</v>
      </c>
      <c r="B11" s="37">
        <f>52+210</f>
        <v>262</v>
      </c>
      <c r="C11" s="37">
        <v>0</v>
      </c>
      <c r="D11" s="37">
        <v>0</v>
      </c>
      <c r="E11" s="37">
        <v>123.25</v>
      </c>
      <c r="F11" s="37">
        <v>138</v>
      </c>
      <c r="G11" s="37">
        <v>283.85000000000002</v>
      </c>
      <c r="H11" s="37">
        <v>274.26</v>
      </c>
    </row>
    <row r="12" spans="1:13" x14ac:dyDescent="0.35">
      <c r="A12" s="33" t="s">
        <v>377</v>
      </c>
      <c r="B12" s="34">
        <f t="shared" ref="B12:E12" si="0">SUM(B9:B11)</f>
        <v>1974.5</v>
      </c>
      <c r="C12" s="34">
        <f t="shared" ref="C12:D12" si="1">SUM(C9:C11)</f>
        <v>1600</v>
      </c>
      <c r="D12" s="34">
        <f t="shared" si="1"/>
        <v>1978</v>
      </c>
      <c r="E12" s="34">
        <f t="shared" si="0"/>
        <v>1516.15</v>
      </c>
      <c r="F12" s="34">
        <f>SUM(F9:F11)</f>
        <v>1418.5</v>
      </c>
      <c r="G12" s="34">
        <f>SUM(G9:G11)</f>
        <v>2166.25</v>
      </c>
      <c r="H12" s="34">
        <f>SUM(H9:H11)</f>
        <v>2072.5</v>
      </c>
      <c r="M12" t="str">
        <f>INDEX($B$1:$H$1,1,MATCH((MIN(B12,E12:H12)),B12:H12,0))</f>
        <v>Etiqa 
Essential Lifetime secure</v>
      </c>
    </row>
    <row r="13" spans="1:13" x14ac:dyDescent="0.35">
      <c r="A13" s="33" t="s">
        <v>378</v>
      </c>
      <c r="B13" s="34">
        <f>B9*B$8</f>
        <v>24480</v>
      </c>
      <c r="C13" s="34">
        <f t="shared" ref="C13:H16" si="2">C9*C$8</f>
        <v>32000</v>
      </c>
      <c r="D13" s="34">
        <f t="shared" si="2"/>
        <v>39560</v>
      </c>
      <c r="E13" s="34">
        <f t="shared" si="2"/>
        <v>22732.000000000004</v>
      </c>
      <c r="F13" s="34">
        <f t="shared" si="2"/>
        <v>17780</v>
      </c>
      <c r="G13" s="34">
        <f t="shared" si="2"/>
        <v>23387</v>
      </c>
      <c r="H13" s="34">
        <f t="shared" si="2"/>
        <v>25166.799999999999</v>
      </c>
      <c r="M13" t="str">
        <f t="shared" ref="M13" si="3">INDEX($B$1:$H$1,1,MATCH((MIN(B13:H13)),B13:H13,0))</f>
        <v>Etiqa 
Essential Lifetime secure</v>
      </c>
    </row>
    <row r="14" spans="1:13" x14ac:dyDescent="0.35">
      <c r="A14" s="33" t="s">
        <v>379</v>
      </c>
      <c r="B14" s="34">
        <f t="shared" ref="B14:H16" si="4">B10*B$8</f>
        <v>9770</v>
      </c>
      <c r="C14" s="34">
        <f t="shared" si="2"/>
        <v>0</v>
      </c>
      <c r="D14" s="34">
        <f t="shared" si="2"/>
        <v>0</v>
      </c>
      <c r="E14" s="34">
        <f t="shared" si="4"/>
        <v>5126</v>
      </c>
      <c r="F14" s="34">
        <f t="shared" si="4"/>
        <v>7830</v>
      </c>
      <c r="G14" s="34">
        <f t="shared" si="4"/>
        <v>14261</v>
      </c>
      <c r="H14" s="34">
        <f t="shared" si="4"/>
        <v>10798</v>
      </c>
      <c r="M14" t="str">
        <f>INDEX($B$1:$H$1,1,MATCH((MIN(B14,E14:H14)),B14:H14,0))</f>
        <v>China Taiping 
I-Secure Legacy (II)</v>
      </c>
    </row>
    <row r="15" spans="1:13" x14ac:dyDescent="0.35">
      <c r="A15" s="33" t="s">
        <v>380</v>
      </c>
      <c r="B15" s="34">
        <f t="shared" si="4"/>
        <v>5240</v>
      </c>
      <c r="C15" s="34">
        <f t="shared" si="2"/>
        <v>0</v>
      </c>
      <c r="D15" s="34">
        <f t="shared" si="2"/>
        <v>0</v>
      </c>
      <c r="E15" s="34">
        <f t="shared" si="4"/>
        <v>2465</v>
      </c>
      <c r="F15" s="34">
        <f t="shared" si="4"/>
        <v>2760</v>
      </c>
      <c r="G15" s="34">
        <f t="shared" si="4"/>
        <v>5677</v>
      </c>
      <c r="H15" s="34">
        <f t="shared" si="4"/>
        <v>5485.2</v>
      </c>
      <c r="M15" t="str">
        <f>INDEX($B$1:$H$1,1,MATCH((MIN(B15,E15:H15)),B15:H15,0))</f>
        <v>China Taiping 
I-Secure Legacy (II)</v>
      </c>
    </row>
    <row r="16" spans="1:13" x14ac:dyDescent="0.35">
      <c r="A16" s="33" t="s">
        <v>381</v>
      </c>
      <c r="B16" s="34">
        <f t="shared" si="4"/>
        <v>39490</v>
      </c>
      <c r="C16" s="34">
        <f t="shared" si="2"/>
        <v>32000</v>
      </c>
      <c r="D16" s="34">
        <f t="shared" si="2"/>
        <v>39560</v>
      </c>
      <c r="E16" s="34">
        <f t="shared" si="4"/>
        <v>30323</v>
      </c>
      <c r="F16" s="34">
        <f t="shared" si="4"/>
        <v>28370</v>
      </c>
      <c r="G16" s="34">
        <f t="shared" si="4"/>
        <v>43325</v>
      </c>
      <c r="H16" s="34">
        <f t="shared" si="4"/>
        <v>41450</v>
      </c>
      <c r="M16" t="str">
        <f>INDEX($B$1:$H$1,1,MATCH((MIN(B16,E16:H16)),B16:H16,0))</f>
        <v>Etiqa 
Essential Lifetime secure</v>
      </c>
    </row>
    <row r="17" spans="1:13" x14ac:dyDescent="0.35">
      <c r="A17" s="57" t="s">
        <v>18</v>
      </c>
      <c r="B17" s="58"/>
      <c r="C17" s="59"/>
      <c r="D17" s="59"/>
      <c r="E17" s="58"/>
      <c r="F17" s="58"/>
      <c r="G17" s="58"/>
      <c r="H17" s="58"/>
    </row>
    <row r="18" spans="1:13" hidden="1" x14ac:dyDescent="0.35">
      <c r="A18" s="33" t="s">
        <v>382</v>
      </c>
      <c r="B18" s="37">
        <v>300000</v>
      </c>
      <c r="C18" s="37">
        <v>300000</v>
      </c>
      <c r="D18" s="37">
        <v>300000</v>
      </c>
      <c r="E18" s="37">
        <v>300000</v>
      </c>
      <c r="F18" s="37">
        <v>300000</v>
      </c>
      <c r="G18" s="37">
        <v>300000</v>
      </c>
      <c r="H18" s="37">
        <v>300000</v>
      </c>
    </row>
    <row r="19" spans="1:13" hidden="1" x14ac:dyDescent="0.35">
      <c r="A19" s="33" t="s">
        <v>383</v>
      </c>
      <c r="B19" s="37">
        <v>150000</v>
      </c>
      <c r="C19" s="37">
        <v>0</v>
      </c>
      <c r="D19" s="37">
        <v>0</v>
      </c>
      <c r="E19" s="37">
        <v>150000</v>
      </c>
      <c r="F19" s="37">
        <v>150000</v>
      </c>
      <c r="G19" s="37">
        <v>150000</v>
      </c>
      <c r="H19" s="37">
        <v>150000</v>
      </c>
    </row>
    <row r="20" spans="1:13" hidden="1" x14ac:dyDescent="0.35">
      <c r="A20" s="33" t="s">
        <v>384</v>
      </c>
      <c r="B20" s="37">
        <v>150000</v>
      </c>
      <c r="C20" s="37">
        <v>0</v>
      </c>
      <c r="D20" s="37">
        <v>300000</v>
      </c>
      <c r="E20" s="37">
        <v>150000</v>
      </c>
      <c r="F20" s="37">
        <v>150000</v>
      </c>
      <c r="G20" s="37">
        <v>150000</v>
      </c>
      <c r="H20" s="37">
        <v>150000</v>
      </c>
    </row>
    <row r="21" spans="1:13" x14ac:dyDescent="0.35">
      <c r="A21" s="55" t="s">
        <v>385</v>
      </c>
      <c r="B21" s="38">
        <f t="shared" ref="B21:H23" si="5">B18/B9</f>
        <v>245.09803921568627</v>
      </c>
      <c r="C21" s="44">
        <f t="shared" si="5"/>
        <v>187.5</v>
      </c>
      <c r="D21" s="38">
        <f t="shared" si="5"/>
        <v>151.66835187057634</v>
      </c>
      <c r="E21" s="38">
        <f t="shared" si="5"/>
        <v>263.94509941932074</v>
      </c>
      <c r="F21" s="38">
        <f t="shared" si="5"/>
        <v>337.45781777277841</v>
      </c>
      <c r="G21" s="38">
        <f t="shared" si="5"/>
        <v>256.55278573566511</v>
      </c>
      <c r="H21" s="38">
        <f t="shared" si="5"/>
        <v>238.40933293068647</v>
      </c>
      <c r="M21" t="str">
        <f>INDEX($B$1:$H$1,1,MATCH((MAX(B21:H21)),B21:H21,0))</f>
        <v>Etiqa 
Essential Lifetime secure</v>
      </c>
    </row>
    <row r="22" spans="1:13" x14ac:dyDescent="0.35">
      <c r="A22" s="55" t="s">
        <v>386</v>
      </c>
      <c r="B22" s="38">
        <f t="shared" si="5"/>
        <v>307.06243602865914</v>
      </c>
      <c r="C22" s="38" t="s">
        <v>63</v>
      </c>
      <c r="D22" s="38" t="s">
        <v>63</v>
      </c>
      <c r="E22" s="38">
        <f t="shared" si="5"/>
        <v>585.25165821303153</v>
      </c>
      <c r="F22" s="38">
        <f t="shared" si="5"/>
        <v>383.14176245210729</v>
      </c>
      <c r="G22" s="38">
        <f t="shared" si="5"/>
        <v>210.36392959820492</v>
      </c>
      <c r="H22" s="38">
        <f t="shared" si="5"/>
        <v>277.82922763474721</v>
      </c>
      <c r="M22" t="str">
        <f>INDEX($B$1:$H$1,1,MATCH((MAX(B22, E22:H22)),B22:H22,0))</f>
        <v>China Taiping 
I-Secure Legacy (II)</v>
      </c>
    </row>
    <row r="23" spans="1:13" x14ac:dyDescent="0.35">
      <c r="A23" s="55" t="s">
        <v>387</v>
      </c>
      <c r="B23" s="38">
        <f t="shared" si="5"/>
        <v>572.51908396946567</v>
      </c>
      <c r="C23" s="38" t="s">
        <v>63</v>
      </c>
      <c r="D23" s="38" t="s">
        <v>63</v>
      </c>
      <c r="E23" s="38">
        <f t="shared" si="5"/>
        <v>1217.0385395537526</v>
      </c>
      <c r="F23" s="38">
        <f t="shared" si="5"/>
        <v>1086.9565217391305</v>
      </c>
      <c r="G23" s="38">
        <f t="shared" si="5"/>
        <v>528.44812400915976</v>
      </c>
      <c r="H23" s="38">
        <f t="shared" si="5"/>
        <v>546.92627433821917</v>
      </c>
      <c r="M23" t="str">
        <f>INDEX($B$1:$F$1,1,MATCH((MAX(B23, E23:H23)),B23:H23,0))</f>
        <v>China Taiping 
I-Secure Legacy (II)</v>
      </c>
    </row>
    <row r="24" spans="1:13" x14ac:dyDescent="0.35">
      <c r="A24" s="57" t="s">
        <v>22</v>
      </c>
      <c r="B24" s="58"/>
      <c r="C24" s="59"/>
      <c r="D24" s="59"/>
      <c r="E24" s="58"/>
      <c r="F24" s="58"/>
      <c r="G24" s="58"/>
      <c r="H24" s="58"/>
    </row>
    <row r="25" spans="1:13" hidden="1" x14ac:dyDescent="0.35">
      <c r="A25" s="33" t="s">
        <v>388</v>
      </c>
      <c r="B25" s="37">
        <v>300000</v>
      </c>
      <c r="C25" s="37">
        <v>300000</v>
      </c>
      <c r="D25" s="37">
        <v>300000</v>
      </c>
      <c r="E25" s="37">
        <v>300000</v>
      </c>
      <c r="F25" s="37">
        <v>300000</v>
      </c>
      <c r="G25" s="37">
        <v>300000</v>
      </c>
      <c r="H25" s="37">
        <v>300000</v>
      </c>
    </row>
    <row r="26" spans="1:13" hidden="1" x14ac:dyDescent="0.35">
      <c r="A26" s="33" t="s">
        <v>389</v>
      </c>
      <c r="B26" s="37">
        <v>457376</v>
      </c>
      <c r="C26" s="37">
        <v>413806</v>
      </c>
      <c r="D26" s="37">
        <v>413806</v>
      </c>
      <c r="E26" s="37">
        <v>300000</v>
      </c>
      <c r="F26" s="37">
        <v>302862</v>
      </c>
      <c r="G26" s="37">
        <v>325923</v>
      </c>
      <c r="H26" s="37">
        <v>312840</v>
      </c>
    </row>
    <row r="27" spans="1:13" hidden="1" x14ac:dyDescent="0.35">
      <c r="A27" s="33" t="s">
        <v>390</v>
      </c>
      <c r="B27" s="37">
        <v>62300</v>
      </c>
      <c r="C27" s="37">
        <v>40830</v>
      </c>
      <c r="D27" s="37">
        <v>36740</v>
      </c>
      <c r="E27" s="37">
        <v>49000</v>
      </c>
      <c r="F27" s="37">
        <v>38600</v>
      </c>
      <c r="G27" s="37">
        <v>42000</v>
      </c>
      <c r="H27" s="37">
        <v>27500</v>
      </c>
    </row>
    <row r="28" spans="1:13" hidden="1" x14ac:dyDescent="0.35">
      <c r="A28" s="33" t="s">
        <v>391</v>
      </c>
      <c r="B28" s="37">
        <v>166064</v>
      </c>
      <c r="C28" s="37">
        <v>168957</v>
      </c>
      <c r="D28" s="37">
        <v>152032</v>
      </c>
      <c r="E28" s="37">
        <v>142812</v>
      </c>
      <c r="F28" s="37">
        <v>138932</v>
      </c>
      <c r="G28" s="37">
        <v>162620</v>
      </c>
      <c r="H28" s="37">
        <v>143820</v>
      </c>
    </row>
    <row r="29" spans="1:13" x14ac:dyDescent="0.35">
      <c r="A29" s="55" t="s">
        <v>392</v>
      </c>
      <c r="B29" s="38">
        <f t="shared" ref="B29:H32" si="6">B25/B$13</f>
        <v>12.254901960784315</v>
      </c>
      <c r="C29" s="38">
        <f t="shared" si="6"/>
        <v>9.375</v>
      </c>
      <c r="D29" s="38">
        <f t="shared" si="6"/>
        <v>7.5834175935288171</v>
      </c>
      <c r="E29" s="38">
        <f t="shared" si="6"/>
        <v>13.197254970966037</v>
      </c>
      <c r="F29" s="38">
        <f t="shared" si="6"/>
        <v>16.872890888638921</v>
      </c>
      <c r="G29" s="38">
        <f t="shared" si="6"/>
        <v>12.827639286783256</v>
      </c>
      <c r="H29" s="38">
        <f t="shared" si="6"/>
        <v>11.920466646534324</v>
      </c>
      <c r="M29" t="str">
        <f>INDEX($B$1:$H$1,1,MATCH((MAX(B29:H29)),B29:H29,0))</f>
        <v>Etiqa 
Essential Lifetime secure</v>
      </c>
    </row>
    <row r="30" spans="1:13" x14ac:dyDescent="0.35">
      <c r="A30" s="55" t="s">
        <v>393</v>
      </c>
      <c r="B30" s="38">
        <f t="shared" si="6"/>
        <v>18.683660130718955</v>
      </c>
      <c r="C30" s="38">
        <f t="shared" si="6"/>
        <v>12.931437499999999</v>
      </c>
      <c r="D30" s="38">
        <f t="shared" si="6"/>
        <v>10.460212335692619</v>
      </c>
      <c r="E30" s="38">
        <f t="shared" si="6"/>
        <v>13.197254970966037</v>
      </c>
      <c r="F30" s="38">
        <f t="shared" si="6"/>
        <v>17.033858267716536</v>
      </c>
      <c r="G30" s="38">
        <f t="shared" si="6"/>
        <v>13.936075597554197</v>
      </c>
      <c r="H30" s="38">
        <f t="shared" si="6"/>
        <v>12.430662619005993</v>
      </c>
      <c r="M30" t="str">
        <f>INDEX($B$1:$H$1,1,MATCH((MAX(B30:H30)),B30:H30,0))</f>
        <v>Singlife 
Whole Life Choice</v>
      </c>
    </row>
    <row r="31" spans="1:13" x14ac:dyDescent="0.35">
      <c r="A31" s="55" t="s">
        <v>394</v>
      </c>
      <c r="B31" s="38">
        <f t="shared" si="6"/>
        <v>2.5449346405228757</v>
      </c>
      <c r="C31" s="38">
        <f t="shared" si="6"/>
        <v>1.2759374999999999</v>
      </c>
      <c r="D31" s="38">
        <f t="shared" si="6"/>
        <v>0.92871587462082916</v>
      </c>
      <c r="E31" s="38">
        <f t="shared" si="6"/>
        <v>2.1555516452577859</v>
      </c>
      <c r="F31" s="38">
        <f t="shared" si="6"/>
        <v>2.1709786276715413</v>
      </c>
      <c r="G31" s="38">
        <f t="shared" si="6"/>
        <v>1.7958695001496559</v>
      </c>
      <c r="H31" s="38">
        <f t="shared" si="6"/>
        <v>1.0927094425989796</v>
      </c>
      <c r="M31" t="str">
        <f>INDEX($B$1:$H$1,1,MATCH((MAX(B31:H31)),B31:H31,0))</f>
        <v>Singlife 
Whole Life Choice</v>
      </c>
    </row>
    <row r="32" spans="1:13" x14ac:dyDescent="0.35">
      <c r="A32" s="55" t="s">
        <v>395</v>
      </c>
      <c r="B32" s="38">
        <f t="shared" si="6"/>
        <v>6.7836601307189541</v>
      </c>
      <c r="C32" s="38">
        <f t="shared" si="6"/>
        <v>5.2799062499999998</v>
      </c>
      <c r="D32" s="38">
        <f t="shared" si="6"/>
        <v>3.8430738119312435</v>
      </c>
      <c r="E32" s="38">
        <f t="shared" si="6"/>
        <v>6.2824212563786723</v>
      </c>
      <c r="F32" s="38">
        <f t="shared" si="6"/>
        <v>7.8139482564679419</v>
      </c>
      <c r="G32" s="38">
        <f t="shared" si="6"/>
        <v>6.9534356693889769</v>
      </c>
      <c r="H32" s="38">
        <f t="shared" si="6"/>
        <v>5.7146717103485543</v>
      </c>
      <c r="M32" t="str">
        <f>INDEX($B$1:$H$1,1,MATCH((MAX(B32:H32)),B32:H32,0))</f>
        <v>Etiqa 
Essential Lifetime secure</v>
      </c>
    </row>
    <row r="33" spans="1:13" x14ac:dyDescent="0.35">
      <c r="A33" s="57" t="s">
        <v>29</v>
      </c>
      <c r="B33" s="58"/>
      <c r="C33" s="59"/>
      <c r="D33" s="59"/>
      <c r="E33" s="58"/>
      <c r="F33" s="58"/>
      <c r="G33" s="58"/>
      <c r="H33" s="58"/>
    </row>
    <row r="34" spans="1:13" hidden="1" x14ac:dyDescent="0.35">
      <c r="A34" s="33" t="s">
        <v>388</v>
      </c>
      <c r="B34" s="37">
        <v>150000</v>
      </c>
      <c r="C34" s="37">
        <v>300000</v>
      </c>
      <c r="D34" s="37">
        <v>300000</v>
      </c>
      <c r="E34" s="37">
        <v>300000</v>
      </c>
      <c r="F34" s="37">
        <v>150000</v>
      </c>
      <c r="G34" s="37">
        <v>100000</v>
      </c>
      <c r="H34" s="37">
        <v>100000</v>
      </c>
    </row>
    <row r="35" spans="1:13" hidden="1" x14ac:dyDescent="0.35">
      <c r="A35" s="33" t="s">
        <v>389</v>
      </c>
      <c r="B35" s="37">
        <v>399730</v>
      </c>
      <c r="C35" s="37">
        <v>535885</v>
      </c>
      <c r="D35" s="37">
        <v>535885</v>
      </c>
      <c r="E35" s="37">
        <v>416782</v>
      </c>
      <c r="F35" s="37">
        <v>428255</v>
      </c>
      <c r="G35" s="37">
        <v>464292</v>
      </c>
      <c r="H35" s="37">
        <v>402546</v>
      </c>
    </row>
    <row r="36" spans="1:13" hidden="1" x14ac:dyDescent="0.35">
      <c r="A36" s="33" t="s">
        <v>390</v>
      </c>
      <c r="B36" s="37">
        <v>85600</v>
      </c>
      <c r="C36" s="37">
        <v>72610</v>
      </c>
      <c r="D36" s="37">
        <v>69500</v>
      </c>
      <c r="E36" s="37">
        <v>75500</v>
      </c>
      <c r="F36" s="37">
        <v>57800</v>
      </c>
      <c r="G36" s="37">
        <v>68000</v>
      </c>
      <c r="H36" s="37">
        <v>40200</v>
      </c>
    </row>
    <row r="37" spans="1:13" hidden="1" x14ac:dyDescent="0.35">
      <c r="A37" s="33" t="s">
        <v>391</v>
      </c>
      <c r="B37" s="37">
        <v>302271</v>
      </c>
      <c r="C37" s="37">
        <v>389106</v>
      </c>
      <c r="D37" s="37">
        <v>372440</v>
      </c>
      <c r="E37" s="37">
        <v>314670</v>
      </c>
      <c r="F37" s="37">
        <v>251749</v>
      </c>
      <c r="G37" s="37">
        <v>337260</v>
      </c>
      <c r="H37" s="37">
        <v>258508</v>
      </c>
    </row>
    <row r="38" spans="1:13" x14ac:dyDescent="0.35">
      <c r="A38" s="55" t="s">
        <v>392</v>
      </c>
      <c r="B38" s="38">
        <f t="shared" ref="B38:H41" si="7">B34/B$13</f>
        <v>6.1274509803921573</v>
      </c>
      <c r="C38" s="38">
        <f t="shared" si="7"/>
        <v>9.375</v>
      </c>
      <c r="D38" s="38">
        <f t="shared" si="7"/>
        <v>7.5834175935288171</v>
      </c>
      <c r="E38" s="38">
        <f t="shared" si="7"/>
        <v>13.197254970966037</v>
      </c>
      <c r="F38" s="38">
        <f t="shared" si="7"/>
        <v>8.4364454443194603</v>
      </c>
      <c r="G38" s="38">
        <f t="shared" si="7"/>
        <v>4.2758797622610851</v>
      </c>
      <c r="H38" s="38">
        <f t="shared" si="7"/>
        <v>3.9734888821781076</v>
      </c>
      <c r="M38" t="str">
        <f>INDEX($B$1:$H$1,1,MATCH((MAX(B38:H38)),B38:H38,0))</f>
        <v>China Taiping 
I-Secure Legacy (II)</v>
      </c>
    </row>
    <row r="39" spans="1:13" x14ac:dyDescent="0.35">
      <c r="A39" s="55" t="s">
        <v>393</v>
      </c>
      <c r="B39" s="38">
        <f t="shared" si="7"/>
        <v>16.328839869281047</v>
      </c>
      <c r="C39" s="38">
        <f t="shared" si="7"/>
        <v>16.74640625</v>
      </c>
      <c r="D39" s="38">
        <f t="shared" si="7"/>
        <v>13.5461324570273</v>
      </c>
      <c r="E39" s="38">
        <f t="shared" si="7"/>
        <v>18.334594404363891</v>
      </c>
      <c r="F39" s="38">
        <f t="shared" si="7"/>
        <v>24.086332958380204</v>
      </c>
      <c r="G39" s="38">
        <f t="shared" si="7"/>
        <v>19.852567665797238</v>
      </c>
      <c r="H39" s="38">
        <f t="shared" si="7"/>
        <v>15.995120555652687</v>
      </c>
      <c r="M39" t="str">
        <f>INDEX($B$1:$H$1,1,MATCH((MAX(B39:H39)),B39:H39,0))</f>
        <v>Etiqa 
Essential Lifetime secure</v>
      </c>
    </row>
    <row r="40" spans="1:13" x14ac:dyDescent="0.35">
      <c r="A40" s="55" t="s">
        <v>394</v>
      </c>
      <c r="B40" s="38">
        <f t="shared" si="7"/>
        <v>3.4967320261437909</v>
      </c>
      <c r="C40" s="38">
        <f t="shared" si="7"/>
        <v>2.2690625</v>
      </c>
      <c r="D40" s="38">
        <f t="shared" si="7"/>
        <v>1.7568250758341759</v>
      </c>
      <c r="E40" s="38">
        <f t="shared" si="7"/>
        <v>3.3213091676931192</v>
      </c>
      <c r="F40" s="38">
        <f t="shared" si="7"/>
        <v>3.2508436445444318</v>
      </c>
      <c r="G40" s="38">
        <f t="shared" si="7"/>
        <v>2.9075982383375378</v>
      </c>
      <c r="H40" s="38">
        <f t="shared" si="7"/>
        <v>1.5973425306355993</v>
      </c>
      <c r="M40" t="str">
        <f>INDEX($B$1:$H$1,1,MATCH((MAX(B40:H40)),B40:H40,0))</f>
        <v>Singlife 
Whole Life Choice</v>
      </c>
    </row>
    <row r="41" spans="1:13" x14ac:dyDescent="0.35">
      <c r="A41" s="55" t="s">
        <v>395</v>
      </c>
      <c r="B41" s="38">
        <f t="shared" si="7"/>
        <v>12.347671568627451</v>
      </c>
      <c r="C41" s="38">
        <f t="shared" si="7"/>
        <v>12.1595625</v>
      </c>
      <c r="D41" s="38">
        <f t="shared" si="7"/>
        <v>9.4145601617795744</v>
      </c>
      <c r="E41" s="38">
        <f t="shared" si="7"/>
        <v>13.842600739046276</v>
      </c>
      <c r="F41" s="38">
        <f t="shared" si="7"/>
        <v>14.159111361079866</v>
      </c>
      <c r="G41" s="38">
        <f t="shared" si="7"/>
        <v>14.420832086201736</v>
      </c>
      <c r="H41" s="38">
        <f t="shared" si="7"/>
        <v>10.271786639540982</v>
      </c>
      <c r="M41" t="str">
        <f>INDEX($B$1:$H$1,1,MATCH((MAX(B41:H41)),B41:H41,0))</f>
        <v>Income Complete Life Secure</v>
      </c>
    </row>
    <row r="42" spans="1:13" x14ac:dyDescent="0.35">
      <c r="A42" s="63" t="s">
        <v>31</v>
      </c>
      <c r="B42" s="64"/>
      <c r="C42" s="65"/>
      <c r="D42" s="65"/>
      <c r="E42" s="64"/>
      <c r="F42" s="64"/>
      <c r="G42" s="64"/>
      <c r="H42" s="64"/>
    </row>
    <row r="43" spans="1:13" hidden="1" x14ac:dyDescent="0.35">
      <c r="A43" s="33" t="s">
        <v>388</v>
      </c>
      <c r="B43" s="37">
        <v>100000</v>
      </c>
      <c r="C43" s="37">
        <v>100000</v>
      </c>
      <c r="D43" s="37">
        <v>100000</v>
      </c>
      <c r="E43" s="37">
        <v>150000</v>
      </c>
      <c r="F43" s="37">
        <v>150000</v>
      </c>
      <c r="G43" s="37">
        <v>100000</v>
      </c>
      <c r="H43" s="37">
        <v>100000</v>
      </c>
    </row>
    <row r="44" spans="1:13" hidden="1" x14ac:dyDescent="0.35">
      <c r="A44" s="33" t="s">
        <v>389</v>
      </c>
      <c r="B44" s="37">
        <v>375912</v>
      </c>
      <c r="C44" s="37">
        <v>568355</v>
      </c>
      <c r="D44" s="37">
        <v>568355</v>
      </c>
      <c r="E44" s="37">
        <v>439932</v>
      </c>
      <c r="F44" s="37">
        <v>451745</v>
      </c>
      <c r="G44" s="37">
        <v>505083</v>
      </c>
      <c r="H44" s="37">
        <v>427192</v>
      </c>
    </row>
    <row r="45" spans="1:13" hidden="1" x14ac:dyDescent="0.35">
      <c r="A45" s="33" t="s">
        <v>390</v>
      </c>
      <c r="B45" s="37">
        <v>91100</v>
      </c>
      <c r="C45" s="37">
        <v>79700</v>
      </c>
      <c r="D45" s="37">
        <v>77420</v>
      </c>
      <c r="E45" s="37">
        <v>81900</v>
      </c>
      <c r="F45" s="37">
        <v>61800</v>
      </c>
      <c r="G45" s="37">
        <v>74200</v>
      </c>
      <c r="H45" s="37">
        <v>43300</v>
      </c>
    </row>
    <row r="46" spans="1:13" hidden="1" x14ac:dyDescent="0.35">
      <c r="A46" s="33" t="s">
        <v>391</v>
      </c>
      <c r="B46" s="37">
        <v>343392</v>
      </c>
      <c r="C46" s="37">
        <v>452979</v>
      </c>
      <c r="D46" s="37">
        <v>440020</v>
      </c>
      <c r="E46" s="37">
        <v>360304</v>
      </c>
      <c r="F46" s="37">
        <v>280989</v>
      </c>
      <c r="G46" s="37">
        <v>389485</v>
      </c>
      <c r="H46" s="37">
        <v>291979</v>
      </c>
    </row>
    <row r="47" spans="1:13" x14ac:dyDescent="0.35">
      <c r="A47" s="55" t="s">
        <v>392</v>
      </c>
      <c r="B47" s="38">
        <f t="shared" ref="B47:H50" si="8">B43/B$13</f>
        <v>4.0849673202614376</v>
      </c>
      <c r="C47" s="38">
        <f t="shared" si="8"/>
        <v>3.125</v>
      </c>
      <c r="D47" s="38">
        <f t="shared" si="8"/>
        <v>2.5278058645096055</v>
      </c>
      <c r="E47" s="38">
        <f t="shared" si="8"/>
        <v>6.5986274854830187</v>
      </c>
      <c r="F47" s="38">
        <f t="shared" si="8"/>
        <v>8.4364454443194603</v>
      </c>
      <c r="G47" s="38">
        <f t="shared" si="8"/>
        <v>4.2758797622610851</v>
      </c>
      <c r="H47" s="38">
        <f t="shared" si="8"/>
        <v>3.9734888821781076</v>
      </c>
      <c r="M47" t="str">
        <f>INDEX($B$1:$H$1,1,MATCH((MAX(B47:H47)),B47:H47,0))</f>
        <v>Etiqa 
Essential Lifetime secure</v>
      </c>
    </row>
    <row r="48" spans="1:13" x14ac:dyDescent="0.35">
      <c r="A48" s="55" t="s">
        <v>393</v>
      </c>
      <c r="B48" s="38">
        <f t="shared" si="8"/>
        <v>15.355882352941176</v>
      </c>
      <c r="C48" s="38">
        <f t="shared" si="8"/>
        <v>17.761093750000001</v>
      </c>
      <c r="D48" s="38">
        <f t="shared" si="8"/>
        <v>14.36691102123357</v>
      </c>
      <c r="E48" s="38">
        <f t="shared" si="8"/>
        <v>19.352982579623436</v>
      </c>
      <c r="F48" s="38">
        <f t="shared" si="8"/>
        <v>25.40748031496063</v>
      </c>
      <c r="G48" s="38">
        <f t="shared" si="8"/>
        <v>21.596741779621158</v>
      </c>
      <c r="H48" s="38">
        <f t="shared" si="8"/>
        <v>16.974426625554301</v>
      </c>
      <c r="M48" t="str">
        <f>INDEX($B$1:$H$1,1,MATCH((MAX(B48:H48)),B48:H48,0))</f>
        <v>Etiqa 
Essential Lifetime secure</v>
      </c>
    </row>
    <row r="49" spans="1:13" x14ac:dyDescent="0.35">
      <c r="A49" s="55" t="s">
        <v>394</v>
      </c>
      <c r="B49" s="38">
        <f t="shared" si="8"/>
        <v>3.72140522875817</v>
      </c>
      <c r="C49" s="38">
        <f t="shared" si="8"/>
        <v>2.4906250000000001</v>
      </c>
      <c r="D49" s="38">
        <f t="shared" si="8"/>
        <v>1.9570273003033367</v>
      </c>
      <c r="E49" s="38">
        <f t="shared" si="8"/>
        <v>3.6028506070737283</v>
      </c>
      <c r="F49" s="38">
        <f t="shared" si="8"/>
        <v>3.4758155230596177</v>
      </c>
      <c r="G49" s="38">
        <f>G45/G$13</f>
        <v>3.1727027835977251</v>
      </c>
      <c r="H49" s="38">
        <f t="shared" si="8"/>
        <v>1.7205206859831206</v>
      </c>
      <c r="M49" t="str">
        <f>INDEX($B$1:$H$1,1,MATCH((MAX(B49:H49)),B49:H49,0))</f>
        <v>Singlife 
Whole Life Choice</v>
      </c>
    </row>
    <row r="50" spans="1:13" x14ac:dyDescent="0.35">
      <c r="A50" s="55" t="s">
        <v>395</v>
      </c>
      <c r="B50" s="38">
        <f t="shared" si="8"/>
        <v>14.027450980392157</v>
      </c>
      <c r="C50" s="38">
        <f t="shared" si="8"/>
        <v>14.15559375</v>
      </c>
      <c r="D50" s="38">
        <f t="shared" si="8"/>
        <v>11.122851365015167</v>
      </c>
      <c r="E50" s="38">
        <f t="shared" si="8"/>
        <v>15.850079183529823</v>
      </c>
      <c r="F50" s="38">
        <f t="shared" si="8"/>
        <v>15.803655793025872</v>
      </c>
      <c r="G50" s="38">
        <f>G46/G$13</f>
        <v>16.653910292042589</v>
      </c>
      <c r="H50" s="38">
        <f t="shared" si="8"/>
        <v>11.601753103294817</v>
      </c>
      <c r="M50" t="str">
        <f>INDEX($B$1:$H$1,1,MATCH((MAX(B50:H50)),B50:H50,0))</f>
        <v>Income Complete Life Secure</v>
      </c>
    </row>
    <row r="51" spans="1:13" x14ac:dyDescent="0.35">
      <c r="A51" s="39" t="s">
        <v>33</v>
      </c>
      <c r="B51" s="40">
        <v>3.5799999999999998E-2</v>
      </c>
      <c r="C51" s="40">
        <v>3.0200000000000001E-2</v>
      </c>
      <c r="D51" s="40">
        <v>2.4400000000000002E-2</v>
      </c>
      <c r="E51" s="40">
        <v>3.32E-2</v>
      </c>
      <c r="F51" s="40">
        <v>3.73E-2</v>
      </c>
      <c r="G51" s="40">
        <v>3.5200000000000002E-2</v>
      </c>
      <c r="H51" s="40">
        <v>3.1600000000000003E-2</v>
      </c>
      <c r="M51" t="str">
        <f>INDEX($B$1:$H$1,1,MATCH((MAX(B51:H51)),B51:H51,0))</f>
        <v>Etiqa 
Essential Lifetime secure</v>
      </c>
    </row>
  </sheetData>
  <sheetProtection algorithmName="SHA-512" hashValue="xBhkiN+AZr1GinKOwPCmugPJ3q6R8M7G6phMMTkedqeUo9Q2Vw6Luia/Sl1u9Tm6Qxgg3qW8NQVsq6I3rwUZlQ==" saltValue="pV/2gAeYYscvWEb1dcdIxw==" spinCount="100000" sheet="1" objects="1" scenarios="1" selectLockedCells="1" autoFilter="0" selectUnlockedCells="1"/>
  <conditionalFormatting sqref="B14 E14:H14">
    <cfRule type="top10" dxfId="294" priority="291" bottom="1" rank="1"/>
    <cfRule type="top10" dxfId="293" priority="292" bottom="1" rank="2"/>
  </conditionalFormatting>
  <conditionalFormatting sqref="B15 E15:H15">
    <cfRule type="top10" dxfId="292" priority="297" bottom="1" rank="1"/>
    <cfRule type="top10" dxfId="291" priority="298" bottom="1" rank="2"/>
  </conditionalFormatting>
  <conditionalFormatting sqref="B21 E21:H21">
    <cfRule type="top10" dxfId="290" priority="303" rank="1"/>
    <cfRule type="top10" dxfId="289" priority="304" rank="2"/>
  </conditionalFormatting>
  <conditionalFormatting sqref="B22 E22:H22">
    <cfRule type="top10" dxfId="288" priority="309" rank="1"/>
    <cfRule type="top10" dxfId="287" priority="310" rank="2"/>
  </conditionalFormatting>
  <conditionalFormatting sqref="B23 E23:H23">
    <cfRule type="top10" dxfId="286" priority="315" rank="1"/>
    <cfRule type="top10" dxfId="285" priority="316" rank="2"/>
  </conditionalFormatting>
  <conditionalFormatting sqref="B12:H12">
    <cfRule type="top10" dxfId="284" priority="321" bottom="1" rank="1"/>
    <cfRule type="top10" dxfId="283" priority="322" bottom="1" rank="2"/>
  </conditionalFormatting>
  <conditionalFormatting sqref="B13:H13">
    <cfRule type="top10" dxfId="282" priority="325" bottom="1" rank="1"/>
    <cfRule type="top10" dxfId="281" priority="326" bottom="1" rank="2"/>
  </conditionalFormatting>
  <conditionalFormatting sqref="B16:H16">
    <cfRule type="top10" dxfId="280" priority="329" bottom="1" rank="1"/>
    <cfRule type="top10" dxfId="279" priority="330" bottom="1" rank="2"/>
  </conditionalFormatting>
  <conditionalFormatting sqref="B29:H29">
    <cfRule type="top10" dxfId="278" priority="333" rank="1"/>
    <cfRule type="top10" dxfId="277" priority="334" rank="2"/>
  </conditionalFormatting>
  <conditionalFormatting sqref="B30:H30">
    <cfRule type="top10" dxfId="276" priority="337" rank="1"/>
    <cfRule type="top10" dxfId="275" priority="338" rank="2"/>
  </conditionalFormatting>
  <conditionalFormatting sqref="B31:H31">
    <cfRule type="top10" dxfId="274" priority="341" rank="1"/>
    <cfRule type="top10" dxfId="273" priority="342" rank="2"/>
  </conditionalFormatting>
  <conditionalFormatting sqref="B32:H32">
    <cfRule type="top10" dxfId="272" priority="345" rank="1"/>
    <cfRule type="top10" dxfId="271" priority="346" rank="2"/>
  </conditionalFormatting>
  <conditionalFormatting sqref="B38:H38">
    <cfRule type="top10" dxfId="270" priority="349" rank="1"/>
    <cfRule type="top10" dxfId="269" priority="350" rank="2"/>
  </conditionalFormatting>
  <conditionalFormatting sqref="B39:H39">
    <cfRule type="top10" dxfId="268" priority="353" rank="1"/>
    <cfRule type="top10" dxfId="267" priority="354" rank="2"/>
  </conditionalFormatting>
  <conditionalFormatting sqref="B40:H40">
    <cfRule type="top10" dxfId="266" priority="357" rank="1"/>
    <cfRule type="top10" dxfId="265" priority="358" rank="2"/>
  </conditionalFormatting>
  <conditionalFormatting sqref="B41:H41">
    <cfRule type="top10" dxfId="264" priority="361" rank="1"/>
    <cfRule type="top10" dxfId="263" priority="362" rank="2"/>
  </conditionalFormatting>
  <conditionalFormatting sqref="B47:H47">
    <cfRule type="top10" dxfId="262" priority="365" rank="1"/>
    <cfRule type="top10" dxfId="261" priority="366" rank="2"/>
  </conditionalFormatting>
  <conditionalFormatting sqref="B48:H48">
    <cfRule type="top10" dxfId="260" priority="369" rank="1"/>
    <cfRule type="top10" dxfId="259" priority="370" rank="2"/>
  </conditionalFormatting>
  <conditionalFormatting sqref="B49:H49">
    <cfRule type="top10" dxfId="258" priority="373" rank="1"/>
    <cfRule type="top10" dxfId="257" priority="374" rank="2"/>
  </conditionalFormatting>
  <conditionalFormatting sqref="B50:H50">
    <cfRule type="top10" dxfId="256" priority="377" rank="1"/>
    <cfRule type="top10" dxfId="255" priority="378" rank="2"/>
  </conditionalFormatting>
  <conditionalFormatting sqref="B51:H51">
    <cfRule type="top10" dxfId="254" priority="381" rank="1"/>
    <cfRule type="top10" dxfId="253" priority="382" rank="2"/>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6D40A-0206-4A02-B494-EB691971FA94}">
  <dimension ref="A1:M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8" width="12.81640625" customWidth="1"/>
    <col min="10" max="11" width="12.81640625" customWidth="1"/>
    <col min="13" max="13" width="0" hidden="1" customWidth="1"/>
  </cols>
  <sheetData>
    <row r="1" spans="1:13" ht="72.5" x14ac:dyDescent="0.35">
      <c r="A1" s="98" t="s">
        <v>355</v>
      </c>
      <c r="B1" s="28" t="s">
        <v>356</v>
      </c>
      <c r="C1" s="28" t="s">
        <v>357</v>
      </c>
      <c r="D1" s="28" t="s">
        <v>358</v>
      </c>
      <c r="E1" s="28" t="s">
        <v>359</v>
      </c>
      <c r="F1" s="28" t="s">
        <v>360</v>
      </c>
      <c r="G1" s="28" t="s">
        <v>284</v>
      </c>
      <c r="H1" s="28" t="s">
        <v>361</v>
      </c>
      <c r="J1" s="29" t="s">
        <v>362</v>
      </c>
      <c r="K1" s="30" t="s">
        <v>363</v>
      </c>
    </row>
    <row r="2" spans="1:13" x14ac:dyDescent="0.35">
      <c r="A2" s="45" t="s">
        <v>364</v>
      </c>
      <c r="B2" s="42"/>
      <c r="C2" s="42"/>
      <c r="D2" s="42"/>
      <c r="E2" s="42"/>
      <c r="F2" s="42"/>
      <c r="G2" s="42"/>
      <c r="H2" s="46"/>
    </row>
    <row r="3" spans="1:13" x14ac:dyDescent="0.35">
      <c r="A3" s="43" t="s">
        <v>365</v>
      </c>
      <c r="B3" s="47">
        <v>100000</v>
      </c>
      <c r="C3" s="47">
        <v>100000</v>
      </c>
      <c r="D3" s="47">
        <v>100000</v>
      </c>
      <c r="E3" s="47">
        <v>100000</v>
      </c>
      <c r="F3" s="47">
        <v>100000</v>
      </c>
      <c r="G3" s="47">
        <v>100000</v>
      </c>
      <c r="H3" s="47">
        <v>100000</v>
      </c>
    </row>
    <row r="4" spans="1:13" x14ac:dyDescent="0.35">
      <c r="A4" s="33" t="s">
        <v>274</v>
      </c>
      <c r="B4" s="34">
        <v>50000</v>
      </c>
      <c r="C4" s="34">
        <v>50000</v>
      </c>
      <c r="D4" s="34">
        <v>50000</v>
      </c>
      <c r="E4" s="34">
        <v>50000</v>
      </c>
      <c r="F4" s="34">
        <v>50000</v>
      </c>
      <c r="G4" s="34">
        <v>50000</v>
      </c>
      <c r="H4" s="34">
        <v>50000</v>
      </c>
    </row>
    <row r="5" spans="1:13" x14ac:dyDescent="0.35">
      <c r="A5" s="33" t="s">
        <v>271</v>
      </c>
      <c r="B5" s="34">
        <v>50000</v>
      </c>
      <c r="C5" s="34">
        <v>50000</v>
      </c>
      <c r="D5" s="34">
        <v>50000</v>
      </c>
      <c r="E5" s="34">
        <v>50000</v>
      </c>
      <c r="F5" s="34">
        <v>50000</v>
      </c>
      <c r="G5" s="34">
        <v>50000</v>
      </c>
      <c r="H5" s="34">
        <v>50000</v>
      </c>
    </row>
    <row r="6" spans="1:13" ht="29" x14ac:dyDescent="0.35">
      <c r="A6" s="33" t="s">
        <v>366</v>
      </c>
      <c r="B6" s="35" t="s">
        <v>367</v>
      </c>
      <c r="C6" s="35" t="s">
        <v>368</v>
      </c>
      <c r="D6" s="35" t="s">
        <v>368</v>
      </c>
      <c r="E6" s="36" t="s">
        <v>369</v>
      </c>
      <c r="F6" s="36" t="s">
        <v>370</v>
      </c>
      <c r="G6" s="35" t="s">
        <v>371</v>
      </c>
      <c r="H6" s="35" t="s">
        <v>371</v>
      </c>
    </row>
    <row r="7" spans="1:13" x14ac:dyDescent="0.35">
      <c r="A7" s="31" t="s">
        <v>372</v>
      </c>
      <c r="B7" s="32"/>
      <c r="C7" s="42"/>
      <c r="D7" s="42"/>
      <c r="E7" s="32"/>
      <c r="F7" s="32"/>
      <c r="G7" s="32"/>
      <c r="H7" s="32"/>
    </row>
    <row r="8" spans="1:13" x14ac:dyDescent="0.35">
      <c r="A8" s="43" t="s">
        <v>373</v>
      </c>
      <c r="B8" s="43">
        <v>20</v>
      </c>
      <c r="C8">
        <v>20</v>
      </c>
      <c r="D8" s="33">
        <v>20</v>
      </c>
      <c r="E8" s="43">
        <v>20</v>
      </c>
      <c r="F8" s="43">
        <v>20</v>
      </c>
      <c r="G8" s="43">
        <v>20</v>
      </c>
      <c r="H8" s="43">
        <v>20</v>
      </c>
    </row>
    <row r="9" spans="1:13" x14ac:dyDescent="0.35">
      <c r="A9" s="33" t="s">
        <v>374</v>
      </c>
      <c r="B9" s="37">
        <f>955+132+12+32</f>
        <v>1131</v>
      </c>
      <c r="C9" s="37">
        <v>1450</v>
      </c>
      <c r="D9" s="37">
        <v>2149</v>
      </c>
      <c r="E9" s="37">
        <f>962.5+106</f>
        <v>1068.5</v>
      </c>
      <c r="F9" s="37">
        <v>857</v>
      </c>
      <c r="G9" s="37">
        <v>1116.8499999999999</v>
      </c>
      <c r="H9" s="37">
        <f>1140.23+118.11</f>
        <v>1258.3399999999999</v>
      </c>
    </row>
    <row r="10" spans="1:13" x14ac:dyDescent="0.35">
      <c r="A10" s="33" t="s">
        <v>375</v>
      </c>
      <c r="B10" s="37">
        <f>132.5+421</f>
        <v>553.5</v>
      </c>
      <c r="C10" s="37">
        <v>0</v>
      </c>
      <c r="D10" s="37">
        <v>0</v>
      </c>
      <c r="E10" s="37">
        <f>288</f>
        <v>288</v>
      </c>
      <c r="F10" s="37">
        <v>255</v>
      </c>
      <c r="G10" s="37">
        <v>817.45</v>
      </c>
      <c r="H10" s="37">
        <v>539.9</v>
      </c>
    </row>
    <row r="11" spans="1:13" x14ac:dyDescent="0.35">
      <c r="A11" s="33" t="s">
        <v>376</v>
      </c>
      <c r="B11" s="37">
        <f>58.5+198</f>
        <v>256.5</v>
      </c>
      <c r="C11" s="37">
        <v>0</v>
      </c>
      <c r="D11" s="37">
        <v>0</v>
      </c>
      <c r="E11" s="37">
        <f>136.3</f>
        <v>136.30000000000001</v>
      </c>
      <c r="F11" s="37">
        <v>669.5</v>
      </c>
      <c r="G11" s="37">
        <v>286.14999999999998</v>
      </c>
      <c r="H11" s="37">
        <v>274.26</v>
      </c>
    </row>
    <row r="12" spans="1:13" x14ac:dyDescent="0.35">
      <c r="A12" s="33" t="s">
        <v>377</v>
      </c>
      <c r="B12" s="34">
        <f t="shared" ref="B12:E12" si="0">SUM(B9:B11)</f>
        <v>1941</v>
      </c>
      <c r="C12" s="34">
        <f t="shared" ref="C12:D12" si="1">SUM(C9:C11)</f>
        <v>1450</v>
      </c>
      <c r="D12" s="34">
        <f t="shared" si="1"/>
        <v>2149</v>
      </c>
      <c r="E12" s="34">
        <f t="shared" si="0"/>
        <v>1492.8</v>
      </c>
      <c r="F12" s="34">
        <f>SUM(F9:F11)</f>
        <v>1781.5</v>
      </c>
      <c r="G12" s="34">
        <f>SUM(G9:G11)</f>
        <v>2220.4499999999998</v>
      </c>
      <c r="H12" s="34">
        <f>SUM(H9:H11)</f>
        <v>2072.5</v>
      </c>
      <c r="M12" t="str">
        <f>INDEX($B$1:$H$1,1,MATCH((MIN(B12,E12:H12)),B12:H12,0))</f>
        <v>China Taiping 
I-Secure Legacy (II)</v>
      </c>
    </row>
    <row r="13" spans="1:13" x14ac:dyDescent="0.35">
      <c r="A13" s="33" t="s">
        <v>378</v>
      </c>
      <c r="B13" s="34">
        <f>B9*B$8</f>
        <v>22620</v>
      </c>
      <c r="C13" s="34">
        <f t="shared" ref="C13:H16" si="2">C9*C$8</f>
        <v>29000</v>
      </c>
      <c r="D13" s="34">
        <f t="shared" si="2"/>
        <v>42980</v>
      </c>
      <c r="E13" s="34">
        <f t="shared" si="2"/>
        <v>21370</v>
      </c>
      <c r="F13" s="34">
        <f t="shared" si="2"/>
        <v>17140</v>
      </c>
      <c r="G13" s="34">
        <f t="shared" si="2"/>
        <v>22337</v>
      </c>
      <c r="H13" s="34">
        <f t="shared" si="2"/>
        <v>25166.799999999999</v>
      </c>
      <c r="M13" t="str">
        <f>INDEX($B$1:$H$1,1,MATCH((MIN(B13:H13)),B13:H13,0))</f>
        <v>Etiqa 
Essential Lifetime secure</v>
      </c>
    </row>
    <row r="14" spans="1:13" x14ac:dyDescent="0.35">
      <c r="A14" s="33" t="s">
        <v>379</v>
      </c>
      <c r="B14" s="34">
        <f t="shared" ref="B14:H16" si="3">B10*B$8</f>
        <v>11070</v>
      </c>
      <c r="C14" s="34">
        <f t="shared" si="2"/>
        <v>0</v>
      </c>
      <c r="D14" s="34">
        <f t="shared" si="2"/>
        <v>0</v>
      </c>
      <c r="E14" s="34">
        <f t="shared" si="3"/>
        <v>5760</v>
      </c>
      <c r="F14" s="34">
        <f t="shared" si="3"/>
        <v>5100</v>
      </c>
      <c r="G14" s="34">
        <f t="shared" si="3"/>
        <v>16349</v>
      </c>
      <c r="H14" s="34">
        <f t="shared" si="3"/>
        <v>10798</v>
      </c>
      <c r="M14" t="str">
        <f>INDEX($B$1:$H$1,1,MATCH((MIN(B14,E14:H14)),B14:H14,0))</f>
        <v>Etiqa 
Essential Lifetime secure</v>
      </c>
    </row>
    <row r="15" spans="1:13" x14ac:dyDescent="0.35">
      <c r="A15" s="33" t="s">
        <v>380</v>
      </c>
      <c r="B15" s="34">
        <f t="shared" si="3"/>
        <v>5130</v>
      </c>
      <c r="C15" s="34">
        <f t="shared" si="2"/>
        <v>0</v>
      </c>
      <c r="D15" s="34">
        <f t="shared" si="2"/>
        <v>0</v>
      </c>
      <c r="E15" s="34">
        <f t="shared" si="3"/>
        <v>2726</v>
      </c>
      <c r="F15" s="34">
        <f t="shared" si="3"/>
        <v>13390</v>
      </c>
      <c r="G15" s="34">
        <f t="shared" si="3"/>
        <v>5723</v>
      </c>
      <c r="H15" s="34">
        <f t="shared" si="3"/>
        <v>5485.2</v>
      </c>
      <c r="M15" t="str">
        <f>INDEX($B$1:$H$1,1,MATCH((MIN(B15,E15:H15)),B15:H15,0))</f>
        <v>China Taiping 
I-Secure Legacy (II)</v>
      </c>
    </row>
    <row r="16" spans="1:13" x14ac:dyDescent="0.35">
      <c r="A16" s="33" t="s">
        <v>381</v>
      </c>
      <c r="B16" s="34">
        <f t="shared" si="3"/>
        <v>38820</v>
      </c>
      <c r="C16" s="34">
        <f t="shared" si="2"/>
        <v>29000</v>
      </c>
      <c r="D16" s="34">
        <f t="shared" si="2"/>
        <v>42980</v>
      </c>
      <c r="E16" s="34">
        <f t="shared" si="3"/>
        <v>29856</v>
      </c>
      <c r="F16" s="34">
        <f t="shared" si="3"/>
        <v>35630</v>
      </c>
      <c r="G16" s="34">
        <f t="shared" si="3"/>
        <v>44409</v>
      </c>
      <c r="H16" s="34">
        <f t="shared" si="3"/>
        <v>41450</v>
      </c>
      <c r="M16" t="str">
        <f>INDEX($B$1:$H$1,1,MATCH((MIN(B16,E16:H16)),B16:H16,0))</f>
        <v>China Taiping 
I-Secure Legacy (II)</v>
      </c>
    </row>
    <row r="17" spans="1:13" x14ac:dyDescent="0.35">
      <c r="A17" s="60" t="s">
        <v>18</v>
      </c>
      <c r="B17" s="61"/>
      <c r="C17" s="62"/>
      <c r="D17" s="62"/>
      <c r="E17" s="61"/>
      <c r="F17" s="61"/>
      <c r="G17" s="61"/>
      <c r="H17" s="61"/>
    </row>
    <row r="18" spans="1:13" hidden="1" x14ac:dyDescent="0.35">
      <c r="A18" s="33" t="s">
        <v>382</v>
      </c>
      <c r="B18" s="37">
        <v>300000</v>
      </c>
      <c r="C18" s="37">
        <v>300000</v>
      </c>
      <c r="D18" s="37">
        <v>300000</v>
      </c>
      <c r="E18" s="37">
        <v>300000</v>
      </c>
      <c r="F18" s="37">
        <v>300000</v>
      </c>
      <c r="G18" s="37">
        <v>300000</v>
      </c>
      <c r="H18" s="37">
        <v>300000</v>
      </c>
    </row>
    <row r="19" spans="1:13" hidden="1" x14ac:dyDescent="0.35">
      <c r="A19" s="33" t="s">
        <v>383</v>
      </c>
      <c r="B19" s="37">
        <v>150000</v>
      </c>
      <c r="C19" s="37">
        <v>0</v>
      </c>
      <c r="D19" s="37">
        <v>0</v>
      </c>
      <c r="E19" s="37">
        <v>150000</v>
      </c>
      <c r="F19" s="37">
        <v>150000</v>
      </c>
      <c r="G19" s="37">
        <v>150000</v>
      </c>
      <c r="H19" s="37">
        <v>150000</v>
      </c>
    </row>
    <row r="20" spans="1:13" hidden="1" x14ac:dyDescent="0.35">
      <c r="A20" s="33" t="s">
        <v>384</v>
      </c>
      <c r="B20" s="37">
        <v>150000</v>
      </c>
      <c r="C20" s="37">
        <v>0</v>
      </c>
      <c r="D20" s="37">
        <v>300000</v>
      </c>
      <c r="E20" s="37">
        <v>150000</v>
      </c>
      <c r="F20" s="37">
        <v>150000</v>
      </c>
      <c r="G20" s="37">
        <v>150000</v>
      </c>
      <c r="H20" s="37">
        <v>150000</v>
      </c>
    </row>
    <row r="21" spans="1:13" x14ac:dyDescent="0.35">
      <c r="A21" s="55" t="s">
        <v>385</v>
      </c>
      <c r="B21" s="38">
        <f t="shared" ref="B21:H23" si="4">B18/B9</f>
        <v>265.25198938992042</v>
      </c>
      <c r="C21" s="44">
        <f t="shared" si="4"/>
        <v>206.89655172413794</v>
      </c>
      <c r="D21" s="38">
        <f t="shared" si="4"/>
        <v>139.59981386691484</v>
      </c>
      <c r="E21" s="38">
        <f t="shared" si="4"/>
        <v>280.76743097800653</v>
      </c>
      <c r="F21" s="38">
        <f t="shared" si="4"/>
        <v>350.05834305717622</v>
      </c>
      <c r="G21" s="38">
        <f t="shared" si="4"/>
        <v>268.6126158391906</v>
      </c>
      <c r="H21" s="38">
        <f t="shared" si="4"/>
        <v>238.40933293068647</v>
      </c>
      <c r="M21" t="str">
        <f>INDEX($B$1:$H$1,1,MATCH((MAX(B21:H21)),B21:H21,0))</f>
        <v>Etiqa 
Essential Lifetime secure</v>
      </c>
    </row>
    <row r="22" spans="1:13" x14ac:dyDescent="0.35">
      <c r="A22" s="55" t="s">
        <v>386</v>
      </c>
      <c r="B22" s="38">
        <f t="shared" si="4"/>
        <v>271.00271002710025</v>
      </c>
      <c r="C22" s="38" t="s">
        <v>63</v>
      </c>
      <c r="D22" s="38" t="s">
        <v>63</v>
      </c>
      <c r="E22" s="38">
        <f t="shared" si="4"/>
        <v>520.83333333333337</v>
      </c>
      <c r="F22" s="38">
        <f t="shared" si="4"/>
        <v>588.23529411764707</v>
      </c>
      <c r="G22" s="38">
        <f t="shared" si="4"/>
        <v>183.4974616184476</v>
      </c>
      <c r="H22" s="38">
        <f t="shared" si="4"/>
        <v>277.82922763474721</v>
      </c>
      <c r="M22" t="str">
        <f>INDEX($B$1:$H$1,1,MATCH((MAX(B22, E22:H22)),B22:H22,0))</f>
        <v>Etiqa 
Essential Lifetime secure</v>
      </c>
    </row>
    <row r="23" spans="1:13" x14ac:dyDescent="0.35">
      <c r="A23" s="55" t="s">
        <v>387</v>
      </c>
      <c r="B23" s="38">
        <f t="shared" si="4"/>
        <v>584.79532163742692</v>
      </c>
      <c r="C23" s="38" t="s">
        <v>63</v>
      </c>
      <c r="D23" s="38" t="s">
        <v>63</v>
      </c>
      <c r="E23" s="38">
        <f t="shared" si="4"/>
        <v>1100.5135730007337</v>
      </c>
      <c r="F23" s="38">
        <f t="shared" si="4"/>
        <v>224.04779686333083</v>
      </c>
      <c r="G23" s="38">
        <f t="shared" si="4"/>
        <v>524.20059409400665</v>
      </c>
      <c r="H23" s="38">
        <f t="shared" si="4"/>
        <v>546.92627433821917</v>
      </c>
      <c r="M23" t="str">
        <f>INDEX($B$1:$H$1,1,MATCH((MAX(B23, E23:H23)),B23:H23,0))</f>
        <v>China Taiping 
I-Secure Legacy (II)</v>
      </c>
    </row>
    <row r="24" spans="1:13" x14ac:dyDescent="0.35">
      <c r="A24" s="60" t="s">
        <v>22</v>
      </c>
      <c r="B24" s="61"/>
      <c r="C24" s="62"/>
      <c r="D24" s="62"/>
      <c r="E24" s="61"/>
      <c r="F24" s="61"/>
      <c r="G24" s="61"/>
      <c r="H24" s="61"/>
    </row>
    <row r="25" spans="1:13" hidden="1" x14ac:dyDescent="0.35">
      <c r="A25" s="33" t="s">
        <v>388</v>
      </c>
      <c r="B25" s="37">
        <v>300000</v>
      </c>
      <c r="C25" s="37">
        <v>300000</v>
      </c>
      <c r="D25" s="37">
        <v>300000</v>
      </c>
      <c r="E25" s="37">
        <v>300000</v>
      </c>
      <c r="F25" s="37">
        <v>300000</v>
      </c>
      <c r="G25" s="37">
        <v>300000</v>
      </c>
      <c r="H25" s="37">
        <v>300000</v>
      </c>
    </row>
    <row r="26" spans="1:13" hidden="1" x14ac:dyDescent="0.35">
      <c r="A26" s="33" t="s">
        <v>389</v>
      </c>
      <c r="B26" s="37">
        <v>457376</v>
      </c>
      <c r="C26" s="37">
        <v>413806</v>
      </c>
      <c r="D26" s="37">
        <v>413806</v>
      </c>
      <c r="E26" s="37">
        <v>300000</v>
      </c>
      <c r="F26" s="37">
        <v>302862</v>
      </c>
      <c r="G26" s="37">
        <v>325923</v>
      </c>
      <c r="H26" s="37">
        <v>312840</v>
      </c>
    </row>
    <row r="27" spans="1:13" hidden="1" x14ac:dyDescent="0.35">
      <c r="A27" s="33" t="s">
        <v>390</v>
      </c>
      <c r="B27" s="37">
        <v>58900</v>
      </c>
      <c r="C27" s="37">
        <v>37630</v>
      </c>
      <c r="D27" s="37">
        <v>33860</v>
      </c>
      <c r="E27" s="37">
        <v>46800</v>
      </c>
      <c r="F27" s="37">
        <v>38600</v>
      </c>
      <c r="G27" s="37">
        <v>39400</v>
      </c>
      <c r="H27" s="37">
        <v>27500</v>
      </c>
    </row>
    <row r="28" spans="1:13" hidden="1" x14ac:dyDescent="0.35">
      <c r="A28" s="33" t="s">
        <v>391</v>
      </c>
      <c r="B28" s="37">
        <v>156924</v>
      </c>
      <c r="C28" s="37">
        <v>155715</v>
      </c>
      <c r="D28" s="37">
        <v>140114</v>
      </c>
      <c r="E28" s="37">
        <v>136400</v>
      </c>
      <c r="F28" s="37">
        <v>138932</v>
      </c>
      <c r="G28" s="37">
        <v>152553</v>
      </c>
      <c r="H28" s="37">
        <v>143820</v>
      </c>
    </row>
    <row r="29" spans="1:13" x14ac:dyDescent="0.35">
      <c r="A29" s="55" t="s">
        <v>392</v>
      </c>
      <c r="B29" s="38">
        <f t="shared" ref="B29:H32" si="5">B25/B$13</f>
        <v>13.262599469496021</v>
      </c>
      <c r="C29" s="38">
        <f t="shared" si="5"/>
        <v>10.344827586206897</v>
      </c>
      <c r="D29" s="38">
        <f t="shared" si="5"/>
        <v>6.9799906933457425</v>
      </c>
      <c r="E29" s="38">
        <f t="shared" si="5"/>
        <v>14.038371548900328</v>
      </c>
      <c r="F29" s="38">
        <f t="shared" si="5"/>
        <v>17.50291715285881</v>
      </c>
      <c r="G29" s="38">
        <f t="shared" si="5"/>
        <v>13.43063079195953</v>
      </c>
      <c r="H29" s="38">
        <f t="shared" si="5"/>
        <v>11.920466646534324</v>
      </c>
      <c r="M29" t="str">
        <f>INDEX($B$1:$H$1,1,MATCH((MAX(B29:H29)),B29:H29,0))</f>
        <v>Etiqa 
Essential Lifetime secure</v>
      </c>
    </row>
    <row r="30" spans="1:13" x14ac:dyDescent="0.35">
      <c r="A30" s="55" t="s">
        <v>393</v>
      </c>
      <c r="B30" s="38">
        <f t="shared" si="5"/>
        <v>20.21998231653404</v>
      </c>
      <c r="C30" s="38">
        <f t="shared" si="5"/>
        <v>14.269172413793104</v>
      </c>
      <c r="D30" s="38">
        <f t="shared" si="5"/>
        <v>9.6278734295020936</v>
      </c>
      <c r="E30" s="38">
        <f t="shared" si="5"/>
        <v>14.038371548900328</v>
      </c>
      <c r="F30" s="38">
        <f t="shared" si="5"/>
        <v>17.669894982497084</v>
      </c>
      <c r="G30" s="38">
        <f t="shared" si="5"/>
        <v>14.591171598692751</v>
      </c>
      <c r="H30" s="38">
        <f t="shared" si="5"/>
        <v>12.430662619005993</v>
      </c>
      <c r="M30" t="str">
        <f>INDEX($B$1:$H$1,1,MATCH((MAX(B30:H30)),B30:H30,0))</f>
        <v>Singlife 
Whole Life Choice</v>
      </c>
    </row>
    <row r="31" spans="1:13" x14ac:dyDescent="0.35">
      <c r="A31" s="55" t="s">
        <v>394</v>
      </c>
      <c r="B31" s="38">
        <f t="shared" si="5"/>
        <v>2.6038903625110521</v>
      </c>
      <c r="C31" s="38">
        <f t="shared" si="5"/>
        <v>1.2975862068965518</v>
      </c>
      <c r="D31" s="38">
        <f t="shared" si="5"/>
        <v>0.78780828292228944</v>
      </c>
      <c r="E31" s="38">
        <f t="shared" si="5"/>
        <v>2.1899859616284512</v>
      </c>
      <c r="F31" s="38">
        <f t="shared" si="5"/>
        <v>2.2520420070011671</v>
      </c>
      <c r="G31" s="38">
        <f t="shared" si="5"/>
        <v>1.7638895106773516</v>
      </c>
      <c r="H31" s="38">
        <f t="shared" si="5"/>
        <v>1.0927094425989796</v>
      </c>
      <c r="M31" t="str">
        <f>INDEX($B$1:$H$1,1,MATCH((MAX(B31:H31)),B31:H31,0))</f>
        <v>Singlife 
Whole Life Choice</v>
      </c>
    </row>
    <row r="32" spans="1:13" x14ac:dyDescent="0.35">
      <c r="A32" s="55" t="s">
        <v>395</v>
      </c>
      <c r="B32" s="38">
        <f t="shared" si="5"/>
        <v>6.9374005305039788</v>
      </c>
      <c r="C32" s="38">
        <f t="shared" si="5"/>
        <v>5.3694827586206895</v>
      </c>
      <c r="D32" s="38">
        <f t="shared" si="5"/>
        <v>3.2599813866914844</v>
      </c>
      <c r="E32" s="38">
        <f t="shared" si="5"/>
        <v>6.3827795975666826</v>
      </c>
      <c r="F32" s="38">
        <f t="shared" si="5"/>
        <v>8.1057176196032668</v>
      </c>
      <c r="G32" s="38">
        <f t="shared" si="5"/>
        <v>6.8296100640193398</v>
      </c>
      <c r="H32" s="38">
        <f t="shared" si="5"/>
        <v>5.7146717103485543</v>
      </c>
      <c r="M32" t="str">
        <f>INDEX($B$1:$H$1,1,MATCH((MAX(B32:H32)),B32:H32,0))</f>
        <v>Etiqa 
Essential Lifetime secure</v>
      </c>
    </row>
    <row r="33" spans="1:13" x14ac:dyDescent="0.35">
      <c r="A33" s="60" t="s">
        <v>29</v>
      </c>
      <c r="B33" s="61"/>
      <c r="C33" s="62"/>
      <c r="D33" s="62"/>
      <c r="E33" s="61"/>
      <c r="F33" s="61"/>
      <c r="G33" s="61"/>
      <c r="H33" s="61"/>
    </row>
    <row r="34" spans="1:13" hidden="1" x14ac:dyDescent="0.35">
      <c r="A34" s="33" t="s">
        <v>388</v>
      </c>
      <c r="B34" s="37">
        <v>150000</v>
      </c>
      <c r="C34" s="37">
        <v>300000</v>
      </c>
      <c r="D34" s="37">
        <v>300000</v>
      </c>
      <c r="E34" s="37">
        <v>300000</v>
      </c>
      <c r="F34" s="37">
        <v>150000</v>
      </c>
      <c r="G34" s="37">
        <v>100000</v>
      </c>
      <c r="H34" s="37">
        <v>100000</v>
      </c>
    </row>
    <row r="35" spans="1:13" hidden="1" x14ac:dyDescent="0.35">
      <c r="A35" s="33" t="s">
        <v>389</v>
      </c>
      <c r="B35" s="37">
        <v>399730</v>
      </c>
      <c r="C35" s="37">
        <v>535885</v>
      </c>
      <c r="D35" s="37">
        <v>535885</v>
      </c>
      <c r="E35" s="37">
        <v>416782</v>
      </c>
      <c r="F35" s="37">
        <v>428255</v>
      </c>
      <c r="G35" s="37">
        <v>464292</v>
      </c>
      <c r="H35" s="37">
        <v>402546</v>
      </c>
    </row>
    <row r="36" spans="1:13" hidden="1" x14ac:dyDescent="0.35">
      <c r="A36" s="33" t="s">
        <v>390</v>
      </c>
      <c r="B36" s="37">
        <v>83200</v>
      </c>
      <c r="C36" s="37">
        <v>70460</v>
      </c>
      <c r="D36" s="37">
        <v>67440</v>
      </c>
      <c r="E36" s="37">
        <v>74200</v>
      </c>
      <c r="F36" s="37">
        <v>57800</v>
      </c>
      <c r="G36" s="37">
        <v>66000</v>
      </c>
      <c r="H36" s="37">
        <v>40200</v>
      </c>
    </row>
    <row r="37" spans="1:13" hidden="1" x14ac:dyDescent="0.35">
      <c r="A37" s="33" t="s">
        <v>391</v>
      </c>
      <c r="B37" s="37">
        <v>293785</v>
      </c>
      <c r="C37" s="37">
        <v>377584</v>
      </c>
      <c r="D37" s="37">
        <v>361400</v>
      </c>
      <c r="E37" s="37">
        <v>309252</v>
      </c>
      <c r="F37" s="37">
        <v>251749</v>
      </c>
      <c r="G37" s="37">
        <v>327340</v>
      </c>
      <c r="H37" s="37">
        <v>258508</v>
      </c>
    </row>
    <row r="38" spans="1:13" x14ac:dyDescent="0.35">
      <c r="A38" s="55" t="s">
        <v>392</v>
      </c>
      <c r="B38" s="38">
        <f t="shared" ref="B38:H41" si="6">B34/B$13</f>
        <v>6.6312997347480103</v>
      </c>
      <c r="C38" s="38">
        <f t="shared" si="6"/>
        <v>10.344827586206897</v>
      </c>
      <c r="D38" s="38">
        <f t="shared" si="6"/>
        <v>6.9799906933457425</v>
      </c>
      <c r="E38" s="38">
        <f t="shared" si="6"/>
        <v>14.038371548900328</v>
      </c>
      <c r="F38" s="38">
        <f t="shared" si="6"/>
        <v>8.7514585764294051</v>
      </c>
      <c r="G38" s="38">
        <f t="shared" si="6"/>
        <v>4.4768769306531766</v>
      </c>
      <c r="H38" s="38">
        <f t="shared" si="6"/>
        <v>3.9734888821781076</v>
      </c>
      <c r="M38" t="str">
        <f>INDEX($B$1:$H$1,1,MATCH((MAX(B38:H38)),B38:H38,0))</f>
        <v>China Taiping 
I-Secure Legacy (II)</v>
      </c>
    </row>
    <row r="39" spans="1:13" x14ac:dyDescent="0.35">
      <c r="A39" s="55" t="s">
        <v>393</v>
      </c>
      <c r="B39" s="38">
        <f t="shared" si="6"/>
        <v>17.671529619805483</v>
      </c>
      <c r="C39" s="38">
        <f t="shared" si="6"/>
        <v>18.478793103448275</v>
      </c>
      <c r="D39" s="38">
        <f t="shared" si="6"/>
        <v>12.468241042345277</v>
      </c>
      <c r="E39" s="38">
        <f t="shared" si="6"/>
        <v>19.503135236312588</v>
      </c>
      <c r="F39" s="38">
        <f t="shared" si="6"/>
        <v>24.985705950991832</v>
      </c>
      <c r="G39" s="38">
        <f t="shared" si="6"/>
        <v>20.785781438868245</v>
      </c>
      <c r="H39" s="38">
        <f t="shared" si="6"/>
        <v>15.995120555652687</v>
      </c>
      <c r="M39" t="str">
        <f>INDEX($B$1:$H$1,1,MATCH((MAX(B39:H39)),B39:H39,0))</f>
        <v>Etiqa 
Essential Lifetime secure</v>
      </c>
    </row>
    <row r="40" spans="1:13" x14ac:dyDescent="0.35">
      <c r="A40" s="55" t="s">
        <v>394</v>
      </c>
      <c r="B40" s="38">
        <f t="shared" si="6"/>
        <v>3.6781609195402298</v>
      </c>
      <c r="C40" s="38">
        <f t="shared" si="6"/>
        <v>2.4296551724137929</v>
      </c>
      <c r="D40" s="38">
        <f t="shared" si="6"/>
        <v>1.5691019078641228</v>
      </c>
      <c r="E40" s="38">
        <f t="shared" si="6"/>
        <v>3.4721572297613479</v>
      </c>
      <c r="F40" s="38">
        <f t="shared" si="6"/>
        <v>3.3722287047841308</v>
      </c>
      <c r="G40" s="38">
        <f t="shared" si="6"/>
        <v>2.9547387742310964</v>
      </c>
      <c r="H40" s="38">
        <f t="shared" si="6"/>
        <v>1.5973425306355993</v>
      </c>
      <c r="M40" t="str">
        <f>INDEX($B$1:$H$1,1,MATCH((MAX(B40:H40)),B40:H40,0))</f>
        <v>Singlife 
Whole Life Choice</v>
      </c>
    </row>
    <row r="41" spans="1:13" x14ac:dyDescent="0.35">
      <c r="A41" s="55" t="s">
        <v>395</v>
      </c>
      <c r="B41" s="38">
        <f t="shared" si="6"/>
        <v>12.987842617152962</v>
      </c>
      <c r="C41" s="38">
        <f t="shared" si="6"/>
        <v>13.020137931034483</v>
      </c>
      <c r="D41" s="38">
        <f t="shared" si="6"/>
        <v>8.4085621219171713</v>
      </c>
      <c r="E41" s="38">
        <f t="shared" si="6"/>
        <v>14.471314927468415</v>
      </c>
      <c r="F41" s="38">
        <f t="shared" si="6"/>
        <v>14.687806301050175</v>
      </c>
      <c r="G41" s="38">
        <f t="shared" si="6"/>
        <v>14.654608944800108</v>
      </c>
      <c r="H41" s="38">
        <f t="shared" si="6"/>
        <v>10.271786639540982</v>
      </c>
      <c r="M41" t="str">
        <f>INDEX($B$1:$H$1,1,MATCH((MAX(B41:H41)),B41:H41,0))</f>
        <v>Etiqa 
Essential Lifetime secure</v>
      </c>
    </row>
    <row r="42" spans="1:13" x14ac:dyDescent="0.35">
      <c r="A42" s="60" t="s">
        <v>31</v>
      </c>
      <c r="B42" s="61"/>
      <c r="C42" s="62"/>
      <c r="D42" s="62"/>
      <c r="E42" s="61"/>
      <c r="F42" s="61"/>
      <c r="G42" s="61"/>
      <c r="H42" s="61"/>
    </row>
    <row r="43" spans="1:13" hidden="1" x14ac:dyDescent="0.35">
      <c r="A43" s="33" t="s">
        <v>388</v>
      </c>
      <c r="B43" s="37">
        <v>100000</v>
      </c>
      <c r="C43" s="37">
        <v>100000</v>
      </c>
      <c r="D43" s="37">
        <v>100000</v>
      </c>
      <c r="E43" s="37">
        <v>150000</v>
      </c>
      <c r="F43" s="37">
        <v>150000</v>
      </c>
      <c r="G43" s="37">
        <v>100000</v>
      </c>
      <c r="H43" s="37">
        <v>100000</v>
      </c>
    </row>
    <row r="44" spans="1:13" hidden="1" x14ac:dyDescent="0.35">
      <c r="A44" s="33" t="s">
        <v>389</v>
      </c>
      <c r="B44" s="37">
        <v>375912</v>
      </c>
      <c r="C44" s="37">
        <v>568355</v>
      </c>
      <c r="D44" s="37">
        <v>568355</v>
      </c>
      <c r="E44" s="37">
        <v>439932</v>
      </c>
      <c r="F44" s="37">
        <v>451745</v>
      </c>
      <c r="G44" s="37">
        <v>505083</v>
      </c>
      <c r="H44" s="37">
        <v>427192</v>
      </c>
    </row>
    <row r="45" spans="1:13" hidden="1" x14ac:dyDescent="0.35">
      <c r="A45" s="33" t="s">
        <v>390</v>
      </c>
      <c r="B45" s="37">
        <v>88500</v>
      </c>
      <c r="C45" s="37">
        <v>78460</v>
      </c>
      <c r="D45" s="37">
        <v>76220</v>
      </c>
      <c r="E45" s="37">
        <v>81000</v>
      </c>
      <c r="F45" s="37">
        <v>61800</v>
      </c>
      <c r="G45" s="37">
        <v>72000</v>
      </c>
      <c r="H45" s="37">
        <v>43300</v>
      </c>
    </row>
    <row r="46" spans="1:13" hidden="1" x14ac:dyDescent="0.35">
      <c r="A46" s="33" t="s">
        <v>391</v>
      </c>
      <c r="B46" s="37">
        <v>333659</v>
      </c>
      <c r="C46" s="37">
        <v>445931</v>
      </c>
      <c r="D46" s="37">
        <v>433200</v>
      </c>
      <c r="E46" s="37">
        <v>356344</v>
      </c>
      <c r="F46" s="37">
        <v>280989</v>
      </c>
      <c r="G46" s="37">
        <v>377937</v>
      </c>
      <c r="H46" s="37">
        <v>291979</v>
      </c>
    </row>
    <row r="47" spans="1:13" x14ac:dyDescent="0.35">
      <c r="A47" s="55" t="s">
        <v>392</v>
      </c>
      <c r="B47" s="38">
        <f t="shared" ref="B47:H50" si="7">B43/B$13</f>
        <v>4.4208664898320071</v>
      </c>
      <c r="C47" s="38">
        <f t="shared" si="7"/>
        <v>3.4482758620689653</v>
      </c>
      <c r="D47" s="38">
        <f t="shared" si="7"/>
        <v>2.3266635644485807</v>
      </c>
      <c r="E47" s="38">
        <f t="shared" si="7"/>
        <v>7.0191857744501638</v>
      </c>
      <c r="F47" s="38">
        <f t="shared" si="7"/>
        <v>8.7514585764294051</v>
      </c>
      <c r="G47" s="38">
        <f t="shared" si="7"/>
        <v>4.4768769306531766</v>
      </c>
      <c r="H47" s="38">
        <f t="shared" si="7"/>
        <v>3.9734888821781076</v>
      </c>
      <c r="M47" t="str">
        <f>INDEX($B$1:$H$1,1,MATCH((MAX(B47:H47)),B47:H47,0))</f>
        <v>Etiqa 
Essential Lifetime secure</v>
      </c>
    </row>
    <row r="48" spans="1:13" x14ac:dyDescent="0.35">
      <c r="A48" s="55" t="s">
        <v>393</v>
      </c>
      <c r="B48" s="38">
        <f t="shared" si="7"/>
        <v>16.618567639257293</v>
      </c>
      <c r="C48" s="38">
        <f t="shared" si="7"/>
        <v>19.598448275862069</v>
      </c>
      <c r="D48" s="38">
        <f t="shared" si="7"/>
        <v>13.223708701721732</v>
      </c>
      <c r="E48" s="38">
        <f t="shared" si="7"/>
        <v>20.586429574169397</v>
      </c>
      <c r="F48" s="38">
        <f t="shared" si="7"/>
        <v>26.356184364060677</v>
      </c>
      <c r="G48" s="38">
        <f t="shared" si="7"/>
        <v>22.611944307650983</v>
      </c>
      <c r="H48" s="38">
        <f t="shared" si="7"/>
        <v>16.974426625554301</v>
      </c>
      <c r="M48" t="str">
        <f>INDEX($B$1:$H$1,1,MATCH((MAX(B48:H48)),B48:H48,0))</f>
        <v>Etiqa 
Essential Lifetime secure</v>
      </c>
    </row>
    <row r="49" spans="1:13" x14ac:dyDescent="0.35">
      <c r="A49" s="55" t="s">
        <v>394</v>
      </c>
      <c r="B49" s="38">
        <f t="shared" si="7"/>
        <v>3.9124668435013263</v>
      </c>
      <c r="C49" s="38">
        <f t="shared" si="7"/>
        <v>2.7055172413793103</v>
      </c>
      <c r="D49" s="38">
        <f t="shared" si="7"/>
        <v>1.7733829688227083</v>
      </c>
      <c r="E49" s="38">
        <f t="shared" si="7"/>
        <v>3.7903603182030885</v>
      </c>
      <c r="F49" s="38">
        <f t="shared" si="7"/>
        <v>3.605600933488915</v>
      </c>
      <c r="G49" s="38">
        <f>G45/G$13</f>
        <v>3.2233513900702868</v>
      </c>
      <c r="H49" s="38">
        <f t="shared" si="7"/>
        <v>1.7205206859831206</v>
      </c>
      <c r="M49" t="str">
        <f>INDEX($B$1:$H$1,1,MATCH((MAX(B49:H49)),B49:H49,0))</f>
        <v>Singlife 
Whole Life Choice</v>
      </c>
    </row>
    <row r="50" spans="1:13" x14ac:dyDescent="0.35">
      <c r="A50" s="55" t="s">
        <v>395</v>
      </c>
      <c r="B50" s="38">
        <f t="shared" si="7"/>
        <v>14.750618921308577</v>
      </c>
      <c r="C50" s="38">
        <f t="shared" si="7"/>
        <v>15.376931034482759</v>
      </c>
      <c r="D50" s="38">
        <f t="shared" si="7"/>
        <v>10.079106561191251</v>
      </c>
      <c r="E50" s="38">
        <f t="shared" si="7"/>
        <v>16.674964904071128</v>
      </c>
      <c r="F50" s="38">
        <f t="shared" si="7"/>
        <v>16.393757292882146</v>
      </c>
      <c r="G50" s="38">
        <f>G46/G$13</f>
        <v>16.919774365402695</v>
      </c>
      <c r="H50" s="38">
        <f t="shared" si="7"/>
        <v>11.601753103294817</v>
      </c>
      <c r="M50" t="str">
        <f>INDEX($B$1:$H$1,1,MATCH((MAX(B50:H50)),B50:H50,0))</f>
        <v>Income Complete Life Secure</v>
      </c>
    </row>
    <row r="51" spans="1:13" x14ac:dyDescent="0.35">
      <c r="A51" s="39" t="s">
        <v>33</v>
      </c>
      <c r="B51" s="40">
        <v>3.5900000000000001E-2</v>
      </c>
      <c r="C51" s="40">
        <v>3.0499999999999999E-2</v>
      </c>
      <c r="D51" s="40">
        <v>2.1399999999999999E-2</v>
      </c>
      <c r="E51" s="40">
        <v>3.3500000000000002E-2</v>
      </c>
      <c r="F51" s="40">
        <v>3.7999999999999999E-2</v>
      </c>
      <c r="G51" s="40">
        <v>3.49E-2</v>
      </c>
      <c r="H51" s="40">
        <v>3.1600000000000003E-2</v>
      </c>
      <c r="M51" t="str">
        <f>INDEX($B$1:$H$1,1,MATCH((MAX(B51:H51)),B51:H51,0))</f>
        <v>Etiqa 
Essential Lifetime secure</v>
      </c>
    </row>
  </sheetData>
  <sheetProtection algorithmName="SHA-512" hashValue="LD2/b7MEEgMDuCQqsuKYrKdMDOAzaViyxFTcolvToqC7MS9h9cZxJqPQ0+x/drZoPoKpL4GIobmlacgqHpNIPw==" saltValue="J40EtJkLQM1VmhYO7d/OFg==" spinCount="100000" sheet="1" objects="1" scenarios="1" selectLockedCells="1" autoFilter="0" selectUnlockedCells="1"/>
  <conditionalFormatting sqref="B14 E14:H14">
    <cfRule type="top10" dxfId="252" priority="383" bottom="1" rank="1"/>
    <cfRule type="top10" dxfId="251" priority="384" bottom="1" rank="2"/>
  </conditionalFormatting>
  <conditionalFormatting sqref="B15 E15:H15">
    <cfRule type="top10" dxfId="250" priority="389" bottom="1" rank="1"/>
    <cfRule type="top10" dxfId="249" priority="390" bottom="1" rank="2"/>
  </conditionalFormatting>
  <conditionalFormatting sqref="B21 E21:H21">
    <cfRule type="top10" dxfId="248" priority="395" rank="1"/>
    <cfRule type="top10" dxfId="247" priority="396" rank="2"/>
  </conditionalFormatting>
  <conditionalFormatting sqref="B22 E22:H22">
    <cfRule type="top10" dxfId="246" priority="401" rank="1"/>
    <cfRule type="top10" dxfId="245" priority="402" rank="2"/>
  </conditionalFormatting>
  <conditionalFormatting sqref="B23 E23:H23">
    <cfRule type="top10" dxfId="244" priority="407" rank="1"/>
    <cfRule type="top10" dxfId="243" priority="408" rank="2"/>
  </conditionalFormatting>
  <conditionalFormatting sqref="B12:H12">
    <cfRule type="top10" dxfId="242" priority="413" bottom="1" rank="1"/>
    <cfRule type="top10" dxfId="241" priority="414" bottom="1" rank="2"/>
  </conditionalFormatting>
  <conditionalFormatting sqref="B13:H13">
    <cfRule type="top10" dxfId="240" priority="417" bottom="1" rank="1"/>
    <cfRule type="top10" dxfId="239" priority="418" bottom="1" rank="2"/>
  </conditionalFormatting>
  <conditionalFormatting sqref="B16:H16">
    <cfRule type="top10" dxfId="238" priority="421" bottom="1" rank="1"/>
    <cfRule type="top10" dxfId="237" priority="422" bottom="1" rank="2"/>
  </conditionalFormatting>
  <conditionalFormatting sqref="B29:H29">
    <cfRule type="top10" dxfId="236" priority="425" rank="1"/>
    <cfRule type="top10" dxfId="235" priority="426" rank="2"/>
  </conditionalFormatting>
  <conditionalFormatting sqref="B30:H30">
    <cfRule type="top10" dxfId="234" priority="429" rank="1"/>
    <cfRule type="top10" dxfId="233" priority="430" rank="2"/>
  </conditionalFormatting>
  <conditionalFormatting sqref="B31:H31">
    <cfRule type="top10" dxfId="232" priority="433" rank="1"/>
    <cfRule type="top10" dxfId="231" priority="434" rank="2"/>
  </conditionalFormatting>
  <conditionalFormatting sqref="B32:H32">
    <cfRule type="top10" dxfId="230" priority="437" rank="1"/>
    <cfRule type="top10" dxfId="229" priority="438" rank="2"/>
  </conditionalFormatting>
  <conditionalFormatting sqref="B38:H38">
    <cfRule type="top10" dxfId="228" priority="441" rank="1"/>
    <cfRule type="top10" dxfId="227" priority="442" rank="2"/>
  </conditionalFormatting>
  <conditionalFormatting sqref="B39:H39">
    <cfRule type="top10" dxfId="226" priority="445" rank="1"/>
    <cfRule type="top10" dxfId="225" priority="446" rank="2"/>
  </conditionalFormatting>
  <conditionalFormatting sqref="B40:H40">
    <cfRule type="top10" dxfId="224" priority="449" rank="1"/>
    <cfRule type="top10" dxfId="223" priority="450" rank="2"/>
  </conditionalFormatting>
  <conditionalFormatting sqref="B41:H41">
    <cfRule type="top10" dxfId="222" priority="453" rank="1"/>
    <cfRule type="top10" dxfId="221" priority="454" rank="2"/>
  </conditionalFormatting>
  <conditionalFormatting sqref="B47:H47">
    <cfRule type="top10" dxfId="220" priority="457" rank="1"/>
    <cfRule type="top10" dxfId="219" priority="458" rank="2"/>
  </conditionalFormatting>
  <conditionalFormatting sqref="B48:H48">
    <cfRule type="top10" dxfId="218" priority="461" rank="1"/>
    <cfRule type="top10" dxfId="217" priority="462" rank="2"/>
  </conditionalFormatting>
  <conditionalFormatting sqref="B49:H49">
    <cfRule type="top10" dxfId="216" priority="465" rank="1"/>
    <cfRule type="top10" dxfId="215" priority="466" rank="2"/>
  </conditionalFormatting>
  <conditionalFormatting sqref="B50:H50">
    <cfRule type="top10" dxfId="214" priority="469" rank="1"/>
    <cfRule type="top10" dxfId="213" priority="470" rank="2"/>
  </conditionalFormatting>
  <conditionalFormatting sqref="B51:H51">
    <cfRule type="top10" dxfId="212" priority="473" rank="1"/>
    <cfRule type="top10" dxfId="211" priority="474" rank="2"/>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B614E-D955-466D-B5EC-0BDCCDE90CD9}">
  <dimension ref="A1:L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6" width="12.81640625" customWidth="1"/>
    <col min="8" max="9" width="12.81640625" customWidth="1"/>
    <col min="12" max="12" width="0" hidden="1" customWidth="1"/>
  </cols>
  <sheetData>
    <row r="1" spans="1:12" ht="72.5" x14ac:dyDescent="0.35">
      <c r="A1" s="98" t="s">
        <v>423</v>
      </c>
      <c r="B1" s="28" t="s">
        <v>356</v>
      </c>
      <c r="C1" s="28" t="s">
        <v>359</v>
      </c>
      <c r="D1" s="28" t="s">
        <v>424</v>
      </c>
      <c r="E1" s="28" t="s">
        <v>284</v>
      </c>
      <c r="F1" s="28" t="s">
        <v>361</v>
      </c>
      <c r="H1" s="29" t="s">
        <v>362</v>
      </c>
      <c r="I1" s="30" t="s">
        <v>363</v>
      </c>
    </row>
    <row r="2" spans="1:12" x14ac:dyDescent="0.35">
      <c r="A2" s="31" t="s">
        <v>364</v>
      </c>
      <c r="B2" s="42"/>
      <c r="C2" s="42"/>
      <c r="D2" s="32"/>
      <c r="E2" s="32"/>
      <c r="F2" s="32"/>
    </row>
    <row r="3" spans="1:12" x14ac:dyDescent="0.35">
      <c r="A3" s="33" t="s">
        <v>365</v>
      </c>
      <c r="B3" s="34">
        <v>100000</v>
      </c>
      <c r="C3" s="34">
        <v>100000</v>
      </c>
      <c r="D3" s="34">
        <v>100000</v>
      </c>
      <c r="E3" s="34">
        <v>100000</v>
      </c>
      <c r="F3" s="34">
        <v>100000</v>
      </c>
    </row>
    <row r="4" spans="1:12" x14ac:dyDescent="0.35">
      <c r="A4" s="33" t="s">
        <v>274</v>
      </c>
      <c r="B4" s="34">
        <v>50000</v>
      </c>
      <c r="C4" s="34">
        <v>50000</v>
      </c>
      <c r="D4" s="34">
        <v>50000</v>
      </c>
      <c r="E4" s="34">
        <v>50000</v>
      </c>
      <c r="F4" s="34">
        <v>50000</v>
      </c>
    </row>
    <row r="5" spans="1:12" x14ac:dyDescent="0.35">
      <c r="A5" s="33" t="s">
        <v>271</v>
      </c>
      <c r="B5" s="34">
        <v>50000</v>
      </c>
      <c r="C5" s="34">
        <v>50000</v>
      </c>
      <c r="D5" s="34">
        <v>50000</v>
      </c>
      <c r="E5" s="34">
        <v>50000</v>
      </c>
      <c r="F5" s="34">
        <v>50000</v>
      </c>
    </row>
    <row r="6" spans="1:12" ht="29" x14ac:dyDescent="0.35">
      <c r="A6" s="33" t="s">
        <v>366</v>
      </c>
      <c r="B6" s="35" t="s">
        <v>414</v>
      </c>
      <c r="C6" s="36" t="s">
        <v>415</v>
      </c>
      <c r="D6" s="36" t="s">
        <v>415</v>
      </c>
      <c r="E6" s="35" t="s">
        <v>416</v>
      </c>
      <c r="F6" s="35" t="s">
        <v>417</v>
      </c>
    </row>
    <row r="7" spans="1:12" x14ac:dyDescent="0.35">
      <c r="A7" s="31" t="s">
        <v>372</v>
      </c>
      <c r="B7" s="42"/>
      <c r="C7" s="42"/>
      <c r="D7" s="32"/>
      <c r="E7" s="32"/>
      <c r="F7" s="32"/>
    </row>
    <row r="8" spans="1:12" x14ac:dyDescent="0.35">
      <c r="A8" s="33" t="s">
        <v>373</v>
      </c>
      <c r="B8" s="33">
        <v>20</v>
      </c>
      <c r="C8" s="33">
        <v>20</v>
      </c>
      <c r="D8" s="33">
        <v>20</v>
      </c>
      <c r="E8" s="33">
        <v>20</v>
      </c>
      <c r="F8" s="33">
        <v>20</v>
      </c>
    </row>
    <row r="9" spans="1:12" x14ac:dyDescent="0.35">
      <c r="A9" s="33" t="s">
        <v>374</v>
      </c>
      <c r="B9" s="37">
        <f>1940+406+48+116</f>
        <v>2510</v>
      </c>
      <c r="C9" s="37">
        <f>2034.8+192</f>
        <v>2226.8000000000002</v>
      </c>
      <c r="D9" s="37">
        <v>2372</v>
      </c>
      <c r="E9" s="37">
        <v>2042.7</v>
      </c>
      <c r="F9" s="37">
        <f>2234.94+160.43</f>
        <v>2395.37</v>
      </c>
    </row>
    <row r="10" spans="1:12" x14ac:dyDescent="0.35">
      <c r="A10" s="33" t="s">
        <v>375</v>
      </c>
      <c r="B10" s="37">
        <f>299.5+900</f>
        <v>1199.5</v>
      </c>
      <c r="C10" s="37">
        <f>784.45</f>
        <v>784.45</v>
      </c>
      <c r="D10" s="37">
        <v>1112.5</v>
      </c>
      <c r="E10" s="37">
        <v>1548.4</v>
      </c>
      <c r="F10" s="37">
        <v>828.42</v>
      </c>
    </row>
    <row r="11" spans="1:12" x14ac:dyDescent="0.35">
      <c r="A11" s="33" t="s">
        <v>376</v>
      </c>
      <c r="B11" s="37">
        <f>146+468</f>
        <v>614</v>
      </c>
      <c r="C11" s="37">
        <v>457.95</v>
      </c>
      <c r="D11" s="37">
        <v>598</v>
      </c>
      <c r="E11" s="37">
        <v>782.85</v>
      </c>
      <c r="F11" s="37">
        <v>534.28</v>
      </c>
    </row>
    <row r="12" spans="1:12" x14ac:dyDescent="0.35">
      <c r="A12" s="33" t="s">
        <v>377</v>
      </c>
      <c r="B12" s="34">
        <f t="shared" ref="B12:F12" si="0">SUM(B9:B11)</f>
        <v>4323.5</v>
      </c>
      <c r="C12" s="34">
        <f t="shared" si="0"/>
        <v>3469.2</v>
      </c>
      <c r="D12" s="34">
        <f t="shared" si="0"/>
        <v>4082.5</v>
      </c>
      <c r="E12" s="34">
        <f t="shared" si="0"/>
        <v>4373.9500000000007</v>
      </c>
      <c r="F12" s="34">
        <f t="shared" si="0"/>
        <v>3758.0699999999997</v>
      </c>
      <c r="L12" t="str">
        <f>INDEX($B$1:$F$1,1,MATCH((MIN(B12:F12)),B12:F12,0))</f>
        <v>China Taiping 
I-Secure Legacy (II)</v>
      </c>
    </row>
    <row r="13" spans="1:12" x14ac:dyDescent="0.35">
      <c r="A13" s="33" t="s">
        <v>378</v>
      </c>
      <c r="B13" s="34">
        <f>B9*B8</f>
        <v>50200</v>
      </c>
      <c r="C13" s="34">
        <f t="shared" ref="C13:F13" si="1">C9*C8</f>
        <v>44536</v>
      </c>
      <c r="D13" s="34">
        <f t="shared" si="1"/>
        <v>47440</v>
      </c>
      <c r="E13" s="34">
        <f t="shared" si="1"/>
        <v>40854</v>
      </c>
      <c r="F13" s="34">
        <f t="shared" si="1"/>
        <v>47907.399999999994</v>
      </c>
      <c r="L13" t="str">
        <f>INDEX($B$1:$F$1,1,MATCH((MIN(B13:F13)),B13:F13,0))</f>
        <v>Income Complete Life Secure</v>
      </c>
    </row>
    <row r="14" spans="1:12" x14ac:dyDescent="0.35">
      <c r="A14" s="33" t="s">
        <v>379</v>
      </c>
      <c r="B14" s="34">
        <f t="shared" ref="B14:F16" si="2">B10*B$8</f>
        <v>23990</v>
      </c>
      <c r="C14" s="34">
        <f t="shared" si="2"/>
        <v>15689</v>
      </c>
      <c r="D14" s="34">
        <f t="shared" si="2"/>
        <v>22250</v>
      </c>
      <c r="E14" s="34">
        <f t="shared" si="2"/>
        <v>30968</v>
      </c>
      <c r="F14" s="34">
        <f t="shared" si="2"/>
        <v>16568.399999999998</v>
      </c>
      <c r="L14" t="str">
        <f>INDEX($B$1:$F$1,1,MATCH((MIN(B14:F14)),B14:F14,0))</f>
        <v>China Taiping 
I-Secure Legacy (II)</v>
      </c>
    </row>
    <row r="15" spans="1:12" x14ac:dyDescent="0.35">
      <c r="A15" s="33" t="s">
        <v>380</v>
      </c>
      <c r="B15" s="34">
        <f t="shared" si="2"/>
        <v>12280</v>
      </c>
      <c r="C15" s="34">
        <f t="shared" si="2"/>
        <v>9159</v>
      </c>
      <c r="D15" s="34">
        <f t="shared" si="2"/>
        <v>11960</v>
      </c>
      <c r="E15" s="34">
        <f t="shared" si="2"/>
        <v>15657</v>
      </c>
      <c r="F15" s="34">
        <f t="shared" si="2"/>
        <v>10685.599999999999</v>
      </c>
      <c r="L15" t="str">
        <f>INDEX($B$1:$F$1,1,MATCH((MIN(B15:F15)),B15:F15,0))</f>
        <v>China Taiping 
I-Secure Legacy (II)</v>
      </c>
    </row>
    <row r="16" spans="1:12" x14ac:dyDescent="0.35">
      <c r="A16" s="33" t="s">
        <v>381</v>
      </c>
      <c r="B16" s="34">
        <f t="shared" si="2"/>
        <v>86470</v>
      </c>
      <c r="C16" s="34">
        <f t="shared" si="2"/>
        <v>69384</v>
      </c>
      <c r="D16" s="34">
        <f t="shared" si="2"/>
        <v>81650</v>
      </c>
      <c r="E16" s="34">
        <f t="shared" si="2"/>
        <v>87479.000000000015</v>
      </c>
      <c r="F16" s="34">
        <f t="shared" si="2"/>
        <v>75161.399999999994</v>
      </c>
      <c r="L16" t="str">
        <f>INDEX($B$1:$F$1,1,MATCH((MIN(B16:F16)),B16:F16,0))</f>
        <v>China Taiping 
I-Secure Legacy (II)</v>
      </c>
    </row>
    <row r="17" spans="1:12" x14ac:dyDescent="0.35">
      <c r="A17" s="63" t="s">
        <v>18</v>
      </c>
      <c r="B17" s="65"/>
      <c r="C17" s="65"/>
      <c r="D17" s="64"/>
      <c r="E17" s="64"/>
      <c r="F17" s="64"/>
    </row>
    <row r="18" spans="1:12" hidden="1" x14ac:dyDescent="0.35">
      <c r="A18" s="33" t="s">
        <v>382</v>
      </c>
      <c r="B18" s="37">
        <v>300000</v>
      </c>
      <c r="C18" s="37">
        <v>300000</v>
      </c>
      <c r="D18" s="37">
        <v>300000</v>
      </c>
      <c r="E18" s="37">
        <v>300000</v>
      </c>
      <c r="F18" s="37">
        <v>300000</v>
      </c>
    </row>
    <row r="19" spans="1:12" hidden="1" x14ac:dyDescent="0.35">
      <c r="A19" s="33" t="s">
        <v>383</v>
      </c>
      <c r="B19" s="37">
        <v>150000</v>
      </c>
      <c r="C19" s="37">
        <v>150000</v>
      </c>
      <c r="D19" s="37">
        <v>150000</v>
      </c>
      <c r="E19" s="37">
        <v>150000</v>
      </c>
      <c r="F19" s="37">
        <v>150000</v>
      </c>
    </row>
    <row r="20" spans="1:12" hidden="1" x14ac:dyDescent="0.35">
      <c r="A20" s="33" t="s">
        <v>384</v>
      </c>
      <c r="B20" s="37">
        <v>150000</v>
      </c>
      <c r="C20" s="37">
        <v>150000</v>
      </c>
      <c r="D20" s="37">
        <v>150000</v>
      </c>
      <c r="E20" s="37">
        <v>150000</v>
      </c>
      <c r="F20" s="37">
        <v>150000</v>
      </c>
    </row>
    <row r="21" spans="1:12" x14ac:dyDescent="0.35">
      <c r="A21" s="55" t="s">
        <v>385</v>
      </c>
      <c r="B21" s="38">
        <f t="shared" ref="B21:F21" si="3">B18/B9</f>
        <v>119.5219123505976</v>
      </c>
      <c r="C21" s="38">
        <f t="shared" si="3"/>
        <v>134.72247170828092</v>
      </c>
      <c r="D21" s="38">
        <f t="shared" si="3"/>
        <v>126.47554806070826</v>
      </c>
      <c r="E21" s="38">
        <f t="shared" si="3"/>
        <v>146.86444411807901</v>
      </c>
      <c r="F21" s="38">
        <f t="shared" si="3"/>
        <v>125.24161194304013</v>
      </c>
      <c r="L21" t="str">
        <f>INDEX($B$1:$F$1,1,MATCH((MAX(B21:F21)),B21:F21,0))</f>
        <v>Income Complete Life Secure</v>
      </c>
    </row>
    <row r="22" spans="1:12" x14ac:dyDescent="0.35">
      <c r="A22" s="55" t="s">
        <v>386</v>
      </c>
      <c r="B22" s="38">
        <f t="shared" ref="B22:F23" si="4">B19/B10</f>
        <v>125.05210504376824</v>
      </c>
      <c r="C22" s="38">
        <f t="shared" si="4"/>
        <v>191.2167760851552</v>
      </c>
      <c r="D22" s="38">
        <f t="shared" si="4"/>
        <v>134.83146067415731</v>
      </c>
      <c r="E22" s="38">
        <f t="shared" si="4"/>
        <v>96.874192715060701</v>
      </c>
      <c r="F22" s="38">
        <f t="shared" si="4"/>
        <v>181.06757441877309</v>
      </c>
      <c r="L22" t="str">
        <f>INDEX($B$1:$F$1,1,MATCH((MAX(B22:F22)),B22:F22,0))</f>
        <v>China Taiping 
I-Secure Legacy (II)</v>
      </c>
    </row>
    <row r="23" spans="1:12" x14ac:dyDescent="0.35">
      <c r="A23" s="55" t="s">
        <v>387</v>
      </c>
      <c r="B23" s="38">
        <f t="shared" si="4"/>
        <v>244.29967426710098</v>
      </c>
      <c r="C23" s="38">
        <f t="shared" si="4"/>
        <v>327.54667540124467</v>
      </c>
      <c r="D23" s="38">
        <f t="shared" si="4"/>
        <v>250.83612040133778</v>
      </c>
      <c r="E23" s="38">
        <f t="shared" si="4"/>
        <v>191.60758766047135</v>
      </c>
      <c r="F23" s="38">
        <f t="shared" si="4"/>
        <v>280.75166579321706</v>
      </c>
      <c r="L23" t="str">
        <f>INDEX($B$1:$F$1,1,MATCH((MAX(B23:F23)),B23:F23,0))</f>
        <v>China Taiping 
I-Secure Legacy (II)</v>
      </c>
    </row>
    <row r="24" spans="1:12" x14ac:dyDescent="0.35">
      <c r="A24" s="63" t="s">
        <v>425</v>
      </c>
      <c r="B24" s="65"/>
      <c r="C24" s="65"/>
      <c r="D24" s="64"/>
      <c r="E24" s="64"/>
      <c r="F24" s="64"/>
    </row>
    <row r="25" spans="1:12" hidden="1" x14ac:dyDescent="0.35">
      <c r="A25" s="33" t="s">
        <v>388</v>
      </c>
      <c r="B25" s="37">
        <v>300000</v>
      </c>
      <c r="C25" s="37">
        <v>300000</v>
      </c>
      <c r="D25" s="37">
        <v>300000</v>
      </c>
      <c r="E25" s="37">
        <v>300000</v>
      </c>
      <c r="F25" s="37">
        <v>300000</v>
      </c>
    </row>
    <row r="26" spans="1:12" hidden="1" x14ac:dyDescent="0.35">
      <c r="A26" s="33" t="s">
        <v>389</v>
      </c>
      <c r="B26" s="37">
        <v>362558</v>
      </c>
      <c r="C26" s="37">
        <v>300000</v>
      </c>
      <c r="D26" s="37">
        <v>300000</v>
      </c>
      <c r="E26" s="37">
        <v>300000</v>
      </c>
      <c r="F26" s="37">
        <v>300000</v>
      </c>
    </row>
    <row r="27" spans="1:12" hidden="1" x14ac:dyDescent="0.35">
      <c r="A27" s="33" t="s">
        <v>390</v>
      </c>
      <c r="B27" s="37">
        <v>52500</v>
      </c>
      <c r="C27" s="37">
        <v>47700</v>
      </c>
      <c r="D27" s="37">
        <v>33000</v>
      </c>
      <c r="E27" s="37">
        <v>35900</v>
      </c>
      <c r="F27" s="37">
        <v>29800</v>
      </c>
    </row>
    <row r="28" spans="1:12" hidden="1" x14ac:dyDescent="0.35">
      <c r="A28" s="33" t="s">
        <v>391</v>
      </c>
      <c r="B28" s="37">
        <v>92852</v>
      </c>
      <c r="C28" s="37">
        <v>79541</v>
      </c>
      <c r="D28" s="37">
        <v>64829</v>
      </c>
      <c r="E28" s="37">
        <v>87259</v>
      </c>
      <c r="F28" s="37">
        <v>95237</v>
      </c>
    </row>
    <row r="29" spans="1:12" x14ac:dyDescent="0.35">
      <c r="A29" s="55" t="s">
        <v>392</v>
      </c>
      <c r="B29" s="38">
        <f t="shared" ref="B29:F29" si="5">B25/B$13</f>
        <v>5.9760956175298805</v>
      </c>
      <c r="C29" s="38">
        <f t="shared" si="5"/>
        <v>6.7361235854140471</v>
      </c>
      <c r="D29" s="38">
        <f t="shared" si="5"/>
        <v>6.3237774030354128</v>
      </c>
      <c r="E29" s="38">
        <f t="shared" si="5"/>
        <v>7.3432222059039507</v>
      </c>
      <c r="F29" s="38">
        <f t="shared" si="5"/>
        <v>6.2620805971520062</v>
      </c>
      <c r="L29" t="str">
        <f>INDEX($B$1:$F$1,1,MATCH((MAX(B29:F29)),B29:F29,0))</f>
        <v>Income Complete Life Secure</v>
      </c>
    </row>
    <row r="30" spans="1:12" x14ac:dyDescent="0.35">
      <c r="A30" s="55" t="s">
        <v>393</v>
      </c>
      <c r="B30" s="38">
        <f t="shared" ref="B30:F32" si="6">B26/B$13</f>
        <v>7.2222709163346615</v>
      </c>
      <c r="C30" s="38">
        <f t="shared" si="6"/>
        <v>6.7361235854140471</v>
      </c>
      <c r="D30" s="38">
        <f t="shared" si="6"/>
        <v>6.3237774030354128</v>
      </c>
      <c r="E30" s="38">
        <f t="shared" si="6"/>
        <v>7.3432222059039507</v>
      </c>
      <c r="F30" s="38">
        <f t="shared" si="6"/>
        <v>6.2620805971520062</v>
      </c>
      <c r="L30" t="str">
        <f>INDEX($B$1:$F$1,1,MATCH((MAX(B30:F30)),B30:F30,0))</f>
        <v>Income Complete Life Secure</v>
      </c>
    </row>
    <row r="31" spans="1:12" x14ac:dyDescent="0.35">
      <c r="A31" s="55" t="s">
        <v>394</v>
      </c>
      <c r="B31" s="38">
        <f t="shared" si="6"/>
        <v>1.045816733067729</v>
      </c>
      <c r="C31" s="38">
        <f t="shared" si="6"/>
        <v>1.0710436500808336</v>
      </c>
      <c r="D31" s="38">
        <f t="shared" si="6"/>
        <v>0.69561551433389546</v>
      </c>
      <c r="E31" s="38">
        <f t="shared" si="6"/>
        <v>0.87873892397317277</v>
      </c>
      <c r="F31" s="38">
        <f t="shared" si="6"/>
        <v>0.62203333931709937</v>
      </c>
      <c r="L31" t="str">
        <f>INDEX($B$1:$F$1,1,MATCH((MAX(B31:F31)),B31:F31,0))</f>
        <v>China Taiping 
I-Secure Legacy (II)</v>
      </c>
    </row>
    <row r="32" spans="1:12" x14ac:dyDescent="0.35">
      <c r="A32" s="55" t="s">
        <v>395</v>
      </c>
      <c r="B32" s="38">
        <f t="shared" si="6"/>
        <v>1.8496414342629481</v>
      </c>
      <c r="C32" s="38">
        <f t="shared" si="6"/>
        <v>1.7859933536913957</v>
      </c>
      <c r="D32" s="38">
        <f t="shared" si="6"/>
        <v>1.3665472175379427</v>
      </c>
      <c r="E32" s="38">
        <f t="shared" si="6"/>
        <v>2.1358740882165761</v>
      </c>
      <c r="F32" s="38">
        <f t="shared" si="6"/>
        <v>1.9879392327698855</v>
      </c>
      <c r="L32" t="str">
        <f>INDEX($B$1:$F$1,1,MATCH((MAX(B32:F32)),B32:F32,0))</f>
        <v>Income Complete Life Secure</v>
      </c>
    </row>
    <row r="33" spans="1:12" x14ac:dyDescent="0.35">
      <c r="A33" s="63" t="s">
        <v>40</v>
      </c>
      <c r="B33" s="65"/>
      <c r="C33" s="65"/>
      <c r="D33" s="64"/>
      <c r="E33" s="64"/>
      <c r="F33" s="64"/>
    </row>
    <row r="34" spans="1:12" hidden="1" x14ac:dyDescent="0.35">
      <c r="A34" s="33" t="s">
        <v>388</v>
      </c>
      <c r="B34" s="37">
        <v>175000</v>
      </c>
      <c r="C34" s="37">
        <v>180000</v>
      </c>
      <c r="D34" s="37">
        <v>150000</v>
      </c>
      <c r="E34" s="37">
        <v>100000</v>
      </c>
      <c r="F34" s="37">
        <v>100000</v>
      </c>
    </row>
    <row r="35" spans="1:12" hidden="1" x14ac:dyDescent="0.35">
      <c r="A35" s="33" t="s">
        <v>389</v>
      </c>
      <c r="B35" s="37">
        <v>289140</v>
      </c>
      <c r="C35" s="37">
        <v>227451</v>
      </c>
      <c r="D35" s="37">
        <v>177395</v>
      </c>
      <c r="E35" s="37">
        <v>247280</v>
      </c>
      <c r="F35" s="37">
        <v>257704</v>
      </c>
    </row>
    <row r="36" spans="1:12" hidden="1" x14ac:dyDescent="0.35">
      <c r="A36" s="33" t="s">
        <v>390</v>
      </c>
      <c r="B36" s="37">
        <v>75000</v>
      </c>
      <c r="C36" s="37">
        <v>67400</v>
      </c>
      <c r="D36" s="37">
        <v>52700</v>
      </c>
      <c r="E36" s="37">
        <v>57400</v>
      </c>
      <c r="F36" s="37">
        <v>40200</v>
      </c>
    </row>
    <row r="37" spans="1:12" hidden="1" x14ac:dyDescent="0.35">
      <c r="A37" s="33" t="s">
        <v>391</v>
      </c>
      <c r="B37" s="37">
        <v>167819</v>
      </c>
      <c r="C37" s="37">
        <v>153302</v>
      </c>
      <c r="D37" s="37">
        <v>138540</v>
      </c>
      <c r="E37" s="37">
        <v>179331</v>
      </c>
      <c r="F37" s="37">
        <v>164272</v>
      </c>
    </row>
    <row r="38" spans="1:12" x14ac:dyDescent="0.35">
      <c r="A38" s="55" t="s">
        <v>392</v>
      </c>
      <c r="B38" s="38">
        <f t="shared" ref="B38:F38" si="7">B34/B$13</f>
        <v>3.4860557768924303</v>
      </c>
      <c r="C38" s="38">
        <f t="shared" si="7"/>
        <v>4.0416741512484284</v>
      </c>
      <c r="D38" s="38">
        <f t="shared" si="7"/>
        <v>3.1618887015177064</v>
      </c>
      <c r="E38" s="38">
        <f t="shared" si="7"/>
        <v>2.4477407353013168</v>
      </c>
      <c r="F38" s="38">
        <f t="shared" si="7"/>
        <v>2.0873601990506687</v>
      </c>
      <c r="L38" t="str">
        <f>INDEX($B$1:$F$1,1,MATCH((MAX(B38:F38)),B38:F38,0))</f>
        <v>China Taiping 
I-Secure Legacy (II)</v>
      </c>
    </row>
    <row r="39" spans="1:12" x14ac:dyDescent="0.35">
      <c r="A39" s="55" t="s">
        <v>393</v>
      </c>
      <c r="B39" s="38">
        <f t="shared" ref="B39:F41" si="8">B35/B$13</f>
        <v>5.7597609561752989</v>
      </c>
      <c r="C39" s="38">
        <f t="shared" si="8"/>
        <v>5.1071268187533683</v>
      </c>
      <c r="D39" s="38">
        <f t="shared" si="8"/>
        <v>3.7393549747048902</v>
      </c>
      <c r="E39" s="38">
        <f t="shared" si="8"/>
        <v>6.0527732902530964</v>
      </c>
      <c r="F39" s="38">
        <f t="shared" si="8"/>
        <v>5.3792107273615359</v>
      </c>
      <c r="L39" t="str">
        <f>INDEX($B$1:$F$1,1,MATCH((MAX(B39:F39)),B39:F39,0))</f>
        <v>Income Complete Life Secure</v>
      </c>
    </row>
    <row r="40" spans="1:12" x14ac:dyDescent="0.35">
      <c r="A40" s="55" t="s">
        <v>394</v>
      </c>
      <c r="B40" s="38">
        <f t="shared" si="8"/>
        <v>1.4940239043824701</v>
      </c>
      <c r="C40" s="38">
        <f t="shared" si="8"/>
        <v>1.5133824321896892</v>
      </c>
      <c r="D40" s="38">
        <f t="shared" si="8"/>
        <v>1.110876897133221</v>
      </c>
      <c r="E40" s="38">
        <f t="shared" si="8"/>
        <v>1.4050031820629558</v>
      </c>
      <c r="F40" s="38">
        <f t="shared" si="8"/>
        <v>0.83911880001836892</v>
      </c>
      <c r="L40" t="str">
        <f>INDEX($B$1:$F$1,1,MATCH((MAX(B40:F40)),B40:F40,0))</f>
        <v>China Taiping 
I-Secure Legacy (II)</v>
      </c>
    </row>
    <row r="41" spans="1:12" x14ac:dyDescent="0.35">
      <c r="A41" s="55" t="s">
        <v>395</v>
      </c>
      <c r="B41" s="38">
        <f t="shared" si="8"/>
        <v>3.3430079681274902</v>
      </c>
      <c r="C41" s="38">
        <f t="shared" si="8"/>
        <v>3.4422040596371475</v>
      </c>
      <c r="D41" s="38">
        <f t="shared" si="8"/>
        <v>2.9203204047217537</v>
      </c>
      <c r="E41" s="38">
        <f t="shared" si="8"/>
        <v>4.3895579380232048</v>
      </c>
      <c r="F41" s="38">
        <f t="shared" si="8"/>
        <v>3.4289483461845145</v>
      </c>
      <c r="L41" t="str">
        <f>INDEX($B$1:$F$1,1,MATCH((MAX(B41:F41)),B41:F41,0))</f>
        <v>Income Complete Life Secure</v>
      </c>
    </row>
    <row r="42" spans="1:12" x14ac:dyDescent="0.35">
      <c r="A42" s="63" t="s">
        <v>42</v>
      </c>
      <c r="B42" s="65"/>
      <c r="C42" s="65"/>
      <c r="D42" s="64"/>
      <c r="E42" s="64"/>
      <c r="F42" s="64"/>
    </row>
    <row r="43" spans="1:12" hidden="1" x14ac:dyDescent="0.35">
      <c r="A43" s="33" t="s">
        <v>388</v>
      </c>
      <c r="B43" s="37">
        <v>100000</v>
      </c>
      <c r="C43" s="37">
        <v>150000</v>
      </c>
      <c r="D43" s="37">
        <v>150000</v>
      </c>
      <c r="E43" s="37">
        <v>100000</v>
      </c>
      <c r="F43" s="37">
        <v>100000</v>
      </c>
    </row>
    <row r="44" spans="1:12" hidden="1" x14ac:dyDescent="0.35">
      <c r="A44" s="33" t="s">
        <v>389</v>
      </c>
      <c r="B44" s="37">
        <v>255238</v>
      </c>
      <c r="C44" s="37">
        <v>277796</v>
      </c>
      <c r="D44" s="37">
        <v>285070</v>
      </c>
      <c r="E44" s="37">
        <v>298850</v>
      </c>
      <c r="F44" s="37">
        <v>296482</v>
      </c>
    </row>
    <row r="45" spans="1:12" hidden="1" x14ac:dyDescent="0.35">
      <c r="A45" s="33" t="s">
        <v>390</v>
      </c>
      <c r="B45" s="37">
        <v>87800</v>
      </c>
      <c r="C45" s="37">
        <v>81900</v>
      </c>
      <c r="D45" s="37">
        <v>59200</v>
      </c>
      <c r="E45" s="37">
        <v>69400</v>
      </c>
      <c r="F45" s="37">
        <v>45700</v>
      </c>
    </row>
    <row r="46" spans="1:12" hidden="1" x14ac:dyDescent="0.35">
      <c r="A46" s="33" t="s">
        <v>391</v>
      </c>
      <c r="B46" s="37">
        <v>228104</v>
      </c>
      <c r="C46" s="37">
        <v>227515</v>
      </c>
      <c r="D46" s="37">
        <v>190067</v>
      </c>
      <c r="E46" s="37">
        <v>250982</v>
      </c>
      <c r="F46" s="37">
        <v>209484</v>
      </c>
    </row>
    <row r="47" spans="1:12" x14ac:dyDescent="0.35">
      <c r="A47" s="55" t="s">
        <v>392</v>
      </c>
      <c r="B47" s="38">
        <f t="shared" ref="B47:F47" si="9">B43/B$13</f>
        <v>1.9920318725099602</v>
      </c>
      <c r="C47" s="38">
        <f t="shared" si="9"/>
        <v>3.3680617927070235</v>
      </c>
      <c r="D47" s="38">
        <f t="shared" si="9"/>
        <v>3.1618887015177064</v>
      </c>
      <c r="E47" s="38">
        <f t="shared" si="9"/>
        <v>2.4477407353013168</v>
      </c>
      <c r="F47" s="38">
        <f t="shared" si="9"/>
        <v>2.0873601990506687</v>
      </c>
      <c r="L47" t="str">
        <f>INDEX($B$1:$F$1,1,MATCH((MAX(B47:F47)),B47:F47,0))</f>
        <v>China Taiping 
I-Secure Legacy (II)</v>
      </c>
    </row>
    <row r="48" spans="1:12" x14ac:dyDescent="0.35">
      <c r="A48" s="55" t="s">
        <v>393</v>
      </c>
      <c r="B48" s="38">
        <f t="shared" ref="B48:F50" si="10">B44/B$13</f>
        <v>5.0844223107569722</v>
      </c>
      <c r="C48" s="38">
        <f t="shared" si="10"/>
        <v>6.2375606251122688</v>
      </c>
      <c r="D48" s="38">
        <f t="shared" si="10"/>
        <v>6.0090640809443512</v>
      </c>
      <c r="E48" s="38">
        <f t="shared" si="10"/>
        <v>7.3150731874479851</v>
      </c>
      <c r="F48" s="38">
        <f t="shared" si="10"/>
        <v>6.1886472653494042</v>
      </c>
      <c r="L48" t="str">
        <f>INDEX($B$1:$F$1,1,MATCH((MAX(B48:F48)),B48:F48,0))</f>
        <v>Income Complete Life Secure</v>
      </c>
    </row>
    <row r="49" spans="1:12" x14ac:dyDescent="0.35">
      <c r="A49" s="55" t="s">
        <v>394</v>
      </c>
      <c r="B49" s="38">
        <f t="shared" si="10"/>
        <v>1.749003984063745</v>
      </c>
      <c r="C49" s="38">
        <f t="shared" si="10"/>
        <v>1.8389617388180348</v>
      </c>
      <c r="D49" s="38">
        <f t="shared" si="10"/>
        <v>1.2478920741989883</v>
      </c>
      <c r="E49" s="38">
        <f>E45/E$13</f>
        <v>1.698732070299114</v>
      </c>
      <c r="F49" s="38">
        <f t="shared" si="10"/>
        <v>0.95392361096615563</v>
      </c>
      <c r="L49" t="str">
        <f>INDEX($B$1:$F$1,1,MATCH((MAX(B49:F49)),B49:F49,0))</f>
        <v>China Taiping 
I-Secure Legacy (II)</v>
      </c>
    </row>
    <row r="50" spans="1:12" x14ac:dyDescent="0.35">
      <c r="A50" s="55" t="s">
        <v>395</v>
      </c>
      <c r="B50" s="38">
        <f t="shared" si="10"/>
        <v>4.54390438247012</v>
      </c>
      <c r="C50" s="38">
        <f t="shared" si="10"/>
        <v>5.10856385845159</v>
      </c>
      <c r="D50" s="38">
        <f t="shared" si="10"/>
        <v>4.0064713322091059</v>
      </c>
      <c r="E50" s="38">
        <f>E46/E$13</f>
        <v>6.1433886522739511</v>
      </c>
      <c r="F50" s="38">
        <f t="shared" si="10"/>
        <v>4.372685639379303</v>
      </c>
      <c r="L50" t="str">
        <f>INDEX($B$1:$F$1,1,MATCH((MAX(B50:F50)),B50:F50,0))</f>
        <v>Income Complete Life Secure</v>
      </c>
    </row>
    <row r="51" spans="1:12" x14ac:dyDescent="0.35">
      <c r="A51" s="39" t="s">
        <v>43</v>
      </c>
      <c r="B51" s="40">
        <v>0.03</v>
      </c>
      <c r="C51" s="40">
        <v>2.81E-2</v>
      </c>
      <c r="D51" s="40">
        <v>2.0899999999999998E-2</v>
      </c>
      <c r="E51" s="40">
        <v>3.5099999999999999E-2</v>
      </c>
      <c r="F51" s="40">
        <v>2.9899999999999999E-2</v>
      </c>
      <c r="L51" t="str">
        <f>INDEX($B$1:$F$1,1,MATCH((MAX(B51:F51)),B51:F51,0))</f>
        <v>Income Complete Life Secure</v>
      </c>
    </row>
  </sheetData>
  <sheetProtection algorithmName="SHA-512" hashValue="Q9NlNVqiLfht3kzXUOlKDi+zaXKWtJxpGUzig6CFJGl6i79TPHfdQZXFIr+xxkHbW5aQb0XyLP6jiHPWyPenqw==" saltValue="wvDgeAUkgqF2+t57hh/vzw==" spinCount="100000" sheet="1" objects="1" scenarios="1" selectLockedCells="1" autoFilter="0" selectUnlockedCells="1"/>
  <conditionalFormatting sqref="B12:F12">
    <cfRule type="top10" dxfId="210" priority="517" bottom="1" rank="1"/>
    <cfRule type="top10" dxfId="209" priority="518" bottom="1" rank="2"/>
  </conditionalFormatting>
  <conditionalFormatting sqref="B13:F13">
    <cfRule type="top10" dxfId="208" priority="521" bottom="1" rank="1"/>
    <cfRule type="top10" dxfId="207" priority="522" bottom="1" rank="2"/>
  </conditionalFormatting>
  <conditionalFormatting sqref="B14:F14">
    <cfRule type="top10" dxfId="206" priority="525" bottom="1" rank="1"/>
    <cfRule type="top10" dxfId="205" priority="526" bottom="1" rank="2"/>
  </conditionalFormatting>
  <conditionalFormatting sqref="B15:F15">
    <cfRule type="top10" dxfId="204" priority="529" bottom="1" rank="1"/>
    <cfRule type="top10" dxfId="203" priority="530" bottom="1" rank="2"/>
  </conditionalFormatting>
  <conditionalFormatting sqref="B16:F16">
    <cfRule type="top10" dxfId="202" priority="533" bottom="1" rank="1"/>
    <cfRule type="top10" dxfId="201" priority="534" bottom="1" rank="2"/>
  </conditionalFormatting>
  <conditionalFormatting sqref="B21:F21">
    <cfRule type="top10" dxfId="200" priority="537" rank="1"/>
    <cfRule type="top10" dxfId="199" priority="538" rank="2"/>
  </conditionalFormatting>
  <conditionalFormatting sqref="B22:F22">
    <cfRule type="top10" dxfId="198" priority="541" rank="1"/>
    <cfRule type="top10" dxfId="197" priority="542" rank="2"/>
  </conditionalFormatting>
  <conditionalFormatting sqref="B23:F23">
    <cfRule type="top10" dxfId="196" priority="545" rank="1"/>
    <cfRule type="top10" dxfId="195" priority="546" rank="2"/>
  </conditionalFormatting>
  <conditionalFormatting sqref="B29:F29">
    <cfRule type="top10" dxfId="194" priority="549" rank="1"/>
    <cfRule type="top10" dxfId="193" priority="550" rank="2"/>
  </conditionalFormatting>
  <conditionalFormatting sqref="B30:F30">
    <cfRule type="top10" dxfId="192" priority="553" rank="1"/>
    <cfRule type="top10" dxfId="191" priority="554" rank="2"/>
  </conditionalFormatting>
  <conditionalFormatting sqref="B31:F31">
    <cfRule type="top10" dxfId="190" priority="557" rank="1"/>
    <cfRule type="top10" dxfId="189" priority="558" rank="2"/>
  </conditionalFormatting>
  <conditionalFormatting sqref="B32:F32">
    <cfRule type="top10" dxfId="188" priority="561" rank="1"/>
    <cfRule type="top10" dxfId="187" priority="562" rank="2"/>
  </conditionalFormatting>
  <conditionalFormatting sqref="B38:F38">
    <cfRule type="top10" dxfId="186" priority="565" rank="1"/>
    <cfRule type="top10" dxfId="185" priority="566" rank="2"/>
  </conditionalFormatting>
  <conditionalFormatting sqref="B39:F39">
    <cfRule type="top10" dxfId="184" priority="569" rank="1"/>
    <cfRule type="top10" dxfId="183" priority="570" rank="2"/>
  </conditionalFormatting>
  <conditionalFormatting sqref="B40:F40">
    <cfRule type="top10" dxfId="182" priority="573" rank="1"/>
    <cfRule type="top10" dxfId="181" priority="574" rank="2"/>
  </conditionalFormatting>
  <conditionalFormatting sqref="B41:F41">
    <cfRule type="top10" dxfId="180" priority="577" rank="1"/>
    <cfRule type="top10" dxfId="179" priority="578" rank="2"/>
  </conditionalFormatting>
  <conditionalFormatting sqref="B47:F47">
    <cfRule type="top10" dxfId="178" priority="581" rank="1"/>
    <cfRule type="top10" dxfId="177" priority="582" rank="2"/>
  </conditionalFormatting>
  <conditionalFormatting sqref="B48:F48">
    <cfRule type="top10" dxfId="176" priority="585" rank="1"/>
    <cfRule type="top10" dxfId="175" priority="586" rank="2"/>
  </conditionalFormatting>
  <conditionalFormatting sqref="B49:F49">
    <cfRule type="top10" dxfId="174" priority="589" rank="1"/>
    <cfRule type="top10" dxfId="173" priority="590" rank="2"/>
  </conditionalFormatting>
  <conditionalFormatting sqref="B50:F50">
    <cfRule type="top10" dxfId="172" priority="593" rank="1"/>
    <cfRule type="top10" dxfId="171" priority="594" rank="2"/>
  </conditionalFormatting>
  <conditionalFormatting sqref="B51:F51">
    <cfRule type="top10" dxfId="170" priority="597" rank="1"/>
    <cfRule type="top10" dxfId="169" priority="598" rank="2"/>
  </conditionalFormatting>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9AFA5-66AB-493F-9F93-67119DC37158}">
  <dimension ref="A1:K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6" width="12.81640625" customWidth="1"/>
    <col min="8" max="9" width="12.81640625" customWidth="1"/>
    <col min="11" max="11" width="0" hidden="1" customWidth="1"/>
  </cols>
  <sheetData>
    <row r="1" spans="1:11" ht="72.5" x14ac:dyDescent="0.35">
      <c r="A1" s="98" t="s">
        <v>426</v>
      </c>
      <c r="B1" s="28" t="s">
        <v>356</v>
      </c>
      <c r="C1" s="28" t="s">
        <v>359</v>
      </c>
      <c r="D1" s="28" t="s">
        <v>360</v>
      </c>
      <c r="E1" s="28" t="s">
        <v>413</v>
      </c>
      <c r="F1" s="28" t="s">
        <v>361</v>
      </c>
      <c r="H1" s="29" t="s">
        <v>362</v>
      </c>
      <c r="I1" s="30" t="s">
        <v>363</v>
      </c>
    </row>
    <row r="2" spans="1:11" x14ac:dyDescent="0.35">
      <c r="A2" s="31" t="s">
        <v>364</v>
      </c>
      <c r="B2" s="42"/>
      <c r="C2" s="42"/>
      <c r="D2" s="32"/>
      <c r="E2" s="32"/>
      <c r="F2" s="32"/>
    </row>
    <row r="3" spans="1:11" x14ac:dyDescent="0.35">
      <c r="A3" s="33" t="s">
        <v>365</v>
      </c>
      <c r="B3" s="34">
        <v>100000</v>
      </c>
      <c r="C3" s="34">
        <v>100000</v>
      </c>
      <c r="D3" s="34">
        <v>100000</v>
      </c>
      <c r="E3" s="34">
        <v>100000</v>
      </c>
      <c r="F3" s="34">
        <v>100000</v>
      </c>
    </row>
    <row r="4" spans="1:11" x14ac:dyDescent="0.35">
      <c r="A4" s="33" t="s">
        <v>274</v>
      </c>
      <c r="B4" s="34">
        <v>50000</v>
      </c>
      <c r="C4" s="34">
        <v>50000</v>
      </c>
      <c r="D4" s="34">
        <v>50000</v>
      </c>
      <c r="E4" s="34">
        <v>50000</v>
      </c>
      <c r="F4" s="34">
        <v>50000</v>
      </c>
    </row>
    <row r="5" spans="1:11" x14ac:dyDescent="0.35">
      <c r="A5" s="33" t="s">
        <v>271</v>
      </c>
      <c r="B5" s="34">
        <v>50000</v>
      </c>
      <c r="C5" s="34">
        <v>50000</v>
      </c>
      <c r="D5" s="34">
        <v>50000</v>
      </c>
      <c r="E5" s="34">
        <v>50000</v>
      </c>
      <c r="F5" s="34">
        <v>50000</v>
      </c>
    </row>
    <row r="6" spans="1:11" ht="29" x14ac:dyDescent="0.35">
      <c r="A6" s="33" t="s">
        <v>366</v>
      </c>
      <c r="B6" s="35" t="s">
        <v>414</v>
      </c>
      <c r="C6" s="36" t="s">
        <v>415</v>
      </c>
      <c r="D6" s="36" t="s">
        <v>415</v>
      </c>
      <c r="E6" s="35" t="s">
        <v>416</v>
      </c>
      <c r="F6" s="35" t="s">
        <v>417</v>
      </c>
    </row>
    <row r="7" spans="1:11" x14ac:dyDescent="0.35">
      <c r="A7" s="31" t="s">
        <v>372</v>
      </c>
      <c r="B7" s="42"/>
      <c r="C7" s="42"/>
      <c r="D7" s="32"/>
      <c r="E7" s="32"/>
      <c r="F7" s="32"/>
    </row>
    <row r="8" spans="1:11" x14ac:dyDescent="0.35">
      <c r="A8" s="33" t="s">
        <v>373</v>
      </c>
      <c r="B8" s="33">
        <v>20</v>
      </c>
      <c r="C8" s="33">
        <v>20</v>
      </c>
      <c r="D8" s="33">
        <v>20</v>
      </c>
      <c r="E8" s="33">
        <v>20</v>
      </c>
      <c r="F8" s="33">
        <v>20</v>
      </c>
    </row>
    <row r="9" spans="1:11" x14ac:dyDescent="0.35">
      <c r="A9" s="33" t="s">
        <v>374</v>
      </c>
      <c r="B9" s="37">
        <f>1827+316+36+74</f>
        <v>2253</v>
      </c>
      <c r="C9" s="37">
        <f>1856.3+195.5</f>
        <v>2051.8000000000002</v>
      </c>
      <c r="D9" s="37">
        <v>1944</v>
      </c>
      <c r="E9" s="37">
        <v>1995.25</v>
      </c>
      <c r="F9" s="37">
        <f>2173.45+114.09</f>
        <v>2287.54</v>
      </c>
    </row>
    <row r="10" spans="1:11" x14ac:dyDescent="0.35">
      <c r="A10" s="33" t="s">
        <v>375</v>
      </c>
      <c r="B10" s="37">
        <f>361+981</f>
        <v>1342</v>
      </c>
      <c r="C10" s="37">
        <v>860.05</v>
      </c>
      <c r="D10" s="37">
        <v>1468</v>
      </c>
      <c r="E10" s="37">
        <v>1733.6</v>
      </c>
      <c r="F10" s="37">
        <v>966.89</v>
      </c>
    </row>
    <row r="11" spans="1:11" x14ac:dyDescent="0.35">
      <c r="A11" s="33" t="s">
        <v>376</v>
      </c>
      <c r="B11" s="37">
        <f>155.5+462</f>
        <v>617.5</v>
      </c>
      <c r="C11" s="37">
        <v>446.9</v>
      </c>
      <c r="D11" s="37">
        <v>897.5</v>
      </c>
      <c r="E11" s="37">
        <v>796.7</v>
      </c>
      <c r="F11" s="37">
        <v>534.65</v>
      </c>
    </row>
    <row r="12" spans="1:11" x14ac:dyDescent="0.35">
      <c r="A12" s="33" t="s">
        <v>377</v>
      </c>
      <c r="B12" s="34">
        <f t="shared" ref="B12:F12" si="0">SUM(B9:B11)</f>
        <v>4212.5</v>
      </c>
      <c r="C12" s="34">
        <f t="shared" si="0"/>
        <v>3358.7500000000005</v>
      </c>
      <c r="D12" s="34">
        <f t="shared" si="0"/>
        <v>4309.5</v>
      </c>
      <c r="E12" s="34">
        <f t="shared" si="0"/>
        <v>4525.55</v>
      </c>
      <c r="F12" s="34">
        <f t="shared" si="0"/>
        <v>3789.08</v>
      </c>
      <c r="K12" t="str">
        <f>INDEX($B$1:$F$1,1,MATCH((MIN(B12:F12)),B12:F12,0))</f>
        <v>China Taiping 
I-Secure Legacy (II)</v>
      </c>
    </row>
    <row r="13" spans="1:11" x14ac:dyDescent="0.35">
      <c r="A13" s="33" t="s">
        <v>378</v>
      </c>
      <c r="B13" s="34">
        <f>B9*B8</f>
        <v>45060</v>
      </c>
      <c r="C13" s="34">
        <f t="shared" ref="C13:F13" si="1">C9*C8</f>
        <v>41036</v>
      </c>
      <c r="D13" s="34">
        <f t="shared" si="1"/>
        <v>38880</v>
      </c>
      <c r="E13" s="34">
        <f t="shared" si="1"/>
        <v>39905</v>
      </c>
      <c r="F13" s="34">
        <f t="shared" si="1"/>
        <v>45750.8</v>
      </c>
      <c r="K13" t="str">
        <f t="shared" ref="K13:K16" si="2">INDEX($B$1:$F$1,1,MATCH((MIN(B13:F13)),B13:F13,0))</f>
        <v>Etiqa 
Essential Lifetime secure</v>
      </c>
    </row>
    <row r="14" spans="1:11" x14ac:dyDescent="0.35">
      <c r="A14" s="33" t="s">
        <v>379</v>
      </c>
      <c r="B14" s="34">
        <f t="shared" ref="B14:F16" si="3">B10*B$8</f>
        <v>26840</v>
      </c>
      <c r="C14" s="34">
        <f t="shared" si="3"/>
        <v>17201</v>
      </c>
      <c r="D14" s="34">
        <f t="shared" si="3"/>
        <v>29360</v>
      </c>
      <c r="E14" s="34">
        <f t="shared" si="3"/>
        <v>34672</v>
      </c>
      <c r="F14" s="34">
        <f t="shared" si="3"/>
        <v>19337.8</v>
      </c>
      <c r="K14" t="str">
        <f t="shared" si="2"/>
        <v>China Taiping 
I-Secure Legacy (II)</v>
      </c>
    </row>
    <row r="15" spans="1:11" x14ac:dyDescent="0.35">
      <c r="A15" s="33" t="s">
        <v>380</v>
      </c>
      <c r="B15" s="34">
        <f t="shared" si="3"/>
        <v>12350</v>
      </c>
      <c r="C15" s="34">
        <f t="shared" si="3"/>
        <v>8938</v>
      </c>
      <c r="D15" s="34">
        <f t="shared" si="3"/>
        <v>17950</v>
      </c>
      <c r="E15" s="34">
        <f t="shared" si="3"/>
        <v>15934</v>
      </c>
      <c r="F15" s="34">
        <f t="shared" si="3"/>
        <v>10693</v>
      </c>
      <c r="K15" t="str">
        <f t="shared" si="2"/>
        <v>China Taiping 
I-Secure Legacy (II)</v>
      </c>
    </row>
    <row r="16" spans="1:11" x14ac:dyDescent="0.35">
      <c r="A16" s="33" t="s">
        <v>381</v>
      </c>
      <c r="B16" s="34">
        <f t="shared" si="3"/>
        <v>84250</v>
      </c>
      <c r="C16" s="34">
        <f t="shared" si="3"/>
        <v>67175.000000000015</v>
      </c>
      <c r="D16" s="34">
        <f t="shared" si="3"/>
        <v>86190</v>
      </c>
      <c r="E16" s="34">
        <f t="shared" si="3"/>
        <v>90511</v>
      </c>
      <c r="F16" s="34">
        <f t="shared" si="3"/>
        <v>75781.600000000006</v>
      </c>
      <c r="K16" t="str">
        <f t="shared" si="2"/>
        <v>China Taiping 
I-Secure Legacy (II)</v>
      </c>
    </row>
    <row r="17" spans="1:11" x14ac:dyDescent="0.35">
      <c r="A17" s="60" t="s">
        <v>18</v>
      </c>
      <c r="B17" s="62"/>
      <c r="C17" s="62"/>
      <c r="D17" s="61"/>
      <c r="E17" s="61"/>
      <c r="F17" s="61"/>
    </row>
    <row r="18" spans="1:11" hidden="1" x14ac:dyDescent="0.35">
      <c r="A18" s="33" t="s">
        <v>382</v>
      </c>
      <c r="B18" s="37">
        <v>300000</v>
      </c>
      <c r="C18" s="37">
        <v>300000</v>
      </c>
      <c r="D18" s="37">
        <v>300000</v>
      </c>
      <c r="E18" s="37">
        <v>300000</v>
      </c>
      <c r="F18" s="37">
        <v>300000</v>
      </c>
    </row>
    <row r="19" spans="1:11" hidden="1" x14ac:dyDescent="0.35">
      <c r="A19" s="33" t="s">
        <v>383</v>
      </c>
      <c r="B19" s="37">
        <v>150000</v>
      </c>
      <c r="C19" s="37">
        <v>150000</v>
      </c>
      <c r="D19" s="37">
        <v>150000</v>
      </c>
      <c r="E19" s="37">
        <v>150000</v>
      </c>
      <c r="F19" s="37">
        <v>150000</v>
      </c>
    </row>
    <row r="20" spans="1:11" hidden="1" x14ac:dyDescent="0.35">
      <c r="A20" s="33" t="s">
        <v>384</v>
      </c>
      <c r="B20" s="37">
        <v>150000</v>
      </c>
      <c r="C20" s="37">
        <v>150000</v>
      </c>
      <c r="D20" s="37">
        <v>150000</v>
      </c>
      <c r="E20" s="37">
        <v>150000</v>
      </c>
      <c r="F20" s="37">
        <v>150000</v>
      </c>
    </row>
    <row r="21" spans="1:11" x14ac:dyDescent="0.35">
      <c r="A21" s="55" t="s">
        <v>385</v>
      </c>
      <c r="B21" s="38">
        <f t="shared" ref="B21:F21" si="4">B18/B9</f>
        <v>133.15579227696404</v>
      </c>
      <c r="C21" s="38">
        <f t="shared" si="4"/>
        <v>146.21308119699773</v>
      </c>
      <c r="D21" s="38">
        <f t="shared" si="4"/>
        <v>154.32098765432099</v>
      </c>
      <c r="E21" s="38">
        <f t="shared" si="4"/>
        <v>150.35709810800651</v>
      </c>
      <c r="F21" s="38">
        <f t="shared" si="4"/>
        <v>131.14524773337297</v>
      </c>
      <c r="K21" t="str">
        <f>INDEX($B$1:$F$1,1,MATCH((MAX(B21:F21)),B21:F21,0))</f>
        <v>Etiqa 
Essential Lifetime secure</v>
      </c>
    </row>
    <row r="22" spans="1:11" x14ac:dyDescent="0.35">
      <c r="A22" s="55" t="s">
        <v>386</v>
      </c>
      <c r="B22" s="38">
        <f t="shared" ref="B22:F23" si="5">B19/B10</f>
        <v>111.77347242921013</v>
      </c>
      <c r="C22" s="38">
        <f t="shared" si="5"/>
        <v>174.40846462414976</v>
      </c>
      <c r="D22" s="38">
        <f t="shared" si="5"/>
        <v>102.17983651226157</v>
      </c>
      <c r="E22" s="38">
        <f t="shared" si="5"/>
        <v>86.525149976926627</v>
      </c>
      <c r="F22" s="38">
        <f t="shared" si="5"/>
        <v>155.13657189545864</v>
      </c>
      <c r="K22" t="str">
        <f t="shared" ref="K22:K23" si="6">INDEX($B$1:$F$1,1,MATCH((MAX(B22:F22)),B22:F22,0))</f>
        <v>China Taiping 
I-Secure Legacy (II)</v>
      </c>
    </row>
    <row r="23" spans="1:11" x14ac:dyDescent="0.35">
      <c r="A23" s="55" t="s">
        <v>387</v>
      </c>
      <c r="B23" s="38">
        <f t="shared" si="5"/>
        <v>242.91497975708501</v>
      </c>
      <c r="C23" s="38">
        <f t="shared" si="5"/>
        <v>335.64555829044531</v>
      </c>
      <c r="D23" s="38">
        <f t="shared" si="5"/>
        <v>167.13091922005572</v>
      </c>
      <c r="E23" s="38">
        <f t="shared" si="5"/>
        <v>188.27664114472196</v>
      </c>
      <c r="F23" s="38">
        <f t="shared" si="5"/>
        <v>280.55737398297953</v>
      </c>
      <c r="K23" t="str">
        <f t="shared" si="6"/>
        <v>China Taiping 
I-Secure Legacy (II)</v>
      </c>
    </row>
    <row r="24" spans="1:11" x14ac:dyDescent="0.35">
      <c r="A24" s="60" t="s">
        <v>425</v>
      </c>
      <c r="B24" s="62"/>
      <c r="C24" s="62"/>
      <c r="D24" s="61"/>
      <c r="E24" s="61"/>
      <c r="F24" s="61"/>
    </row>
    <row r="25" spans="1:11" hidden="1" x14ac:dyDescent="0.35">
      <c r="A25" s="33" t="s">
        <v>388</v>
      </c>
      <c r="B25" s="37">
        <v>300000</v>
      </c>
      <c r="C25" s="37">
        <v>300000</v>
      </c>
      <c r="D25" s="37">
        <v>300000</v>
      </c>
      <c r="E25" s="37">
        <v>300000</v>
      </c>
      <c r="F25" s="37">
        <v>300000</v>
      </c>
    </row>
    <row r="26" spans="1:11" hidden="1" x14ac:dyDescent="0.35">
      <c r="A26" s="33" t="s">
        <v>389</v>
      </c>
      <c r="B26" s="37">
        <v>362558</v>
      </c>
      <c r="C26" s="37">
        <v>300000</v>
      </c>
      <c r="D26" s="37">
        <v>300000</v>
      </c>
      <c r="E26" s="37">
        <v>300000</v>
      </c>
      <c r="F26" s="37">
        <v>300000</v>
      </c>
    </row>
    <row r="27" spans="1:11" hidden="1" x14ac:dyDescent="0.35">
      <c r="A27" s="33" t="s">
        <v>390</v>
      </c>
      <c r="B27" s="37">
        <v>49600</v>
      </c>
      <c r="C27" s="37">
        <v>45600</v>
      </c>
      <c r="D27" s="37">
        <v>33000</v>
      </c>
      <c r="E27" s="37">
        <v>34300</v>
      </c>
      <c r="F27" s="37">
        <v>29800</v>
      </c>
    </row>
    <row r="28" spans="1:11" hidden="1" x14ac:dyDescent="0.35">
      <c r="A28" s="33" t="s">
        <v>391</v>
      </c>
      <c r="B28" s="37">
        <v>87685</v>
      </c>
      <c r="C28" s="37">
        <v>76039</v>
      </c>
      <c r="D28" s="37">
        <v>64829</v>
      </c>
      <c r="E28" s="37">
        <v>83370</v>
      </c>
      <c r="F28" s="37">
        <v>95237</v>
      </c>
    </row>
    <row r="29" spans="1:11" x14ac:dyDescent="0.35">
      <c r="A29" s="55" t="s">
        <v>392</v>
      </c>
      <c r="B29" s="38">
        <f t="shared" ref="B29:F29" si="7">B25/B$13</f>
        <v>6.6577896138482027</v>
      </c>
      <c r="C29" s="38">
        <f t="shared" si="7"/>
        <v>7.3106540598498881</v>
      </c>
      <c r="D29" s="38">
        <f t="shared" si="7"/>
        <v>7.716049382716049</v>
      </c>
      <c r="E29" s="38">
        <f t="shared" si="7"/>
        <v>7.5178549054003261</v>
      </c>
      <c r="F29" s="38">
        <f t="shared" si="7"/>
        <v>6.5572623866686479</v>
      </c>
      <c r="K29" t="str">
        <f>INDEX($B$1:$F$1,1,MATCH((MAX(B29:F29)),B29:F29,0))</f>
        <v>Etiqa 
Essential Lifetime secure</v>
      </c>
    </row>
    <row r="30" spans="1:11" x14ac:dyDescent="0.35">
      <c r="A30" s="55" t="s">
        <v>393</v>
      </c>
      <c r="B30" s="38">
        <f t="shared" ref="B30:F32" si="8">B26/B$13</f>
        <v>8.0461162893919216</v>
      </c>
      <c r="C30" s="38">
        <f t="shared" si="8"/>
        <v>7.3106540598498881</v>
      </c>
      <c r="D30" s="38">
        <f t="shared" si="8"/>
        <v>7.716049382716049</v>
      </c>
      <c r="E30" s="38">
        <f t="shared" si="8"/>
        <v>7.5178549054003261</v>
      </c>
      <c r="F30" s="38">
        <f t="shared" si="8"/>
        <v>6.5572623866686479</v>
      </c>
      <c r="K30" t="str">
        <f t="shared" ref="K30:K32" si="9">INDEX($B$1:$F$1,1,MATCH((MAX(B30:F30)),B30:F30,0))</f>
        <v>Singlife 
Whole Life Choice</v>
      </c>
    </row>
    <row r="31" spans="1:11" x14ac:dyDescent="0.35">
      <c r="A31" s="55" t="s">
        <v>394</v>
      </c>
      <c r="B31" s="38">
        <f t="shared" si="8"/>
        <v>1.1007545494895694</v>
      </c>
      <c r="C31" s="38">
        <f t="shared" si="8"/>
        <v>1.111219417097183</v>
      </c>
      <c r="D31" s="38">
        <f t="shared" si="8"/>
        <v>0.84876543209876543</v>
      </c>
      <c r="E31" s="38">
        <f t="shared" si="8"/>
        <v>0.85954141085077063</v>
      </c>
      <c r="F31" s="38">
        <f t="shared" si="8"/>
        <v>0.65135473040908565</v>
      </c>
      <c r="K31" t="str">
        <f t="shared" si="9"/>
        <v>China Taiping 
I-Secure Legacy (II)</v>
      </c>
    </row>
    <row r="32" spans="1:11" x14ac:dyDescent="0.35">
      <c r="A32" s="55" t="s">
        <v>395</v>
      </c>
      <c r="B32" s="38">
        <f t="shared" si="8"/>
        <v>1.9459609409675989</v>
      </c>
      <c r="C32" s="38">
        <f t="shared" si="8"/>
        <v>1.8529827468564188</v>
      </c>
      <c r="D32" s="38">
        <f t="shared" si="8"/>
        <v>1.6674125514403293</v>
      </c>
      <c r="E32" s="38">
        <f t="shared" si="8"/>
        <v>2.0892118782107505</v>
      </c>
      <c r="F32" s="38">
        <f t="shared" si="8"/>
        <v>2.0816466597305401</v>
      </c>
      <c r="K32" t="str">
        <f t="shared" si="9"/>
        <v>Income 
Complete Life Secure</v>
      </c>
    </row>
    <row r="33" spans="1:11" x14ac:dyDescent="0.35">
      <c r="A33" s="60" t="s">
        <v>427</v>
      </c>
      <c r="B33" s="62"/>
      <c r="C33" s="62"/>
      <c r="D33" s="61"/>
      <c r="E33" s="61"/>
      <c r="F33" s="61"/>
    </row>
    <row r="34" spans="1:11" hidden="1" x14ac:dyDescent="0.35">
      <c r="A34" s="33" t="s">
        <v>388</v>
      </c>
      <c r="B34" s="37">
        <v>175000</v>
      </c>
      <c r="C34" s="37">
        <v>180000</v>
      </c>
      <c r="D34" s="37">
        <v>150000</v>
      </c>
      <c r="E34" s="37">
        <v>100000</v>
      </c>
      <c r="F34" s="37">
        <v>100000</v>
      </c>
    </row>
    <row r="35" spans="1:11" hidden="1" x14ac:dyDescent="0.35">
      <c r="A35" s="33" t="s">
        <v>389</v>
      </c>
      <c r="B35" s="37">
        <v>289140</v>
      </c>
      <c r="C35" s="37">
        <v>227451</v>
      </c>
      <c r="D35" s="37">
        <v>177395</v>
      </c>
      <c r="E35" s="37">
        <v>247280</v>
      </c>
      <c r="F35" s="37">
        <v>257704</v>
      </c>
    </row>
    <row r="36" spans="1:11" hidden="1" x14ac:dyDescent="0.35">
      <c r="A36" s="33" t="s">
        <v>390</v>
      </c>
      <c r="B36" s="37">
        <v>72400</v>
      </c>
      <c r="C36" s="37">
        <v>66100</v>
      </c>
      <c r="D36" s="37">
        <v>52700</v>
      </c>
      <c r="E36" s="37">
        <v>55500</v>
      </c>
      <c r="F36" s="37">
        <v>40200</v>
      </c>
    </row>
    <row r="37" spans="1:11" hidden="1" x14ac:dyDescent="0.35">
      <c r="A37" s="33" t="s">
        <v>391</v>
      </c>
      <c r="B37" s="37">
        <v>161946</v>
      </c>
      <c r="C37" s="37">
        <v>150345</v>
      </c>
      <c r="D37" s="37">
        <v>138540</v>
      </c>
      <c r="E37" s="37">
        <v>173394</v>
      </c>
      <c r="F37" s="37">
        <v>164272</v>
      </c>
    </row>
    <row r="38" spans="1:11" x14ac:dyDescent="0.35">
      <c r="A38" s="55" t="s">
        <v>392</v>
      </c>
      <c r="B38" s="38">
        <f t="shared" ref="B38:F38" si="10">B34/B$13</f>
        <v>3.8837106080781179</v>
      </c>
      <c r="C38" s="38">
        <f t="shared" si="10"/>
        <v>4.3863924359099329</v>
      </c>
      <c r="D38" s="38">
        <f t="shared" si="10"/>
        <v>3.8580246913580245</v>
      </c>
      <c r="E38" s="38">
        <f t="shared" si="10"/>
        <v>2.5059516351334419</v>
      </c>
      <c r="F38" s="38">
        <f t="shared" si="10"/>
        <v>2.1857541288895495</v>
      </c>
      <c r="K38" t="str">
        <f t="shared" ref="K38:K41" si="11">INDEX($B$1:$F$1,1,MATCH((MAX(B38:F38)),B38:F38,0))</f>
        <v>China Taiping 
I-Secure Legacy (II)</v>
      </c>
    </row>
    <row r="39" spans="1:11" x14ac:dyDescent="0.35">
      <c r="A39" s="55" t="s">
        <v>393</v>
      </c>
      <c r="B39" s="38">
        <f t="shared" ref="B39:F41" si="12">B35/B$13</f>
        <v>6.416777629826897</v>
      </c>
      <c r="C39" s="38">
        <f t="shared" si="12"/>
        <v>5.5427185885563892</v>
      </c>
      <c r="D39" s="38">
        <f t="shared" si="12"/>
        <v>4.5626286008230457</v>
      </c>
      <c r="E39" s="38">
        <f t="shared" si="12"/>
        <v>6.1967172033579754</v>
      </c>
      <c r="F39" s="38">
        <f t="shared" si="12"/>
        <v>5.6327758203135243</v>
      </c>
      <c r="K39" t="str">
        <f t="shared" si="11"/>
        <v>Singlife 
Whole Life Choice</v>
      </c>
    </row>
    <row r="40" spans="1:11" x14ac:dyDescent="0.35">
      <c r="A40" s="55" t="s">
        <v>394</v>
      </c>
      <c r="B40" s="38">
        <f t="shared" si="12"/>
        <v>1.6067465601420328</v>
      </c>
      <c r="C40" s="38">
        <f t="shared" si="12"/>
        <v>1.6107807778535919</v>
      </c>
      <c r="D40" s="38">
        <f t="shared" si="12"/>
        <v>1.3554526748971194</v>
      </c>
      <c r="E40" s="38">
        <f t="shared" si="12"/>
        <v>1.3908031574990602</v>
      </c>
      <c r="F40" s="38">
        <f t="shared" si="12"/>
        <v>0.87867315981359884</v>
      </c>
      <c r="K40" t="str">
        <f t="shared" si="11"/>
        <v>China Taiping 
I-Secure Legacy (II)</v>
      </c>
    </row>
    <row r="41" spans="1:11" x14ac:dyDescent="0.35">
      <c r="A41" s="55" t="s">
        <v>395</v>
      </c>
      <c r="B41" s="38">
        <f t="shared" si="12"/>
        <v>3.5940079893475367</v>
      </c>
      <c r="C41" s="38">
        <f t="shared" si="12"/>
        <v>3.6637342820937713</v>
      </c>
      <c r="D41" s="38">
        <f t="shared" si="12"/>
        <v>3.5632716049382718</v>
      </c>
      <c r="E41" s="38">
        <f t="shared" si="12"/>
        <v>4.3451697782232799</v>
      </c>
      <c r="F41" s="38">
        <f t="shared" si="12"/>
        <v>3.5905820226094405</v>
      </c>
      <c r="K41" t="str">
        <f t="shared" si="11"/>
        <v>Income 
Complete Life Secure</v>
      </c>
    </row>
    <row r="42" spans="1:11" x14ac:dyDescent="0.35">
      <c r="A42" s="60" t="s">
        <v>428</v>
      </c>
      <c r="B42" s="62"/>
      <c r="C42" s="62"/>
      <c r="D42" s="61"/>
      <c r="E42" s="61"/>
      <c r="F42" s="61"/>
    </row>
    <row r="43" spans="1:11" hidden="1" x14ac:dyDescent="0.35">
      <c r="A43" s="33" t="s">
        <v>388</v>
      </c>
      <c r="B43" s="37">
        <v>100000</v>
      </c>
      <c r="C43" s="37">
        <v>150000</v>
      </c>
      <c r="D43" s="37">
        <v>150000</v>
      </c>
      <c r="E43" s="37">
        <v>100000</v>
      </c>
      <c r="F43" s="37">
        <v>100000</v>
      </c>
    </row>
    <row r="44" spans="1:11" hidden="1" x14ac:dyDescent="0.35">
      <c r="A44" s="33" t="s">
        <v>389</v>
      </c>
      <c r="B44" s="37">
        <v>255238</v>
      </c>
      <c r="C44" s="37">
        <v>277796</v>
      </c>
      <c r="D44" s="37">
        <v>285070</v>
      </c>
      <c r="E44" s="37">
        <v>298850</v>
      </c>
      <c r="F44" s="37">
        <v>296482</v>
      </c>
    </row>
    <row r="45" spans="1:11" hidden="1" x14ac:dyDescent="0.35">
      <c r="A45" s="33" t="s">
        <v>390</v>
      </c>
      <c r="B45" s="37">
        <v>85300</v>
      </c>
      <c r="C45" s="37">
        <v>81000</v>
      </c>
      <c r="D45" s="37">
        <v>59200</v>
      </c>
      <c r="E45" s="37">
        <v>66600</v>
      </c>
      <c r="F45" s="37">
        <v>45700</v>
      </c>
    </row>
    <row r="46" spans="1:11" hidden="1" x14ac:dyDescent="0.35">
      <c r="A46" s="33" t="s">
        <v>391</v>
      </c>
      <c r="B46" s="37">
        <v>221619</v>
      </c>
      <c r="C46" s="37">
        <v>225015</v>
      </c>
      <c r="D46" s="37">
        <v>190067</v>
      </c>
      <c r="E46" s="37">
        <v>240856</v>
      </c>
      <c r="F46" s="37">
        <v>209484</v>
      </c>
    </row>
    <row r="47" spans="1:11" x14ac:dyDescent="0.35">
      <c r="A47" s="55" t="s">
        <v>392</v>
      </c>
      <c r="B47" s="38">
        <f t="shared" ref="B47:F47" si="13">B43/B$13</f>
        <v>2.2192632046160674</v>
      </c>
      <c r="C47" s="38">
        <f t="shared" si="13"/>
        <v>3.6553270299249441</v>
      </c>
      <c r="D47" s="38">
        <f t="shared" si="13"/>
        <v>3.8580246913580245</v>
      </c>
      <c r="E47" s="38">
        <f t="shared" si="13"/>
        <v>2.5059516351334419</v>
      </c>
      <c r="F47" s="38">
        <f t="shared" si="13"/>
        <v>2.1857541288895495</v>
      </c>
      <c r="K47" t="str">
        <f t="shared" ref="K47:K51" si="14">INDEX($B$1:$F$1,1,MATCH((MAX(B47:F47)),B47:F47,0))</f>
        <v>Etiqa 
Essential Lifetime secure</v>
      </c>
    </row>
    <row r="48" spans="1:11" x14ac:dyDescent="0.35">
      <c r="A48" s="55" t="s">
        <v>393</v>
      </c>
      <c r="B48" s="38">
        <f t="shared" ref="B48:F50" si="15">B44/B$13</f>
        <v>5.6644030181979579</v>
      </c>
      <c r="C48" s="38">
        <f t="shared" si="15"/>
        <v>6.7695681840335311</v>
      </c>
      <c r="D48" s="38">
        <f t="shared" si="15"/>
        <v>7.3320473251028808</v>
      </c>
      <c r="E48" s="38">
        <f t="shared" si="15"/>
        <v>7.4890364615962914</v>
      </c>
      <c r="F48" s="38">
        <f t="shared" si="15"/>
        <v>6.4803675564143139</v>
      </c>
      <c r="K48" t="str">
        <f t="shared" si="14"/>
        <v>Income 
Complete Life Secure</v>
      </c>
    </row>
    <row r="49" spans="1:11" x14ac:dyDescent="0.35">
      <c r="A49" s="55" t="s">
        <v>394</v>
      </c>
      <c r="B49" s="38">
        <f t="shared" si="15"/>
        <v>1.8930315135375055</v>
      </c>
      <c r="C49" s="38">
        <f t="shared" si="15"/>
        <v>1.9738765961594698</v>
      </c>
      <c r="D49" s="38">
        <f t="shared" si="15"/>
        <v>1.522633744855967</v>
      </c>
      <c r="E49" s="38">
        <f>E45/E$13</f>
        <v>1.6689637889988722</v>
      </c>
      <c r="F49" s="38">
        <f t="shared" si="15"/>
        <v>0.99888963690252408</v>
      </c>
      <c r="K49" t="str">
        <f t="shared" si="14"/>
        <v>China Taiping 
I-Secure Legacy (II)</v>
      </c>
    </row>
    <row r="50" spans="1:11" x14ac:dyDescent="0.35">
      <c r="A50" s="55" t="s">
        <v>395</v>
      </c>
      <c r="B50" s="38">
        <f t="shared" si="15"/>
        <v>4.9183089214380828</v>
      </c>
      <c r="C50" s="38">
        <f t="shared" si="15"/>
        <v>5.4833560775904084</v>
      </c>
      <c r="D50" s="38">
        <f t="shared" si="15"/>
        <v>4.8885545267489716</v>
      </c>
      <c r="E50" s="38">
        <f>E46/E$13</f>
        <v>6.0357348703170031</v>
      </c>
      <c r="F50" s="38">
        <f t="shared" si="15"/>
        <v>4.5788051793629831</v>
      </c>
      <c r="K50" t="str">
        <f t="shared" si="14"/>
        <v>Income 
Complete Life Secure</v>
      </c>
    </row>
    <row r="51" spans="1:11" x14ac:dyDescent="0.35">
      <c r="A51" s="39" t="s">
        <v>43</v>
      </c>
      <c r="B51" s="40">
        <v>3.1300000000000001E-2</v>
      </c>
      <c r="C51" s="40">
        <v>2.9600000000000001E-2</v>
      </c>
      <c r="D51" s="40">
        <v>2.0899999999999998E-2</v>
      </c>
      <c r="E51" s="40">
        <v>3.4000000000000002E-2</v>
      </c>
      <c r="F51" s="40">
        <v>3.1399999999999997E-2</v>
      </c>
      <c r="K51" t="str">
        <f t="shared" si="14"/>
        <v>Income 
Complete Life Secure</v>
      </c>
    </row>
  </sheetData>
  <sheetProtection algorithmName="SHA-512" hashValue="pc947WTdgur9X8twuVVrYm9Sc/dUy4W7hShhrdFDvUTA/jdIo9OCFjoGBd0QiuTYhSt+WWgKgx4zJKo80j+zpQ==" saltValue="ZsNjrb9lo4xsobo3Cb70Mg==" spinCount="100000" sheet="1" objects="1" scenarios="1" selectLockedCells="1" autoFilter="0" selectUnlockedCells="1"/>
  <conditionalFormatting sqref="B12:F12">
    <cfRule type="top10" dxfId="168" priority="641" bottom="1" rank="1"/>
    <cfRule type="top10" dxfId="167" priority="642" bottom="1" rank="2"/>
  </conditionalFormatting>
  <conditionalFormatting sqref="B13:F13">
    <cfRule type="top10" dxfId="166" priority="645" bottom="1" rank="1"/>
    <cfRule type="top10" dxfId="165" priority="646" bottom="1" rank="2"/>
  </conditionalFormatting>
  <conditionalFormatting sqref="B14:F14">
    <cfRule type="top10" dxfId="164" priority="649" bottom="1" rank="1"/>
    <cfRule type="top10" dxfId="163" priority="650" bottom="1" rank="2"/>
  </conditionalFormatting>
  <conditionalFormatting sqref="B15:F15">
    <cfRule type="top10" dxfId="162" priority="653" bottom="1" rank="1"/>
    <cfRule type="top10" dxfId="161" priority="654" bottom="1" rank="2"/>
  </conditionalFormatting>
  <conditionalFormatting sqref="B16:F16">
    <cfRule type="top10" dxfId="160" priority="657" bottom="1" rank="1"/>
    <cfRule type="top10" dxfId="159" priority="658" bottom="1" rank="2"/>
  </conditionalFormatting>
  <conditionalFormatting sqref="B21:F21">
    <cfRule type="top10" dxfId="158" priority="661" rank="1"/>
    <cfRule type="top10" dxfId="157" priority="662" rank="2"/>
  </conditionalFormatting>
  <conditionalFormatting sqref="B22:F22">
    <cfRule type="top10" dxfId="156" priority="665" rank="1"/>
    <cfRule type="top10" dxfId="155" priority="666" rank="2"/>
  </conditionalFormatting>
  <conditionalFormatting sqref="B23:F23">
    <cfRule type="top10" dxfId="154" priority="669" rank="1"/>
    <cfRule type="top10" dxfId="153" priority="670" rank="2"/>
  </conditionalFormatting>
  <conditionalFormatting sqref="B29:F29">
    <cfRule type="top10" dxfId="152" priority="673" rank="1"/>
    <cfRule type="top10" dxfId="151" priority="674" rank="2"/>
  </conditionalFormatting>
  <conditionalFormatting sqref="B30:F30">
    <cfRule type="top10" dxfId="150" priority="677" rank="1"/>
    <cfRule type="top10" dxfId="149" priority="678" rank="2"/>
  </conditionalFormatting>
  <conditionalFormatting sqref="B31:F31">
    <cfRule type="top10" dxfId="148" priority="681" rank="1"/>
    <cfRule type="top10" dxfId="147" priority="682" rank="2"/>
  </conditionalFormatting>
  <conditionalFormatting sqref="B32:F32">
    <cfRule type="top10" dxfId="146" priority="685" rank="1"/>
    <cfRule type="top10" dxfId="145" priority="686" rank="2"/>
  </conditionalFormatting>
  <conditionalFormatting sqref="B38:F38">
    <cfRule type="top10" dxfId="144" priority="689" rank="1"/>
    <cfRule type="top10" dxfId="143" priority="690" rank="2"/>
  </conditionalFormatting>
  <conditionalFormatting sqref="B39:F39">
    <cfRule type="top10" dxfId="142" priority="693" rank="1"/>
    <cfRule type="top10" dxfId="141" priority="694" rank="2"/>
  </conditionalFormatting>
  <conditionalFormatting sqref="B40:F40">
    <cfRule type="top10" dxfId="140" priority="697" rank="1"/>
    <cfRule type="top10" dxfId="139" priority="698" rank="2"/>
  </conditionalFormatting>
  <conditionalFormatting sqref="B41:F41">
    <cfRule type="top10" dxfId="138" priority="701" rank="1"/>
    <cfRule type="top10" dxfId="137" priority="702" rank="2"/>
  </conditionalFormatting>
  <conditionalFormatting sqref="B47:F47">
    <cfRule type="top10" dxfId="136" priority="705" rank="1"/>
    <cfRule type="top10" dxfId="135" priority="706" rank="2"/>
  </conditionalFormatting>
  <conditionalFormatting sqref="B48:F48">
    <cfRule type="top10" dxfId="134" priority="709" rank="1"/>
    <cfRule type="top10" dxfId="133" priority="710" rank="2"/>
  </conditionalFormatting>
  <conditionalFormatting sqref="B49:F49">
    <cfRule type="top10" dxfId="132" priority="713" rank="1"/>
    <cfRule type="top10" dxfId="131" priority="714" rank="2"/>
  </conditionalFormatting>
  <conditionalFormatting sqref="B50:F50">
    <cfRule type="top10" dxfId="130" priority="717" rank="1"/>
    <cfRule type="top10" dxfId="129" priority="718" rank="2"/>
  </conditionalFormatting>
  <conditionalFormatting sqref="B51:F51">
    <cfRule type="top10" dxfId="128" priority="721" rank="1"/>
    <cfRule type="top10" dxfId="127" priority="722" rank="2"/>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9173A-051F-41F3-8215-4CA0CB1B282C}">
  <sheetPr>
    <tabColor rgb="FFCCECFF"/>
  </sheetPr>
  <dimension ref="B1:O51"/>
  <sheetViews>
    <sheetView showGridLines="0" zoomScale="85" zoomScaleNormal="85" workbookViewId="0">
      <pane ySplit="1" topLeftCell="A2" activePane="bottomLeft" state="frozen"/>
      <selection activeCell="I30" sqref="I30"/>
      <selection pane="bottomLeft" activeCell="C1" sqref="C1"/>
    </sheetView>
  </sheetViews>
  <sheetFormatPr defaultRowHeight="14.5" x14ac:dyDescent="0.35"/>
  <cols>
    <col min="2" max="2" width="63.453125" bestFit="1" customWidth="1"/>
    <col min="3" max="10" width="12.81640625" customWidth="1"/>
    <col min="12" max="13" width="12.81640625" customWidth="1"/>
  </cols>
  <sheetData>
    <row r="1" spans="2:15" ht="72.5" x14ac:dyDescent="0.35">
      <c r="B1" s="98" t="s">
        <v>429</v>
      </c>
      <c r="C1" s="28" t="s">
        <v>413</v>
      </c>
      <c r="D1" s="28" t="s">
        <v>356</v>
      </c>
      <c r="E1" s="28" t="s">
        <v>109</v>
      </c>
      <c r="F1" s="48" t="s">
        <v>358</v>
      </c>
      <c r="G1" s="28" t="s">
        <v>359</v>
      </c>
      <c r="H1" s="28" t="s">
        <v>424</v>
      </c>
      <c r="I1" s="28" t="s">
        <v>413</v>
      </c>
      <c r="J1" s="28" t="s">
        <v>361</v>
      </c>
      <c r="L1" s="29" t="s">
        <v>362</v>
      </c>
      <c r="M1" s="30" t="s">
        <v>363</v>
      </c>
    </row>
    <row r="2" spans="2:15" x14ac:dyDescent="0.35">
      <c r="B2" s="31" t="s">
        <v>364</v>
      </c>
      <c r="C2" s="32"/>
      <c r="D2" s="32"/>
      <c r="E2" s="42"/>
      <c r="F2" s="42"/>
      <c r="G2" s="32"/>
      <c r="H2" s="32"/>
      <c r="I2" s="32"/>
      <c r="J2" s="32"/>
    </row>
    <row r="3" spans="2:15" x14ac:dyDescent="0.35">
      <c r="B3" s="33" t="s">
        <v>365</v>
      </c>
      <c r="C3" s="34">
        <v>100000</v>
      </c>
      <c r="D3" s="34">
        <v>100000</v>
      </c>
      <c r="E3" s="34">
        <v>100000</v>
      </c>
      <c r="F3" s="34">
        <v>100000</v>
      </c>
      <c r="G3" s="34">
        <v>100000</v>
      </c>
      <c r="H3" s="34">
        <v>100000</v>
      </c>
      <c r="I3" s="34">
        <v>100000</v>
      </c>
      <c r="J3" s="34">
        <v>100000</v>
      </c>
    </row>
    <row r="4" spans="2:15" x14ac:dyDescent="0.35">
      <c r="B4" s="33" t="s">
        <v>274</v>
      </c>
      <c r="C4" s="34">
        <v>50000</v>
      </c>
      <c r="D4" s="34">
        <v>50000</v>
      </c>
      <c r="E4" s="34">
        <v>50000</v>
      </c>
      <c r="F4" s="34">
        <v>50000</v>
      </c>
      <c r="G4" s="34">
        <v>50000</v>
      </c>
      <c r="H4" s="34">
        <v>50000</v>
      </c>
      <c r="I4" s="34">
        <v>50000</v>
      </c>
      <c r="J4" s="34">
        <v>50000</v>
      </c>
    </row>
    <row r="5" spans="2:15" x14ac:dyDescent="0.35">
      <c r="B5" s="33" t="s">
        <v>271</v>
      </c>
      <c r="C5" s="34">
        <v>50000</v>
      </c>
      <c r="D5" s="34">
        <v>50000</v>
      </c>
      <c r="E5" s="34">
        <v>50000</v>
      </c>
      <c r="F5" s="34">
        <v>50000</v>
      </c>
      <c r="G5" s="34">
        <v>50000</v>
      </c>
      <c r="H5" s="34">
        <v>50000</v>
      </c>
      <c r="I5" s="34">
        <v>50000</v>
      </c>
      <c r="J5" s="34">
        <v>50000</v>
      </c>
    </row>
    <row r="6" spans="2:15" ht="29" x14ac:dyDescent="0.35">
      <c r="B6" s="33" t="s">
        <v>366</v>
      </c>
      <c r="C6" s="35" t="s">
        <v>371</v>
      </c>
      <c r="D6" s="35" t="s">
        <v>367</v>
      </c>
      <c r="E6" s="35" t="s">
        <v>368</v>
      </c>
      <c r="F6" s="35" t="s">
        <v>368</v>
      </c>
      <c r="G6" s="36" t="s">
        <v>369</v>
      </c>
      <c r="H6" s="36" t="s">
        <v>370</v>
      </c>
      <c r="I6" s="35" t="s">
        <v>371</v>
      </c>
      <c r="J6" s="35" t="s">
        <v>371</v>
      </c>
    </row>
    <row r="7" spans="2:15" x14ac:dyDescent="0.35">
      <c r="B7" s="31" t="s">
        <v>372</v>
      </c>
      <c r="C7" s="32"/>
      <c r="D7" s="32"/>
      <c r="E7" s="42"/>
      <c r="F7" s="42"/>
      <c r="G7" s="32"/>
      <c r="H7" s="32"/>
      <c r="I7" s="32"/>
      <c r="J7" s="32"/>
    </row>
    <row r="8" spans="2:15" x14ac:dyDescent="0.35">
      <c r="B8" s="43" t="s">
        <v>373</v>
      </c>
      <c r="C8" s="43">
        <v>20</v>
      </c>
      <c r="D8" s="43">
        <v>20</v>
      </c>
      <c r="E8">
        <v>20</v>
      </c>
      <c r="F8">
        <v>20</v>
      </c>
      <c r="G8" s="43">
        <v>20</v>
      </c>
      <c r="H8" s="43">
        <v>20</v>
      </c>
      <c r="I8" s="43">
        <v>20</v>
      </c>
      <c r="J8" s="43">
        <v>20</v>
      </c>
    </row>
    <row r="9" spans="2:15" x14ac:dyDescent="0.35">
      <c r="B9" s="33" t="s">
        <v>374</v>
      </c>
      <c r="C9" s="37">
        <v>2111.9499999999998</v>
      </c>
      <c r="D9" s="37">
        <f>1940+490+48+152</f>
        <v>2630</v>
      </c>
      <c r="E9" s="37">
        <v>3391</v>
      </c>
      <c r="F9" s="37">
        <v>4348</v>
      </c>
      <c r="G9" s="37">
        <f>2214+208.8</f>
        <v>2422.8000000000002</v>
      </c>
      <c r="H9" s="37">
        <v>2474</v>
      </c>
      <c r="I9" s="37">
        <v>2111.9499999999998</v>
      </c>
      <c r="J9" s="37">
        <f>2234.94+399.8</f>
        <v>2634.7400000000002</v>
      </c>
    </row>
    <row r="10" spans="2:15" x14ac:dyDescent="0.35">
      <c r="B10" s="33" t="s">
        <v>375</v>
      </c>
      <c r="C10" s="37">
        <v>1734.15</v>
      </c>
      <c r="D10" s="37">
        <f>299.5+1006</f>
        <v>1305.5</v>
      </c>
      <c r="E10" s="37">
        <v>0</v>
      </c>
      <c r="F10" s="37"/>
      <c r="G10" s="37">
        <v>818.45</v>
      </c>
      <c r="H10" s="37">
        <v>1154</v>
      </c>
      <c r="I10" s="37">
        <v>1734.15</v>
      </c>
      <c r="J10" s="37">
        <f>1046.16</f>
        <v>1046.1600000000001</v>
      </c>
    </row>
    <row r="11" spans="2:15" x14ac:dyDescent="0.35">
      <c r="B11" s="33" t="s">
        <v>376</v>
      </c>
      <c r="C11" s="37">
        <v>876.9</v>
      </c>
      <c r="D11" s="37">
        <f>146+643</f>
        <v>789</v>
      </c>
      <c r="E11" s="37">
        <v>0</v>
      </c>
      <c r="F11" s="37"/>
      <c r="G11" s="37">
        <v>482.8</v>
      </c>
      <c r="H11" s="37">
        <v>625</v>
      </c>
      <c r="I11" s="37">
        <v>876.9</v>
      </c>
      <c r="J11" s="37">
        <f>689.31</f>
        <v>689.31</v>
      </c>
    </row>
    <row r="12" spans="2:15" x14ac:dyDescent="0.35">
      <c r="B12" s="33" t="s">
        <v>377</v>
      </c>
      <c r="C12" s="34">
        <f>SUM(C9:C11)</f>
        <v>4723</v>
      </c>
      <c r="D12" s="34">
        <f t="shared" ref="D12:G12" si="0">SUM(D9:D11)</f>
        <v>4724.5</v>
      </c>
      <c r="E12" s="34">
        <f t="shared" ref="E12:F12" si="1">SUM(E9:E11)</f>
        <v>3391</v>
      </c>
      <c r="F12" s="34">
        <f t="shared" si="1"/>
        <v>4348</v>
      </c>
      <c r="G12" s="34">
        <f t="shared" si="0"/>
        <v>3724.05</v>
      </c>
      <c r="H12" s="34">
        <f>SUM(H9:H11)</f>
        <v>4253</v>
      </c>
      <c r="I12" s="34">
        <f>SUM(I9:I11)</f>
        <v>4723</v>
      </c>
      <c r="J12" s="34">
        <f>SUM(J9:J11)</f>
        <v>4370.2100000000009</v>
      </c>
      <c r="O12" t="str">
        <f>INDEX($C$1:$J$1,1,MATCH((MIN(C12,G12:J12)),C12:J12,0))</f>
        <v>China Taiping 
I-Secure Legacy (II)</v>
      </c>
    </row>
    <row r="13" spans="2:15" x14ac:dyDescent="0.35">
      <c r="B13" s="33" t="s">
        <v>378</v>
      </c>
      <c r="C13" s="34">
        <f t="shared" ref="C13" si="2">C9*C$8</f>
        <v>42239</v>
      </c>
      <c r="D13" s="34">
        <f>D9*D$8</f>
        <v>52600</v>
      </c>
      <c r="E13" s="34">
        <f t="shared" ref="E13:J16" si="3">E9*E$8</f>
        <v>67820</v>
      </c>
      <c r="F13" s="34">
        <f t="shared" si="3"/>
        <v>86960</v>
      </c>
      <c r="G13" s="34">
        <f t="shared" si="3"/>
        <v>48456</v>
      </c>
      <c r="H13" s="34">
        <f t="shared" si="3"/>
        <v>49480</v>
      </c>
      <c r="I13" s="34">
        <f t="shared" si="3"/>
        <v>42239</v>
      </c>
      <c r="J13" s="34">
        <f t="shared" si="3"/>
        <v>52694.8</v>
      </c>
      <c r="O13" t="str">
        <f>INDEX($C$1:$J$1,1,MATCH((MIN(C13:J13)),C13:J13,0))</f>
        <v>Income 
Complete Life Secure</v>
      </c>
    </row>
    <row r="14" spans="2:15" x14ac:dyDescent="0.35">
      <c r="B14" s="33" t="s">
        <v>379</v>
      </c>
      <c r="C14" s="34">
        <f t="shared" ref="C14" si="4">C10*C$8</f>
        <v>34683</v>
      </c>
      <c r="D14" s="34">
        <f t="shared" ref="D14:J16" si="5">D10*D$8</f>
        <v>26110</v>
      </c>
      <c r="E14" s="34">
        <f t="shared" si="3"/>
        <v>0</v>
      </c>
      <c r="F14" s="34">
        <f t="shared" si="3"/>
        <v>0</v>
      </c>
      <c r="G14" s="34">
        <f t="shared" si="5"/>
        <v>16369</v>
      </c>
      <c r="H14" s="34">
        <f t="shared" si="5"/>
        <v>23080</v>
      </c>
      <c r="I14" s="34">
        <f t="shared" si="3"/>
        <v>34683</v>
      </c>
      <c r="J14" s="34">
        <f t="shared" si="5"/>
        <v>20923.2</v>
      </c>
      <c r="O14" t="str">
        <f>INDEX($C$1:$J$1,1,MATCH((MIN(C14,G14:J14)),C14:J14,0))</f>
        <v>China Taiping 
I-Secure Legacy (II)</v>
      </c>
    </row>
    <row r="15" spans="2:15" x14ac:dyDescent="0.35">
      <c r="B15" s="33" t="s">
        <v>380</v>
      </c>
      <c r="C15" s="34">
        <f t="shared" ref="C15" si="6">C11*C$8</f>
        <v>17538</v>
      </c>
      <c r="D15" s="34">
        <f t="shared" si="5"/>
        <v>15780</v>
      </c>
      <c r="E15" s="34">
        <f t="shared" si="3"/>
        <v>0</v>
      </c>
      <c r="F15" s="34">
        <f t="shared" si="3"/>
        <v>0</v>
      </c>
      <c r="G15" s="34">
        <f t="shared" si="5"/>
        <v>9656</v>
      </c>
      <c r="H15" s="34">
        <f t="shared" si="5"/>
        <v>12500</v>
      </c>
      <c r="I15" s="34">
        <f t="shared" si="3"/>
        <v>17538</v>
      </c>
      <c r="J15" s="34">
        <f t="shared" si="5"/>
        <v>13786.199999999999</v>
      </c>
      <c r="O15" t="str">
        <f>INDEX($C$1:$J$1,1,MATCH((MIN(C15,G15:J15)),C15:J15,0))</f>
        <v>China Taiping 
I-Secure Legacy (II)</v>
      </c>
    </row>
    <row r="16" spans="2:15" x14ac:dyDescent="0.35">
      <c r="B16" s="33" t="s">
        <v>381</v>
      </c>
      <c r="C16" s="34">
        <f t="shared" ref="C16" si="7">C12*C$8</f>
        <v>94460</v>
      </c>
      <c r="D16" s="34">
        <f t="shared" si="5"/>
        <v>94490</v>
      </c>
      <c r="E16" s="34">
        <f t="shared" si="3"/>
        <v>67820</v>
      </c>
      <c r="F16" s="34">
        <f t="shared" si="3"/>
        <v>86960</v>
      </c>
      <c r="G16" s="34">
        <f t="shared" si="5"/>
        <v>74481</v>
      </c>
      <c r="H16" s="34">
        <f t="shared" si="5"/>
        <v>85060</v>
      </c>
      <c r="I16" s="34">
        <f t="shared" si="3"/>
        <v>94460</v>
      </c>
      <c r="J16" s="34">
        <f t="shared" si="5"/>
        <v>87404.200000000012</v>
      </c>
      <c r="O16" t="str">
        <f>INDEX($C$1:$J$1,1,MATCH((MIN(C16,G16:J16)),C16:J16,0))</f>
        <v>China Taiping 
I-Secure Legacy (II)</v>
      </c>
    </row>
    <row r="17" spans="2:15" x14ac:dyDescent="0.35">
      <c r="B17" s="63" t="s">
        <v>18</v>
      </c>
      <c r="C17" s="64"/>
      <c r="D17" s="64"/>
      <c r="E17" s="65"/>
      <c r="F17" s="65"/>
      <c r="G17" s="64"/>
      <c r="H17" s="64"/>
      <c r="I17" s="64"/>
      <c r="J17" s="64"/>
    </row>
    <row r="18" spans="2:15" x14ac:dyDescent="0.35">
      <c r="B18" s="33" t="s">
        <v>382</v>
      </c>
      <c r="C18" s="37">
        <v>300000</v>
      </c>
      <c r="D18" s="37">
        <v>300000</v>
      </c>
      <c r="E18" s="37">
        <v>300000</v>
      </c>
      <c r="F18" s="37">
        <v>300000</v>
      </c>
      <c r="G18" s="37">
        <v>300000</v>
      </c>
      <c r="H18" s="37">
        <v>300000</v>
      </c>
      <c r="I18" s="37">
        <v>300000</v>
      </c>
      <c r="J18" s="37">
        <v>300000</v>
      </c>
    </row>
    <row r="19" spans="2:15" x14ac:dyDescent="0.35">
      <c r="B19" s="33" t="s">
        <v>383</v>
      </c>
      <c r="C19" s="37">
        <v>150000</v>
      </c>
      <c r="D19" s="37">
        <v>150000</v>
      </c>
      <c r="E19" s="37">
        <v>0</v>
      </c>
      <c r="F19" s="37">
        <v>0</v>
      </c>
      <c r="G19" s="37">
        <v>150000</v>
      </c>
      <c r="H19" s="37">
        <v>150000</v>
      </c>
      <c r="I19" s="37">
        <v>150000</v>
      </c>
      <c r="J19" s="37">
        <v>150000</v>
      </c>
    </row>
    <row r="20" spans="2:15" x14ac:dyDescent="0.35">
      <c r="B20" s="33" t="s">
        <v>384</v>
      </c>
      <c r="C20" s="37">
        <v>150000</v>
      </c>
      <c r="D20" s="37">
        <v>150000</v>
      </c>
      <c r="E20" s="37">
        <v>0</v>
      </c>
      <c r="F20" s="37">
        <v>300000</v>
      </c>
      <c r="G20" s="37">
        <v>150000</v>
      </c>
      <c r="H20" s="37">
        <v>150000</v>
      </c>
      <c r="I20" s="37">
        <v>150000</v>
      </c>
      <c r="J20" s="37">
        <v>150000</v>
      </c>
    </row>
    <row r="21" spans="2:15" x14ac:dyDescent="0.35">
      <c r="B21" s="55" t="s">
        <v>385</v>
      </c>
      <c r="C21" s="38">
        <f t="shared" ref="C21" si="8">C18/C9</f>
        <v>142.0488174435948</v>
      </c>
      <c r="D21" s="38">
        <f t="shared" ref="D21:J23" si="9">D18/D9</f>
        <v>114.06844106463879</v>
      </c>
      <c r="E21" s="38">
        <f t="shared" si="9"/>
        <v>88.469478030079628</v>
      </c>
      <c r="F21" s="38">
        <f t="shared" si="9"/>
        <v>68.99724011039558</v>
      </c>
      <c r="G21" s="38">
        <f t="shared" si="9"/>
        <v>123.82367508667656</v>
      </c>
      <c r="H21" s="38">
        <f t="shared" si="9"/>
        <v>121.26111560226354</v>
      </c>
      <c r="I21" s="38">
        <f t="shared" si="9"/>
        <v>142.0488174435948</v>
      </c>
      <c r="J21" s="38">
        <f t="shared" si="9"/>
        <v>113.86322749113764</v>
      </c>
      <c r="O21" t="str">
        <f>INDEX($C$1:$J$1,1,MATCH((MAX(C21:J21)),C21:J21,0))</f>
        <v>Income 
Complete Life Secure</v>
      </c>
    </row>
    <row r="22" spans="2:15" x14ac:dyDescent="0.35">
      <c r="B22" s="55" t="s">
        <v>386</v>
      </c>
      <c r="C22" s="38">
        <f t="shared" ref="C22" si="10">C19/C10</f>
        <v>86.497707810743009</v>
      </c>
      <c r="D22" s="38">
        <f t="shared" si="9"/>
        <v>114.89850631941785</v>
      </c>
      <c r="E22" s="38" t="s">
        <v>63</v>
      </c>
      <c r="F22" s="38" t="s">
        <v>63</v>
      </c>
      <c r="G22" s="38">
        <f t="shared" si="9"/>
        <v>183.27326043130307</v>
      </c>
      <c r="H22" s="38">
        <f t="shared" si="9"/>
        <v>129.98266897746967</v>
      </c>
      <c r="I22" s="38">
        <f t="shared" si="9"/>
        <v>86.497707810743009</v>
      </c>
      <c r="J22" s="38">
        <f t="shared" si="9"/>
        <v>143.38150952053223</v>
      </c>
      <c r="O22" t="str">
        <f>INDEX($C$1:$J$1,1,MATCH((MAX(C22, G22:J22)),C22:J22,0))</f>
        <v>China Taiping 
I-Secure Legacy (II)</v>
      </c>
    </row>
    <row r="23" spans="2:15" x14ac:dyDescent="0.35">
      <c r="B23" s="55" t="s">
        <v>387</v>
      </c>
      <c r="C23" s="38">
        <f t="shared" ref="C23" si="11">C20/C11</f>
        <v>171.05713308244955</v>
      </c>
      <c r="D23" s="38">
        <f t="shared" si="9"/>
        <v>190.11406844106463</v>
      </c>
      <c r="E23" s="38" t="s">
        <v>63</v>
      </c>
      <c r="F23" s="38" t="s">
        <v>63</v>
      </c>
      <c r="G23" s="38">
        <f t="shared" si="9"/>
        <v>310.68765534382766</v>
      </c>
      <c r="H23" s="38">
        <f t="shared" si="9"/>
        <v>240</v>
      </c>
      <c r="I23" s="38">
        <f t="shared" si="9"/>
        <v>171.05713308244955</v>
      </c>
      <c r="J23" s="38">
        <f t="shared" si="9"/>
        <v>217.6089132610872</v>
      </c>
      <c r="O23" t="str">
        <f>INDEX($C$1:$J$1,1,MATCH((MAX(C23, G23:J23)),C23:J23,0))</f>
        <v>China Taiping 
I-Secure Legacy (II)</v>
      </c>
    </row>
    <row r="24" spans="2:15" x14ac:dyDescent="0.35">
      <c r="B24" s="63" t="s">
        <v>425</v>
      </c>
      <c r="C24" s="64"/>
      <c r="D24" s="64"/>
      <c r="E24" s="65"/>
      <c r="F24" s="65"/>
      <c r="G24" s="64"/>
      <c r="H24" s="64"/>
      <c r="I24" s="64"/>
      <c r="J24" s="64"/>
    </row>
    <row r="25" spans="2:15" x14ac:dyDescent="0.35">
      <c r="B25" s="33" t="s">
        <v>388</v>
      </c>
      <c r="C25" s="37">
        <v>300000</v>
      </c>
      <c r="D25" s="37">
        <v>300000</v>
      </c>
      <c r="E25" s="37">
        <v>300000</v>
      </c>
      <c r="F25" s="37">
        <v>300000</v>
      </c>
      <c r="G25" s="37">
        <v>300000</v>
      </c>
      <c r="H25" s="37">
        <v>300000</v>
      </c>
      <c r="I25" s="37">
        <v>300000</v>
      </c>
      <c r="J25" s="37">
        <v>300000</v>
      </c>
    </row>
    <row r="26" spans="2:15" x14ac:dyDescent="0.35">
      <c r="B26" s="33" t="s">
        <v>389</v>
      </c>
      <c r="C26" s="37">
        <v>300000</v>
      </c>
      <c r="D26" s="37">
        <v>362558</v>
      </c>
      <c r="E26" s="37">
        <v>300000</v>
      </c>
      <c r="F26" s="37">
        <v>300000</v>
      </c>
      <c r="G26" s="37">
        <v>300000</v>
      </c>
      <c r="H26" s="37">
        <v>300000</v>
      </c>
      <c r="I26" s="37">
        <v>300000</v>
      </c>
      <c r="J26" s="37">
        <v>300000</v>
      </c>
    </row>
    <row r="27" spans="2:15" x14ac:dyDescent="0.35">
      <c r="B27" s="33" t="s">
        <v>390</v>
      </c>
      <c r="C27" s="37">
        <v>35900</v>
      </c>
      <c r="D27" s="37">
        <v>52500</v>
      </c>
      <c r="E27" s="37">
        <v>39450</v>
      </c>
      <c r="F27" s="37">
        <v>32520</v>
      </c>
      <c r="G27" s="37">
        <v>47700</v>
      </c>
      <c r="H27" s="37">
        <v>33000</v>
      </c>
      <c r="I27" s="37">
        <v>35900</v>
      </c>
      <c r="J27" s="37">
        <v>29800</v>
      </c>
    </row>
    <row r="28" spans="2:15" x14ac:dyDescent="0.35">
      <c r="B28" s="33" t="s">
        <v>391</v>
      </c>
      <c r="C28" s="37">
        <v>87259</v>
      </c>
      <c r="D28" s="37">
        <v>92852</v>
      </c>
      <c r="E28" s="37">
        <v>85326</v>
      </c>
      <c r="F28" s="37">
        <v>70337</v>
      </c>
      <c r="G28" s="37">
        <v>79541</v>
      </c>
      <c r="H28" s="37">
        <v>64829</v>
      </c>
      <c r="I28" s="37">
        <v>87259</v>
      </c>
      <c r="J28" s="37">
        <v>95237</v>
      </c>
    </row>
    <row r="29" spans="2:15" x14ac:dyDescent="0.35">
      <c r="B29" s="55" t="s">
        <v>392</v>
      </c>
      <c r="C29" s="38">
        <f t="shared" ref="C29" si="12">C25/C$13</f>
        <v>7.1024408721797387</v>
      </c>
      <c r="D29" s="38">
        <f t="shared" ref="D29:J32" si="13">D25/D$13</f>
        <v>5.7034220532319395</v>
      </c>
      <c r="E29" s="38">
        <f t="shared" si="13"/>
        <v>4.4234739015039812</v>
      </c>
      <c r="F29" s="38">
        <f t="shared" si="13"/>
        <v>3.4498620055197793</v>
      </c>
      <c r="G29" s="38">
        <f t="shared" si="13"/>
        <v>6.1911837543338288</v>
      </c>
      <c r="H29" s="38">
        <f t="shared" si="13"/>
        <v>6.063055780113177</v>
      </c>
      <c r="I29" s="38">
        <f t="shared" si="13"/>
        <v>7.1024408721797387</v>
      </c>
      <c r="J29" s="38">
        <f t="shared" si="13"/>
        <v>5.6931613745568823</v>
      </c>
      <c r="O29" t="str">
        <f>INDEX($C$1:$J$1,1,MATCH((MAX(C29:J29)),C29:J29,0))</f>
        <v>Income 
Complete Life Secure</v>
      </c>
    </row>
    <row r="30" spans="2:15" x14ac:dyDescent="0.35">
      <c r="B30" s="55" t="s">
        <v>393</v>
      </c>
      <c r="C30" s="38">
        <f t="shared" ref="C30" si="14">C26/C$13</f>
        <v>7.1024408721797387</v>
      </c>
      <c r="D30" s="38">
        <f t="shared" si="13"/>
        <v>6.8927376425855513</v>
      </c>
      <c r="E30" s="38">
        <f t="shared" si="13"/>
        <v>4.4234739015039812</v>
      </c>
      <c r="F30" s="38">
        <f t="shared" si="13"/>
        <v>3.4498620055197793</v>
      </c>
      <c r="G30" s="38">
        <f t="shared" si="13"/>
        <v>6.1911837543338288</v>
      </c>
      <c r="H30" s="38">
        <f t="shared" si="13"/>
        <v>6.063055780113177</v>
      </c>
      <c r="I30" s="38">
        <f t="shared" si="13"/>
        <v>7.1024408721797387</v>
      </c>
      <c r="J30" s="38">
        <f t="shared" si="13"/>
        <v>5.6931613745568823</v>
      </c>
      <c r="O30" t="str">
        <f>INDEX($C$1:$J$1,1,MATCH((MAX(C30:J30)),C30:J30,0))</f>
        <v>Income 
Complete Life Secure</v>
      </c>
    </row>
    <row r="31" spans="2:15" x14ac:dyDescent="0.35">
      <c r="B31" s="55" t="s">
        <v>394</v>
      </c>
      <c r="C31" s="38">
        <f t="shared" ref="C31" si="15">C27/C$13</f>
        <v>0.84992542437084206</v>
      </c>
      <c r="D31" s="38">
        <f t="shared" si="13"/>
        <v>0.99809885931558939</v>
      </c>
      <c r="E31" s="38">
        <f t="shared" si="13"/>
        <v>0.58168681804777356</v>
      </c>
      <c r="F31" s="38">
        <f t="shared" si="13"/>
        <v>0.37396504139834408</v>
      </c>
      <c r="G31" s="38">
        <f t="shared" si="13"/>
        <v>0.98439821693907881</v>
      </c>
      <c r="H31" s="38">
        <f t="shared" si="13"/>
        <v>0.66693613581244948</v>
      </c>
      <c r="I31" s="38">
        <f t="shared" si="13"/>
        <v>0.84992542437084206</v>
      </c>
      <c r="J31" s="38">
        <f t="shared" si="13"/>
        <v>0.56552069653931691</v>
      </c>
      <c r="O31" t="str">
        <f>INDEX($C$1:$J$1,1,MATCH((MAX(C31:J31)),C31:J31,0))</f>
        <v>Singlife 
Whole Life Choice</v>
      </c>
    </row>
    <row r="32" spans="2:15" x14ac:dyDescent="0.35">
      <c r="B32" s="55" t="s">
        <v>395</v>
      </c>
      <c r="C32" s="38">
        <f t="shared" ref="C32" si="16">C28/C$13</f>
        <v>2.065839626885106</v>
      </c>
      <c r="D32" s="38">
        <f t="shared" si="13"/>
        <v>1.7652471482889733</v>
      </c>
      <c r="E32" s="38">
        <f t="shared" si="13"/>
        <v>1.2581244470657622</v>
      </c>
      <c r="F32" s="38">
        <f t="shared" si="13"/>
        <v>0.80884314627414899</v>
      </c>
      <c r="G32" s="38">
        <f t="shared" si="13"/>
        <v>1.6415098233448902</v>
      </c>
      <c r="H32" s="38">
        <f t="shared" si="13"/>
        <v>1.3102061438965238</v>
      </c>
      <c r="I32" s="38">
        <f t="shared" si="13"/>
        <v>2.065839626885106</v>
      </c>
      <c r="J32" s="38">
        <f t="shared" si="13"/>
        <v>1.807332032762246</v>
      </c>
      <c r="O32" t="str">
        <f>INDEX($C$1:$J$1,1,MATCH((MAX(C32:J32)),C32:J32,0))</f>
        <v>Income 
Complete Life Secure</v>
      </c>
    </row>
    <row r="33" spans="2:15" x14ac:dyDescent="0.35">
      <c r="B33" s="63" t="s">
        <v>41</v>
      </c>
      <c r="C33" s="64"/>
      <c r="D33" s="64"/>
      <c r="E33" s="65"/>
      <c r="F33" s="65"/>
      <c r="G33" s="64"/>
      <c r="H33" s="64"/>
      <c r="I33" s="64"/>
      <c r="J33" s="64"/>
    </row>
    <row r="34" spans="2:15" x14ac:dyDescent="0.35">
      <c r="B34" s="33" t="s">
        <v>388</v>
      </c>
      <c r="C34" s="37">
        <v>100000</v>
      </c>
      <c r="D34" s="37">
        <v>175000</v>
      </c>
      <c r="E34" s="37">
        <v>300000</v>
      </c>
      <c r="F34" s="37">
        <v>300000</v>
      </c>
      <c r="G34" s="37">
        <v>300000</v>
      </c>
      <c r="H34" s="37">
        <v>150000</v>
      </c>
      <c r="I34" s="37">
        <v>100000</v>
      </c>
      <c r="J34" s="37">
        <v>100000</v>
      </c>
    </row>
    <row r="35" spans="2:15" x14ac:dyDescent="0.35">
      <c r="B35" s="33" t="s">
        <v>389</v>
      </c>
      <c r="C35" s="37">
        <v>272024</v>
      </c>
      <c r="D35" s="37">
        <v>309142</v>
      </c>
      <c r="E35" s="37">
        <v>342056</v>
      </c>
      <c r="F35" s="37">
        <v>342056</v>
      </c>
      <c r="G35" s="37">
        <v>300000</v>
      </c>
      <c r="H35" s="37">
        <v>255600</v>
      </c>
      <c r="I35" s="37">
        <v>272024</v>
      </c>
      <c r="J35" s="37">
        <v>276724</v>
      </c>
    </row>
    <row r="36" spans="2:15" x14ac:dyDescent="0.35">
      <c r="B36" s="33" t="s">
        <v>390</v>
      </c>
      <c r="C36" s="37">
        <v>63400</v>
      </c>
      <c r="D36" s="37">
        <v>81300</v>
      </c>
      <c r="E36" s="37">
        <v>70970</v>
      </c>
      <c r="F36" s="37">
        <v>65430</v>
      </c>
      <c r="G36" s="37">
        <v>75500</v>
      </c>
      <c r="H36" s="37">
        <v>56400</v>
      </c>
      <c r="I36" s="37">
        <v>63400</v>
      </c>
      <c r="J36" s="37">
        <v>43000</v>
      </c>
    </row>
    <row r="37" spans="2:15" x14ac:dyDescent="0.35">
      <c r="B37" s="33" t="s">
        <v>391</v>
      </c>
      <c r="C37" s="37">
        <v>213487</v>
      </c>
      <c r="D37" s="37">
        <v>196409</v>
      </c>
      <c r="E37" s="37">
        <v>242757</v>
      </c>
      <c r="F37" s="37">
        <v>223807</v>
      </c>
      <c r="G37" s="37">
        <v>184969</v>
      </c>
      <c r="H37" s="37">
        <v>164870</v>
      </c>
      <c r="I37" s="37">
        <v>213487</v>
      </c>
      <c r="J37" s="37">
        <v>184622</v>
      </c>
    </row>
    <row r="38" spans="2:15" x14ac:dyDescent="0.35">
      <c r="B38" s="55" t="s">
        <v>392</v>
      </c>
      <c r="C38" s="38">
        <f t="shared" ref="C38" si="17">C34/C$13</f>
        <v>2.3674802907265797</v>
      </c>
      <c r="D38" s="38">
        <f t="shared" ref="D38:J41" si="18">D34/D$13</f>
        <v>3.3269961977186311</v>
      </c>
      <c r="E38" s="38">
        <f t="shared" si="18"/>
        <v>4.4234739015039812</v>
      </c>
      <c r="F38" s="38">
        <f t="shared" si="18"/>
        <v>3.4498620055197793</v>
      </c>
      <c r="G38" s="38">
        <f t="shared" si="18"/>
        <v>6.1911837543338288</v>
      </c>
      <c r="H38" s="38">
        <f t="shared" si="18"/>
        <v>3.0315278900565885</v>
      </c>
      <c r="I38" s="38">
        <f t="shared" si="18"/>
        <v>2.3674802907265797</v>
      </c>
      <c r="J38" s="38">
        <f t="shared" si="18"/>
        <v>1.8977204581856273</v>
      </c>
      <c r="O38" t="str">
        <f>INDEX($C$1:$J$1,1,MATCH((MAX(C38:J38)),C38:J38,0))</f>
        <v>China Taiping 
I-Secure Legacy (II)</v>
      </c>
    </row>
    <row r="39" spans="2:15" x14ac:dyDescent="0.35">
      <c r="B39" s="55" t="s">
        <v>393</v>
      </c>
      <c r="C39" s="38">
        <f t="shared" ref="C39" si="19">C35/C$13</f>
        <v>6.4401145860460716</v>
      </c>
      <c r="D39" s="38">
        <f t="shared" si="18"/>
        <v>5.8772243346007604</v>
      </c>
      <c r="E39" s="38">
        <f t="shared" si="18"/>
        <v>5.043585962842819</v>
      </c>
      <c r="F39" s="38">
        <f t="shared" si="18"/>
        <v>3.9334866605335788</v>
      </c>
      <c r="G39" s="38">
        <f t="shared" si="18"/>
        <v>6.1911837543338288</v>
      </c>
      <c r="H39" s="38">
        <f t="shared" si="18"/>
        <v>5.1657235246564266</v>
      </c>
      <c r="I39" s="38">
        <f t="shared" si="18"/>
        <v>6.4401145860460716</v>
      </c>
      <c r="J39" s="38">
        <f t="shared" si="18"/>
        <v>5.2514479607095952</v>
      </c>
      <c r="O39" t="str">
        <f>INDEX($C$1:$J$1,1,MATCH((MAX(C39:J39)),C39:J39,0))</f>
        <v>Income 
Complete Life Secure</v>
      </c>
    </row>
    <row r="40" spans="2:15" x14ac:dyDescent="0.35">
      <c r="B40" s="55" t="s">
        <v>394</v>
      </c>
      <c r="C40" s="38">
        <f t="shared" ref="C40" si="20">C36/C$13</f>
        <v>1.5009825043206515</v>
      </c>
      <c r="D40" s="38">
        <f t="shared" si="18"/>
        <v>1.5456273764258555</v>
      </c>
      <c r="E40" s="38">
        <f t="shared" si="18"/>
        <v>1.0464464759657919</v>
      </c>
      <c r="F40" s="38">
        <f t="shared" si="18"/>
        <v>0.75241490340386386</v>
      </c>
      <c r="G40" s="38">
        <f t="shared" si="18"/>
        <v>1.5581145781740136</v>
      </c>
      <c r="H40" s="38">
        <f t="shared" si="18"/>
        <v>1.1398544866612772</v>
      </c>
      <c r="I40" s="38">
        <f t="shared" si="18"/>
        <v>1.5009825043206515</v>
      </c>
      <c r="J40" s="38">
        <f t="shared" si="18"/>
        <v>0.81601979701981975</v>
      </c>
      <c r="O40" t="str">
        <f>INDEX($C$1:$J$1,1,MATCH((MAX(C40:J40)),C40:J40,0))</f>
        <v>China Taiping 
I-Secure Legacy (II)</v>
      </c>
    </row>
    <row r="41" spans="2:15" x14ac:dyDescent="0.35">
      <c r="B41" s="55" t="s">
        <v>395</v>
      </c>
      <c r="C41" s="38">
        <f t="shared" ref="C41" si="21">C37/C$13</f>
        <v>5.0542626482634532</v>
      </c>
      <c r="D41" s="38">
        <f t="shared" si="18"/>
        <v>3.7340114068441066</v>
      </c>
      <c r="E41" s="38">
        <f t="shared" si="18"/>
        <v>3.5794308463580067</v>
      </c>
      <c r="F41" s="38">
        <f t="shared" si="18"/>
        <v>2.5736775528978839</v>
      </c>
      <c r="G41" s="38">
        <f t="shared" si="18"/>
        <v>3.8172568928512467</v>
      </c>
      <c r="H41" s="38">
        <f t="shared" si="18"/>
        <v>3.3320533548908648</v>
      </c>
      <c r="I41" s="38">
        <f t="shared" si="18"/>
        <v>5.0542626482634532</v>
      </c>
      <c r="J41" s="38">
        <f t="shared" si="18"/>
        <v>3.5036094643114688</v>
      </c>
      <c r="O41" t="str">
        <f>INDEX($C$1:$J$1,1,MATCH((MAX(C41:J41)),C41:J41,0))</f>
        <v>Income 
Complete Life Secure</v>
      </c>
    </row>
    <row r="42" spans="2:15" x14ac:dyDescent="0.35">
      <c r="B42" s="63" t="s">
        <v>430</v>
      </c>
      <c r="C42" s="64"/>
      <c r="D42" s="64"/>
      <c r="E42" s="65"/>
      <c r="F42" s="65"/>
      <c r="G42" s="64"/>
      <c r="H42" s="64"/>
      <c r="I42" s="64"/>
      <c r="J42" s="64"/>
    </row>
    <row r="43" spans="2:15" x14ac:dyDescent="0.35">
      <c r="B43" s="33" t="s">
        <v>388</v>
      </c>
      <c r="C43" s="37">
        <v>100000</v>
      </c>
      <c r="D43" s="37">
        <v>100000</v>
      </c>
      <c r="E43" s="37">
        <v>100000</v>
      </c>
      <c r="F43" s="37">
        <v>100000</v>
      </c>
      <c r="G43" s="37">
        <v>180000</v>
      </c>
      <c r="H43" s="37">
        <v>150000</v>
      </c>
      <c r="I43" s="37">
        <v>100000</v>
      </c>
      <c r="J43" s="37">
        <v>100000</v>
      </c>
    </row>
    <row r="44" spans="2:15" x14ac:dyDescent="0.35">
      <c r="B44" s="33" t="s">
        <v>389</v>
      </c>
      <c r="C44" s="37">
        <v>298850</v>
      </c>
      <c r="D44" s="37">
        <v>255238</v>
      </c>
      <c r="E44" s="37">
        <v>385142</v>
      </c>
      <c r="F44" s="37">
        <v>385142</v>
      </c>
      <c r="G44" s="37">
        <v>274425</v>
      </c>
      <c r="H44" s="37">
        <v>285070</v>
      </c>
      <c r="I44" s="37">
        <v>298850</v>
      </c>
      <c r="J44" s="37">
        <v>296482</v>
      </c>
    </row>
    <row r="45" spans="2:15" x14ac:dyDescent="0.35">
      <c r="B45" s="33" t="s">
        <v>390</v>
      </c>
      <c r="C45" s="37">
        <v>69400</v>
      </c>
      <c r="D45" s="37">
        <v>87800</v>
      </c>
      <c r="E45" s="37">
        <v>78360</v>
      </c>
      <c r="F45" s="37">
        <v>74160</v>
      </c>
      <c r="G45" s="37">
        <v>80700</v>
      </c>
      <c r="H45" s="37">
        <v>59200</v>
      </c>
      <c r="I45" s="37">
        <v>69400</v>
      </c>
      <c r="J45" s="37">
        <v>45700</v>
      </c>
    </row>
    <row r="46" spans="2:15" x14ac:dyDescent="0.35">
      <c r="B46" s="33" t="s">
        <v>391</v>
      </c>
      <c r="C46" s="37">
        <v>250982</v>
      </c>
      <c r="D46" s="37">
        <v>228104</v>
      </c>
      <c r="E46" s="37">
        <v>301797</v>
      </c>
      <c r="F46" s="37">
        <v>285621</v>
      </c>
      <c r="G46" s="37">
        <v>221460</v>
      </c>
      <c r="H46" s="37">
        <v>190067</v>
      </c>
      <c r="I46" s="37">
        <v>250982</v>
      </c>
      <c r="J46" s="37">
        <v>209484</v>
      </c>
    </row>
    <row r="47" spans="2:15" x14ac:dyDescent="0.35">
      <c r="B47" s="55" t="s">
        <v>392</v>
      </c>
      <c r="C47" s="38">
        <f t="shared" ref="C47" si="22">C43/C$13</f>
        <v>2.3674802907265797</v>
      </c>
      <c r="D47" s="38">
        <f t="shared" ref="D47:J50" si="23">D43/D$13</f>
        <v>1.9011406844106464</v>
      </c>
      <c r="E47" s="38">
        <f t="shared" si="23"/>
        <v>1.4744913005013272</v>
      </c>
      <c r="F47" s="38">
        <f t="shared" si="23"/>
        <v>1.1499540018399264</v>
      </c>
      <c r="G47" s="38">
        <f t="shared" si="23"/>
        <v>3.7147102526002973</v>
      </c>
      <c r="H47" s="38">
        <f t="shared" si="23"/>
        <v>3.0315278900565885</v>
      </c>
      <c r="I47" s="38">
        <f t="shared" si="23"/>
        <v>2.3674802907265797</v>
      </c>
      <c r="J47" s="38">
        <f t="shared" si="23"/>
        <v>1.8977204581856273</v>
      </c>
      <c r="O47" t="str">
        <f>INDEX($C$1:$J$1,1,MATCH((MAX(C47:J47)),C47:J47,0))</f>
        <v>China Taiping 
I-Secure Legacy (II)</v>
      </c>
    </row>
    <row r="48" spans="2:15" x14ac:dyDescent="0.35">
      <c r="B48" s="55" t="s">
        <v>393</v>
      </c>
      <c r="C48" s="38">
        <f t="shared" ref="C48" si="24">C44/C$13</f>
        <v>7.0752148488363833</v>
      </c>
      <c r="D48" s="38">
        <f t="shared" si="23"/>
        <v>4.8524334600760453</v>
      </c>
      <c r="E48" s="38">
        <f t="shared" si="23"/>
        <v>5.678885284576821</v>
      </c>
      <c r="F48" s="38">
        <f t="shared" si="23"/>
        <v>4.4289558417663297</v>
      </c>
      <c r="G48" s="38">
        <f t="shared" si="23"/>
        <v>5.6633853392768696</v>
      </c>
      <c r="H48" s="38">
        <f t="shared" si="23"/>
        <v>5.7613177041228782</v>
      </c>
      <c r="I48" s="38">
        <f t="shared" si="23"/>
        <v>7.0752148488363833</v>
      </c>
      <c r="J48" s="38">
        <f t="shared" si="23"/>
        <v>5.6263995688379111</v>
      </c>
      <c r="O48" t="str">
        <f>INDEX($C$1:$J$1,1,MATCH((MAX(C48:J48)),C48:J48,0))</f>
        <v>Income 
Complete Life Secure</v>
      </c>
    </row>
    <row r="49" spans="2:15" x14ac:dyDescent="0.35">
      <c r="B49" s="55" t="s">
        <v>394</v>
      </c>
      <c r="C49" s="38">
        <f>C45/C$13</f>
        <v>1.6430313217642463</v>
      </c>
      <c r="D49" s="38">
        <f t="shared" si="23"/>
        <v>1.6692015209125475</v>
      </c>
      <c r="E49" s="38">
        <f t="shared" si="23"/>
        <v>1.1554113830728399</v>
      </c>
      <c r="F49" s="38">
        <f t="shared" si="23"/>
        <v>0.8528058877644894</v>
      </c>
      <c r="G49" s="38">
        <f t="shared" si="23"/>
        <v>1.6654284299158</v>
      </c>
      <c r="H49" s="38">
        <f t="shared" si="23"/>
        <v>1.1964430072756669</v>
      </c>
      <c r="I49" s="38">
        <f>I45/I$13</f>
        <v>1.6430313217642463</v>
      </c>
      <c r="J49" s="38">
        <f t="shared" si="23"/>
        <v>0.86725824939083174</v>
      </c>
      <c r="O49" t="str">
        <f>INDEX($C$1:$J$1,1,MATCH((MAX(C49:J49)),C49:J49,0))</f>
        <v>Singlife 
Whole Life Choice</v>
      </c>
    </row>
    <row r="50" spans="2:15" x14ac:dyDescent="0.35">
      <c r="B50" s="55" t="s">
        <v>395</v>
      </c>
      <c r="C50" s="38">
        <f>C46/C$13</f>
        <v>5.9419493832713846</v>
      </c>
      <c r="D50" s="38">
        <f t="shared" si="23"/>
        <v>4.3365779467680605</v>
      </c>
      <c r="E50" s="38">
        <f t="shared" si="23"/>
        <v>4.4499705101739897</v>
      </c>
      <c r="F50" s="38">
        <f t="shared" si="23"/>
        <v>3.284510119595216</v>
      </c>
      <c r="G50" s="38">
        <f t="shared" si="23"/>
        <v>4.570331847449232</v>
      </c>
      <c r="H50" s="38">
        <f t="shared" si="23"/>
        <v>3.8412894098625707</v>
      </c>
      <c r="I50" s="38">
        <f>I46/I$13</f>
        <v>5.9419493832713846</v>
      </c>
      <c r="J50" s="38">
        <f t="shared" si="23"/>
        <v>3.9754207246255797</v>
      </c>
      <c r="O50" t="str">
        <f>INDEX($C$1:$J$1,1,MATCH((MAX(C50:J50)),C50:J50,0))</f>
        <v>Income 
Complete Life Secure</v>
      </c>
    </row>
    <row r="51" spans="2:15" x14ac:dyDescent="0.35">
      <c r="B51" s="39" t="s">
        <v>43</v>
      </c>
      <c r="C51" s="40">
        <v>3.4000000000000002E-2</v>
      </c>
      <c r="D51" s="40">
        <v>2.8799999999999999E-2</v>
      </c>
      <c r="E51" s="40">
        <v>1.72E-2</v>
      </c>
      <c r="F51" s="40">
        <v>3.7000000000000002E-3</v>
      </c>
      <c r="G51" s="40">
        <v>2.53E-2</v>
      </c>
      <c r="H51" s="40">
        <v>1.95E-2</v>
      </c>
      <c r="I51" s="40">
        <v>3.4000000000000002E-2</v>
      </c>
      <c r="J51" s="40">
        <v>2.6800000000000001E-2</v>
      </c>
      <c r="O51" t="str">
        <f>INDEX($C$1:$J$1,1,MATCH((MAX(C51:J51)),C51:J51,0))</f>
        <v>Income 
Complete Life Secure</v>
      </c>
    </row>
  </sheetData>
  <conditionalFormatting sqref="C14:D14 G14:J14">
    <cfRule type="top10" dxfId="126" priority="1" bottom="1" rank="1"/>
    <cfRule type="top10" dxfId="125" priority="2" bottom="1" rank="2"/>
  </conditionalFormatting>
  <conditionalFormatting sqref="C15:D15 G15:J15">
    <cfRule type="top10" dxfId="124" priority="3" bottom="1" rank="1"/>
    <cfRule type="top10" dxfId="123" priority="4" bottom="1" rank="2"/>
  </conditionalFormatting>
  <conditionalFormatting sqref="C21:D21 G21:J21">
    <cfRule type="top10" dxfId="122" priority="5" rank="1"/>
    <cfRule type="top10" dxfId="121" priority="6" rank="2"/>
  </conditionalFormatting>
  <conditionalFormatting sqref="C22:D22 G22:J22">
    <cfRule type="top10" dxfId="120" priority="7" rank="1"/>
    <cfRule type="top10" dxfId="119" priority="8" rank="2"/>
  </conditionalFormatting>
  <conditionalFormatting sqref="C23:D23 G23:J23">
    <cfRule type="top10" dxfId="118" priority="9" rank="1"/>
    <cfRule type="top10" dxfId="117" priority="10" rank="2"/>
  </conditionalFormatting>
  <conditionalFormatting sqref="C12:J12">
    <cfRule type="top10" dxfId="116" priority="11" bottom="1" rank="1"/>
    <cfRule type="top10" dxfId="115" priority="12" bottom="1" rank="2"/>
  </conditionalFormatting>
  <conditionalFormatting sqref="C13:J13">
    <cfRule type="top10" dxfId="114" priority="13" bottom="1" rank="1"/>
    <cfRule type="top10" dxfId="113" priority="14" bottom="1" rank="2"/>
  </conditionalFormatting>
  <conditionalFormatting sqref="C16:J16">
    <cfRule type="top10" dxfId="112" priority="15" bottom="1" rank="1"/>
    <cfRule type="top10" dxfId="111" priority="16" bottom="1" rank="2"/>
  </conditionalFormatting>
  <conditionalFormatting sqref="C29:J29">
    <cfRule type="top10" dxfId="110" priority="17" rank="1"/>
    <cfRule type="top10" dxfId="109" priority="18" rank="2"/>
  </conditionalFormatting>
  <conditionalFormatting sqref="C30:J30">
    <cfRule type="top10" dxfId="108" priority="19" rank="1"/>
    <cfRule type="top10" dxfId="107" priority="20" rank="2"/>
  </conditionalFormatting>
  <conditionalFormatting sqref="C31:J31">
    <cfRule type="top10" dxfId="106" priority="21" rank="1"/>
    <cfRule type="top10" dxfId="105" priority="22" rank="2"/>
  </conditionalFormatting>
  <conditionalFormatting sqref="C32:J32">
    <cfRule type="top10" dxfId="104" priority="23" rank="1"/>
    <cfRule type="top10" dxfId="103" priority="24" rank="2"/>
  </conditionalFormatting>
  <conditionalFormatting sqref="C38:J38">
    <cfRule type="top10" dxfId="102" priority="25" rank="1"/>
    <cfRule type="top10" dxfId="101" priority="26" rank="2"/>
  </conditionalFormatting>
  <conditionalFormatting sqref="C39:J39">
    <cfRule type="top10" dxfId="100" priority="27" rank="1"/>
    <cfRule type="top10" dxfId="99" priority="28" rank="2"/>
  </conditionalFormatting>
  <conditionalFormatting sqref="C40:J40">
    <cfRule type="top10" dxfId="98" priority="29" rank="1"/>
    <cfRule type="top10" dxfId="97" priority="30" rank="2"/>
  </conditionalFormatting>
  <conditionalFormatting sqref="C41:J41">
    <cfRule type="top10" dxfId="96" priority="31" rank="1"/>
    <cfRule type="top10" dxfId="95" priority="32" rank="2"/>
  </conditionalFormatting>
  <conditionalFormatting sqref="C47:J47">
    <cfRule type="top10" dxfId="94" priority="33" rank="1"/>
    <cfRule type="top10" dxfId="93" priority="34" rank="2"/>
  </conditionalFormatting>
  <conditionalFormatting sqref="C48:J48">
    <cfRule type="top10" dxfId="92" priority="35" rank="1"/>
    <cfRule type="top10" dxfId="91" priority="36" rank="2"/>
  </conditionalFormatting>
  <conditionalFormatting sqref="C49:J49">
    <cfRule type="top10" dxfId="90" priority="37" rank="1"/>
    <cfRule type="top10" dxfId="89" priority="38" rank="2"/>
  </conditionalFormatting>
  <conditionalFormatting sqref="C50:J50">
    <cfRule type="top10" dxfId="88" priority="39" rank="1"/>
    <cfRule type="top10" dxfId="87" priority="40" rank="2"/>
  </conditionalFormatting>
  <conditionalFormatting sqref="C51:J51">
    <cfRule type="top10" dxfId="86" priority="41" rank="1"/>
    <cfRule type="top10" dxfId="85" priority="42" rank="2"/>
  </conditionalFormatting>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E0004-432D-4AB1-8DCC-77BCBB79AC23}">
  <dimension ref="A1:M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8" width="12.81640625" customWidth="1"/>
    <col min="10" max="11" width="12.81640625" customWidth="1"/>
    <col min="13" max="13" width="0" hidden="1" customWidth="1"/>
  </cols>
  <sheetData>
    <row r="1" spans="1:13" ht="72.5" x14ac:dyDescent="0.35">
      <c r="A1" s="98" t="s">
        <v>429</v>
      </c>
      <c r="B1" s="28" t="s">
        <v>356</v>
      </c>
      <c r="C1" s="28" t="s">
        <v>109</v>
      </c>
      <c r="D1" s="48" t="s">
        <v>358</v>
      </c>
      <c r="E1" s="28" t="s">
        <v>359</v>
      </c>
      <c r="F1" s="28" t="s">
        <v>424</v>
      </c>
      <c r="G1" s="28" t="s">
        <v>284</v>
      </c>
      <c r="H1" s="28" t="s">
        <v>361</v>
      </c>
      <c r="J1" s="29" t="s">
        <v>362</v>
      </c>
      <c r="K1" s="30" t="s">
        <v>363</v>
      </c>
    </row>
    <row r="2" spans="1:13" x14ac:dyDescent="0.35">
      <c r="A2" s="31" t="s">
        <v>364</v>
      </c>
      <c r="B2" s="32"/>
      <c r="C2" s="42"/>
      <c r="D2" s="42"/>
      <c r="E2" s="32"/>
      <c r="F2" s="32"/>
      <c r="G2" s="32"/>
      <c r="H2" s="32"/>
    </row>
    <row r="3" spans="1:13" x14ac:dyDescent="0.35">
      <c r="A3" s="33" t="s">
        <v>365</v>
      </c>
      <c r="B3" s="34">
        <v>100000</v>
      </c>
      <c r="C3" s="34">
        <v>100000</v>
      </c>
      <c r="D3" s="34">
        <v>100000</v>
      </c>
      <c r="E3" s="34">
        <v>100000</v>
      </c>
      <c r="F3" s="34">
        <v>100000</v>
      </c>
      <c r="G3" s="34">
        <v>100000</v>
      </c>
      <c r="H3" s="34">
        <v>100000</v>
      </c>
    </row>
    <row r="4" spans="1:13" x14ac:dyDescent="0.35">
      <c r="A4" s="33" t="s">
        <v>274</v>
      </c>
      <c r="B4" s="34">
        <v>50000</v>
      </c>
      <c r="C4" s="34">
        <v>50000</v>
      </c>
      <c r="D4" s="34">
        <v>50000</v>
      </c>
      <c r="E4" s="34">
        <v>50000</v>
      </c>
      <c r="F4" s="34">
        <v>50000</v>
      </c>
      <c r="G4" s="34">
        <v>50000</v>
      </c>
      <c r="H4" s="34">
        <v>50000</v>
      </c>
    </row>
    <row r="5" spans="1:13" x14ac:dyDescent="0.35">
      <c r="A5" s="33" t="s">
        <v>271</v>
      </c>
      <c r="B5" s="34">
        <v>50000</v>
      </c>
      <c r="C5" s="34">
        <v>50000</v>
      </c>
      <c r="D5" s="34">
        <v>50000</v>
      </c>
      <c r="E5" s="34">
        <v>50000</v>
      </c>
      <c r="F5" s="34">
        <v>50000</v>
      </c>
      <c r="G5" s="34">
        <v>50000</v>
      </c>
      <c r="H5" s="34">
        <v>50000</v>
      </c>
    </row>
    <row r="6" spans="1:13" ht="29" x14ac:dyDescent="0.35">
      <c r="A6" s="33" t="s">
        <v>366</v>
      </c>
      <c r="B6" s="35" t="s">
        <v>367</v>
      </c>
      <c r="C6" s="35" t="s">
        <v>368</v>
      </c>
      <c r="D6" s="35" t="s">
        <v>368</v>
      </c>
      <c r="E6" s="36" t="s">
        <v>369</v>
      </c>
      <c r="F6" s="36" t="s">
        <v>370</v>
      </c>
      <c r="G6" s="35" t="s">
        <v>371</v>
      </c>
      <c r="H6" s="35" t="s">
        <v>371</v>
      </c>
    </row>
    <row r="7" spans="1:13" x14ac:dyDescent="0.35">
      <c r="A7" s="31" t="s">
        <v>372</v>
      </c>
      <c r="B7" s="32"/>
      <c r="C7" s="42"/>
      <c r="D7" s="42"/>
      <c r="E7" s="32"/>
      <c r="F7" s="32"/>
      <c r="G7" s="32"/>
      <c r="H7" s="32"/>
    </row>
    <row r="8" spans="1:13" x14ac:dyDescent="0.35">
      <c r="A8" s="43" t="s">
        <v>373</v>
      </c>
      <c r="B8" s="43">
        <v>20</v>
      </c>
      <c r="C8">
        <v>20</v>
      </c>
      <c r="D8" s="33">
        <v>20</v>
      </c>
      <c r="E8" s="43">
        <v>20</v>
      </c>
      <c r="F8" s="43">
        <v>20</v>
      </c>
      <c r="G8" s="43">
        <v>20</v>
      </c>
      <c r="H8" s="43">
        <v>20</v>
      </c>
    </row>
    <row r="9" spans="1:13" x14ac:dyDescent="0.35">
      <c r="A9" s="33" t="s">
        <v>374</v>
      </c>
      <c r="B9" s="37">
        <f>1940+490+48+152</f>
        <v>2630</v>
      </c>
      <c r="C9" s="37">
        <v>3391</v>
      </c>
      <c r="D9" s="37">
        <v>4348</v>
      </c>
      <c r="E9" s="37">
        <f>2214+208.8</f>
        <v>2422.8000000000002</v>
      </c>
      <c r="F9" s="37">
        <v>2474</v>
      </c>
      <c r="G9" s="37">
        <v>2226.85</v>
      </c>
      <c r="H9" s="37">
        <f>2234.94+399.8</f>
        <v>2634.7400000000002</v>
      </c>
    </row>
    <row r="10" spans="1:13" x14ac:dyDescent="0.35">
      <c r="A10" s="33" t="s">
        <v>375</v>
      </c>
      <c r="B10" s="37">
        <f>299.5+1006</f>
        <v>1305.5</v>
      </c>
      <c r="C10" s="37">
        <v>0</v>
      </c>
      <c r="D10" s="37"/>
      <c r="E10" s="37">
        <v>818.45</v>
      </c>
      <c r="F10" s="37">
        <v>1154</v>
      </c>
      <c r="G10" s="37">
        <v>823.8</v>
      </c>
      <c r="H10" s="37">
        <f>1046.16</f>
        <v>1046.1600000000001</v>
      </c>
    </row>
    <row r="11" spans="1:13" x14ac:dyDescent="0.35">
      <c r="A11" s="33" t="s">
        <v>376</v>
      </c>
      <c r="B11" s="37">
        <f>146+643</f>
        <v>789</v>
      </c>
      <c r="C11" s="37">
        <v>0</v>
      </c>
      <c r="D11" s="37"/>
      <c r="E11" s="37">
        <v>482.8</v>
      </c>
      <c r="F11" s="37">
        <v>625</v>
      </c>
      <c r="G11" s="37">
        <v>769.6</v>
      </c>
      <c r="H11" s="37">
        <f>689.31</f>
        <v>689.31</v>
      </c>
    </row>
    <row r="12" spans="1:13" x14ac:dyDescent="0.35">
      <c r="A12" s="33" t="s">
        <v>377</v>
      </c>
      <c r="B12" s="34">
        <f t="shared" ref="B12:E12" si="0">SUM(B9:B11)</f>
        <v>4724.5</v>
      </c>
      <c r="C12" s="34">
        <f t="shared" ref="C12:D12" si="1">SUM(C9:C11)</f>
        <v>3391</v>
      </c>
      <c r="D12" s="34">
        <f t="shared" si="1"/>
        <v>4348</v>
      </c>
      <c r="E12" s="34">
        <f t="shared" si="0"/>
        <v>3724.05</v>
      </c>
      <c r="F12" s="34">
        <f>SUM(F9:F11)</f>
        <v>4253</v>
      </c>
      <c r="G12" s="34">
        <f>SUM(G9:G11)</f>
        <v>3820.2499999999995</v>
      </c>
      <c r="H12" s="34">
        <f>SUM(H9:H11)</f>
        <v>4370.2100000000009</v>
      </c>
      <c r="M12" t="str">
        <f>INDEX($B$1:$H$1,1,MATCH((MIN(B12,E12:H12)),B12:H12,0))</f>
        <v>China Taiping 
I-Secure Legacy (II)</v>
      </c>
    </row>
    <row r="13" spans="1:13" x14ac:dyDescent="0.35">
      <c r="A13" s="33" t="s">
        <v>378</v>
      </c>
      <c r="B13" s="34">
        <f>B9*B$8</f>
        <v>52600</v>
      </c>
      <c r="C13" s="34">
        <f t="shared" ref="C13:H16" si="2">C9*C$8</f>
        <v>67820</v>
      </c>
      <c r="D13" s="34">
        <f t="shared" si="2"/>
        <v>86960</v>
      </c>
      <c r="E13" s="34">
        <f t="shared" si="2"/>
        <v>48456</v>
      </c>
      <c r="F13" s="34">
        <f t="shared" si="2"/>
        <v>49480</v>
      </c>
      <c r="G13" s="34">
        <f t="shared" si="2"/>
        <v>44537</v>
      </c>
      <c r="H13" s="34">
        <f t="shared" si="2"/>
        <v>52694.8</v>
      </c>
      <c r="M13" t="str">
        <f>INDEX($B$1:$H$1,1,MATCH((MIN(B13:H13)),B13:H13,0))</f>
        <v>Income Complete Life Secure</v>
      </c>
    </row>
    <row r="14" spans="1:13" x14ac:dyDescent="0.35">
      <c r="A14" s="33" t="s">
        <v>379</v>
      </c>
      <c r="B14" s="34">
        <f t="shared" ref="B14:H16" si="3">B10*B$8</f>
        <v>26110</v>
      </c>
      <c r="C14" s="34">
        <f t="shared" si="2"/>
        <v>0</v>
      </c>
      <c r="D14" s="34">
        <f t="shared" si="2"/>
        <v>0</v>
      </c>
      <c r="E14" s="34">
        <f t="shared" si="3"/>
        <v>16369</v>
      </c>
      <c r="F14" s="34">
        <f t="shared" si="3"/>
        <v>23080</v>
      </c>
      <c r="G14" s="34">
        <f t="shared" si="3"/>
        <v>16476</v>
      </c>
      <c r="H14" s="34">
        <f t="shared" si="3"/>
        <v>20923.2</v>
      </c>
      <c r="M14" t="str">
        <f>INDEX($B$1:$H$1,1,MATCH((MIN(B14,E14:H14)),B14:H14,0))</f>
        <v>China Taiping 
I-Secure Legacy (II)</v>
      </c>
    </row>
    <row r="15" spans="1:13" x14ac:dyDescent="0.35">
      <c r="A15" s="33" t="s">
        <v>380</v>
      </c>
      <c r="B15" s="34">
        <f t="shared" si="3"/>
        <v>15780</v>
      </c>
      <c r="C15" s="34">
        <f t="shared" si="2"/>
        <v>0</v>
      </c>
      <c r="D15" s="34">
        <f t="shared" si="2"/>
        <v>0</v>
      </c>
      <c r="E15" s="34">
        <f t="shared" si="3"/>
        <v>9656</v>
      </c>
      <c r="F15" s="34">
        <f t="shared" si="3"/>
        <v>12500</v>
      </c>
      <c r="G15" s="34">
        <f t="shared" si="3"/>
        <v>15392</v>
      </c>
      <c r="H15" s="34">
        <f t="shared" si="3"/>
        <v>13786.199999999999</v>
      </c>
      <c r="M15" t="str">
        <f>INDEX($B$1:$H$1,1,MATCH((MIN(B15,E15:H15)),B15:H15,0))</f>
        <v>China Taiping 
I-Secure Legacy (II)</v>
      </c>
    </row>
    <row r="16" spans="1:13" x14ac:dyDescent="0.35">
      <c r="A16" s="33" t="s">
        <v>381</v>
      </c>
      <c r="B16" s="34">
        <f t="shared" si="3"/>
        <v>94490</v>
      </c>
      <c r="C16" s="34">
        <f t="shared" si="2"/>
        <v>67820</v>
      </c>
      <c r="D16" s="34">
        <f t="shared" si="2"/>
        <v>86960</v>
      </c>
      <c r="E16" s="34">
        <f t="shared" si="3"/>
        <v>74481</v>
      </c>
      <c r="F16" s="34">
        <f t="shared" si="3"/>
        <v>85060</v>
      </c>
      <c r="G16" s="34">
        <f t="shared" si="3"/>
        <v>76404.999999999985</v>
      </c>
      <c r="H16" s="34">
        <f t="shared" si="3"/>
        <v>87404.200000000012</v>
      </c>
      <c r="M16" t="str">
        <f>INDEX($B$1:$H$1,1,MATCH((MIN(B16,E16:H16)),B16:H16,0))</f>
        <v>China Taiping 
I-Secure Legacy (II)</v>
      </c>
    </row>
    <row r="17" spans="1:13" x14ac:dyDescent="0.35">
      <c r="A17" s="63" t="s">
        <v>18</v>
      </c>
      <c r="B17" s="64"/>
      <c r="C17" s="65"/>
      <c r="D17" s="65"/>
      <c r="E17" s="64"/>
      <c r="F17" s="64"/>
      <c r="G17" s="64"/>
      <c r="H17" s="64"/>
    </row>
    <row r="18" spans="1:13" hidden="1" x14ac:dyDescent="0.35">
      <c r="A18" s="33" t="s">
        <v>382</v>
      </c>
      <c r="B18" s="37">
        <v>300000</v>
      </c>
      <c r="C18" s="37">
        <v>300000</v>
      </c>
      <c r="D18" s="37">
        <v>300000</v>
      </c>
      <c r="E18" s="37">
        <v>300000</v>
      </c>
      <c r="F18" s="37">
        <v>300000</v>
      </c>
      <c r="G18" s="37">
        <v>300000</v>
      </c>
      <c r="H18" s="37">
        <v>300000</v>
      </c>
    </row>
    <row r="19" spans="1:13" hidden="1" x14ac:dyDescent="0.35">
      <c r="A19" s="33" t="s">
        <v>383</v>
      </c>
      <c r="B19" s="37">
        <v>150000</v>
      </c>
      <c r="C19" s="37">
        <v>0</v>
      </c>
      <c r="D19" s="37">
        <v>0</v>
      </c>
      <c r="E19" s="37">
        <v>150000</v>
      </c>
      <c r="F19" s="37">
        <v>150000</v>
      </c>
      <c r="G19" s="37">
        <v>150000</v>
      </c>
      <c r="H19" s="37">
        <v>150000</v>
      </c>
    </row>
    <row r="20" spans="1:13" hidden="1" x14ac:dyDescent="0.35">
      <c r="A20" s="33" t="s">
        <v>384</v>
      </c>
      <c r="B20" s="37">
        <v>150000</v>
      </c>
      <c r="C20" s="37">
        <v>0</v>
      </c>
      <c r="D20" s="37">
        <v>300000</v>
      </c>
      <c r="E20" s="37">
        <v>150000</v>
      </c>
      <c r="F20" s="37">
        <v>150000</v>
      </c>
      <c r="G20" s="37">
        <v>150000</v>
      </c>
      <c r="H20" s="37">
        <v>150000</v>
      </c>
    </row>
    <row r="21" spans="1:13" x14ac:dyDescent="0.35">
      <c r="A21" s="55" t="s">
        <v>385</v>
      </c>
      <c r="B21" s="38">
        <f t="shared" ref="B21:H23" si="4">B18/B9</f>
        <v>114.06844106463879</v>
      </c>
      <c r="C21" s="38">
        <f t="shared" si="4"/>
        <v>88.469478030079628</v>
      </c>
      <c r="D21" s="38">
        <f t="shared" si="4"/>
        <v>68.99724011039558</v>
      </c>
      <c r="E21" s="38">
        <f t="shared" si="4"/>
        <v>123.82367508667656</v>
      </c>
      <c r="F21" s="38">
        <f t="shared" si="4"/>
        <v>121.26111560226354</v>
      </c>
      <c r="G21" s="38">
        <f t="shared" si="4"/>
        <v>134.71944675213868</v>
      </c>
      <c r="H21" s="38">
        <f t="shared" si="4"/>
        <v>113.86322749113764</v>
      </c>
      <c r="M21" t="str">
        <f>INDEX($B$1:$H$1,1,MATCH((MAX(B21:H21)),B21:H21,0))</f>
        <v>Income Complete Life Secure</v>
      </c>
    </row>
    <row r="22" spans="1:13" x14ac:dyDescent="0.35">
      <c r="A22" s="55" t="s">
        <v>386</v>
      </c>
      <c r="B22" s="38">
        <f t="shared" si="4"/>
        <v>114.89850631941785</v>
      </c>
      <c r="C22" s="38" t="s">
        <v>63</v>
      </c>
      <c r="D22" s="38" t="s">
        <v>63</v>
      </c>
      <c r="E22" s="38">
        <f t="shared" si="4"/>
        <v>183.27326043130307</v>
      </c>
      <c r="F22" s="38">
        <f t="shared" si="4"/>
        <v>129.98266897746967</v>
      </c>
      <c r="G22" s="38">
        <f t="shared" si="4"/>
        <v>182.08302986161689</v>
      </c>
      <c r="H22" s="38">
        <f t="shared" si="4"/>
        <v>143.38150952053223</v>
      </c>
      <c r="M22" t="str">
        <f>INDEX($B$1:$H$1,1,MATCH((MAX(B22, E22:H22)),B22:H22,0))</f>
        <v>China Taiping 
I-Secure Legacy (II)</v>
      </c>
    </row>
    <row r="23" spans="1:13" x14ac:dyDescent="0.35">
      <c r="A23" s="55" t="s">
        <v>387</v>
      </c>
      <c r="B23" s="38">
        <f t="shared" si="4"/>
        <v>190.11406844106463</v>
      </c>
      <c r="C23" s="38" t="s">
        <v>63</v>
      </c>
      <c r="D23" s="38" t="s">
        <v>63</v>
      </c>
      <c r="E23" s="38">
        <f t="shared" si="4"/>
        <v>310.68765534382766</v>
      </c>
      <c r="F23" s="38">
        <f t="shared" si="4"/>
        <v>240</v>
      </c>
      <c r="G23" s="38">
        <f t="shared" si="4"/>
        <v>194.9064449064449</v>
      </c>
      <c r="H23" s="38">
        <f t="shared" si="4"/>
        <v>217.6089132610872</v>
      </c>
      <c r="M23" t="str">
        <f>INDEX($B$1:$H$1,1,MATCH((MAX(B23, E23:H23)),B23:H23,0))</f>
        <v>China Taiping 
I-Secure Legacy (II)</v>
      </c>
    </row>
    <row r="24" spans="1:13" x14ac:dyDescent="0.35">
      <c r="A24" s="63" t="s">
        <v>425</v>
      </c>
      <c r="B24" s="64"/>
      <c r="C24" s="65"/>
      <c r="D24" s="65"/>
      <c r="E24" s="64"/>
      <c r="F24" s="64"/>
      <c r="G24" s="64"/>
      <c r="H24" s="64"/>
    </row>
    <row r="25" spans="1:13" hidden="1" x14ac:dyDescent="0.35">
      <c r="A25" s="33" t="s">
        <v>388</v>
      </c>
      <c r="B25" s="37">
        <v>300000</v>
      </c>
      <c r="C25" s="37">
        <v>300000</v>
      </c>
      <c r="D25" s="37">
        <v>300000</v>
      </c>
      <c r="E25" s="37">
        <v>300000</v>
      </c>
      <c r="F25" s="37">
        <v>300000</v>
      </c>
      <c r="G25" s="37">
        <v>300000</v>
      </c>
      <c r="H25" s="37">
        <v>300000</v>
      </c>
    </row>
    <row r="26" spans="1:13" hidden="1" x14ac:dyDescent="0.35">
      <c r="A26" s="33" t="s">
        <v>389</v>
      </c>
      <c r="B26" s="37">
        <v>362558</v>
      </c>
      <c r="C26" s="37">
        <v>300000</v>
      </c>
      <c r="D26" s="37">
        <v>300000</v>
      </c>
      <c r="E26" s="37">
        <v>300000</v>
      </c>
      <c r="F26" s="37">
        <v>300000</v>
      </c>
      <c r="G26" s="37">
        <v>300000</v>
      </c>
      <c r="H26" s="37">
        <v>300000</v>
      </c>
    </row>
    <row r="27" spans="1:13" hidden="1" x14ac:dyDescent="0.35">
      <c r="A27" s="33" t="s">
        <v>390</v>
      </c>
      <c r="B27" s="37">
        <v>52500</v>
      </c>
      <c r="C27" s="37">
        <v>39450</v>
      </c>
      <c r="D27" s="37">
        <v>32520</v>
      </c>
      <c r="E27" s="37">
        <v>47700</v>
      </c>
      <c r="F27" s="37">
        <v>33000</v>
      </c>
      <c r="G27" s="37">
        <v>40700</v>
      </c>
      <c r="H27" s="37">
        <v>29800</v>
      </c>
    </row>
    <row r="28" spans="1:13" hidden="1" x14ac:dyDescent="0.35">
      <c r="A28" s="33" t="s">
        <v>391</v>
      </c>
      <c r="B28" s="37">
        <v>92852</v>
      </c>
      <c r="C28" s="37">
        <v>85326</v>
      </c>
      <c r="D28" s="37">
        <v>70337</v>
      </c>
      <c r="E28" s="37">
        <v>79541</v>
      </c>
      <c r="F28" s="37">
        <v>64829</v>
      </c>
      <c r="G28" s="37">
        <v>80509</v>
      </c>
      <c r="H28" s="37">
        <v>95237</v>
      </c>
    </row>
    <row r="29" spans="1:13" x14ac:dyDescent="0.35">
      <c r="A29" s="55" t="s">
        <v>392</v>
      </c>
      <c r="B29" s="38">
        <f t="shared" ref="B29:H32" si="5">B25/B$13</f>
        <v>5.7034220532319395</v>
      </c>
      <c r="C29" s="38">
        <f t="shared" si="5"/>
        <v>4.4234739015039812</v>
      </c>
      <c r="D29" s="38">
        <f t="shared" si="5"/>
        <v>3.4498620055197793</v>
      </c>
      <c r="E29" s="38">
        <f t="shared" si="5"/>
        <v>6.1911837543338288</v>
      </c>
      <c r="F29" s="38">
        <f t="shared" si="5"/>
        <v>6.063055780113177</v>
      </c>
      <c r="G29" s="38">
        <f t="shared" si="5"/>
        <v>6.7359723376069338</v>
      </c>
      <c r="H29" s="38">
        <f t="shared" si="5"/>
        <v>5.6931613745568823</v>
      </c>
      <c r="M29" t="str">
        <f>INDEX($B$1:$H$1,1,MATCH((MAX(B29:H29)),B29:H29,0))</f>
        <v>Income Complete Life Secure</v>
      </c>
    </row>
    <row r="30" spans="1:13" x14ac:dyDescent="0.35">
      <c r="A30" s="55" t="s">
        <v>393</v>
      </c>
      <c r="B30" s="38">
        <f t="shared" si="5"/>
        <v>6.8927376425855513</v>
      </c>
      <c r="C30" s="38">
        <f t="shared" si="5"/>
        <v>4.4234739015039812</v>
      </c>
      <c r="D30" s="38">
        <f t="shared" si="5"/>
        <v>3.4498620055197793</v>
      </c>
      <c r="E30" s="38">
        <f t="shared" si="5"/>
        <v>6.1911837543338288</v>
      </c>
      <c r="F30" s="38">
        <f t="shared" si="5"/>
        <v>6.063055780113177</v>
      </c>
      <c r="G30" s="38">
        <f t="shared" si="5"/>
        <v>6.7359723376069338</v>
      </c>
      <c r="H30" s="38">
        <f t="shared" si="5"/>
        <v>5.6931613745568823</v>
      </c>
      <c r="M30" t="str">
        <f>INDEX($B$1:$H$1,1,MATCH((MAX(B30:H30)),B30:H30,0))</f>
        <v>Singlife 
Whole Life Choice</v>
      </c>
    </row>
    <row r="31" spans="1:13" x14ac:dyDescent="0.35">
      <c r="A31" s="55" t="s">
        <v>394</v>
      </c>
      <c r="B31" s="38">
        <f t="shared" si="5"/>
        <v>0.99809885931558939</v>
      </c>
      <c r="C31" s="38">
        <f t="shared" si="5"/>
        <v>0.58168681804777356</v>
      </c>
      <c r="D31" s="38">
        <f t="shared" si="5"/>
        <v>0.37396504139834408</v>
      </c>
      <c r="E31" s="38">
        <f t="shared" si="5"/>
        <v>0.98439821693907881</v>
      </c>
      <c r="F31" s="38">
        <f t="shared" si="5"/>
        <v>0.66693613581244948</v>
      </c>
      <c r="G31" s="38">
        <f t="shared" si="5"/>
        <v>0.91384691380200733</v>
      </c>
      <c r="H31" s="38">
        <f t="shared" si="5"/>
        <v>0.56552069653931691</v>
      </c>
      <c r="M31" t="str">
        <f>INDEX($B$1:$H$1,1,MATCH((MAX(B31:H31)),B31:H31,0))</f>
        <v>Singlife 
Whole Life Choice</v>
      </c>
    </row>
    <row r="32" spans="1:13" x14ac:dyDescent="0.35">
      <c r="A32" s="55" t="s">
        <v>395</v>
      </c>
      <c r="B32" s="38">
        <f t="shared" si="5"/>
        <v>1.7652471482889733</v>
      </c>
      <c r="C32" s="38">
        <f t="shared" si="5"/>
        <v>1.2581244470657622</v>
      </c>
      <c r="D32" s="38">
        <f t="shared" si="5"/>
        <v>0.80884314627414899</v>
      </c>
      <c r="E32" s="38">
        <f t="shared" si="5"/>
        <v>1.6415098233448902</v>
      </c>
      <c r="F32" s="38">
        <f t="shared" si="5"/>
        <v>1.3102061438965238</v>
      </c>
      <c r="G32" s="38">
        <f t="shared" si="5"/>
        <v>1.8076879897613221</v>
      </c>
      <c r="H32" s="38">
        <f t="shared" si="5"/>
        <v>1.807332032762246</v>
      </c>
      <c r="M32" t="str">
        <f>INDEX($B$1:$H$1,1,MATCH((MAX(B32:H32)),B32:H32,0))</f>
        <v>Income Complete Life Secure</v>
      </c>
    </row>
    <row r="33" spans="1:13" x14ac:dyDescent="0.35">
      <c r="A33" s="63" t="s">
        <v>41</v>
      </c>
      <c r="B33" s="64"/>
      <c r="C33" s="65"/>
      <c r="D33" s="65"/>
      <c r="E33" s="64"/>
      <c r="F33" s="64"/>
      <c r="G33" s="64"/>
      <c r="H33" s="64"/>
    </row>
    <row r="34" spans="1:13" hidden="1" x14ac:dyDescent="0.35">
      <c r="A34" s="33" t="s">
        <v>388</v>
      </c>
      <c r="B34" s="37">
        <v>175000</v>
      </c>
      <c r="C34" s="37">
        <v>300000</v>
      </c>
      <c r="D34" s="37">
        <v>300000</v>
      </c>
      <c r="E34" s="37">
        <v>300000</v>
      </c>
      <c r="F34" s="37">
        <v>150000</v>
      </c>
      <c r="G34" s="37">
        <v>100000</v>
      </c>
      <c r="H34" s="37">
        <v>100000</v>
      </c>
    </row>
    <row r="35" spans="1:13" hidden="1" x14ac:dyDescent="0.35">
      <c r="A35" s="33" t="s">
        <v>389</v>
      </c>
      <c r="B35" s="37">
        <v>309142</v>
      </c>
      <c r="C35" s="37">
        <v>342056</v>
      </c>
      <c r="D35" s="37">
        <v>342056</v>
      </c>
      <c r="E35" s="37">
        <v>300000</v>
      </c>
      <c r="F35" s="37">
        <v>255600</v>
      </c>
      <c r="G35" s="37">
        <v>253096</v>
      </c>
      <c r="H35" s="37">
        <v>276724</v>
      </c>
    </row>
    <row r="36" spans="1:13" hidden="1" x14ac:dyDescent="0.35">
      <c r="A36" s="33" t="s">
        <v>390</v>
      </c>
      <c r="B36" s="37">
        <v>81300</v>
      </c>
      <c r="C36" s="37">
        <v>70970</v>
      </c>
      <c r="D36" s="37">
        <v>65430</v>
      </c>
      <c r="E36" s="37">
        <v>75500</v>
      </c>
      <c r="F36" s="37">
        <v>56400</v>
      </c>
      <c r="G36" s="37">
        <v>70900</v>
      </c>
      <c r="H36" s="37">
        <v>43000</v>
      </c>
    </row>
    <row r="37" spans="1:13" hidden="1" x14ac:dyDescent="0.35">
      <c r="A37" s="33" t="s">
        <v>391</v>
      </c>
      <c r="B37" s="37">
        <v>196409</v>
      </c>
      <c r="C37" s="37">
        <v>242757</v>
      </c>
      <c r="D37" s="37">
        <v>223807</v>
      </c>
      <c r="E37" s="37">
        <v>184969</v>
      </c>
      <c r="F37" s="37">
        <v>164870</v>
      </c>
      <c r="G37" s="37">
        <v>183254</v>
      </c>
      <c r="H37" s="37">
        <v>184622</v>
      </c>
    </row>
    <row r="38" spans="1:13" x14ac:dyDescent="0.35">
      <c r="A38" s="55" t="s">
        <v>392</v>
      </c>
      <c r="B38" s="38">
        <f t="shared" ref="B38:H41" si="6">B34/B$13</f>
        <v>3.3269961977186311</v>
      </c>
      <c r="C38" s="38">
        <f t="shared" si="6"/>
        <v>4.4234739015039812</v>
      </c>
      <c r="D38" s="38">
        <f t="shared" si="6"/>
        <v>3.4498620055197793</v>
      </c>
      <c r="E38" s="38">
        <f t="shared" si="6"/>
        <v>6.1911837543338288</v>
      </c>
      <c r="F38" s="38">
        <f t="shared" si="6"/>
        <v>3.0315278900565885</v>
      </c>
      <c r="G38" s="38">
        <f t="shared" si="6"/>
        <v>2.2453241125356445</v>
      </c>
      <c r="H38" s="38">
        <f t="shared" si="6"/>
        <v>1.8977204581856273</v>
      </c>
      <c r="M38" t="str">
        <f>INDEX($B$1:$H$1,1,MATCH((MAX(B38:H38)),B38:H38,0))</f>
        <v>China Taiping 
I-Secure Legacy (II)</v>
      </c>
    </row>
    <row r="39" spans="1:13" x14ac:dyDescent="0.35">
      <c r="A39" s="55" t="s">
        <v>393</v>
      </c>
      <c r="B39" s="38">
        <f t="shared" si="6"/>
        <v>5.8772243346007604</v>
      </c>
      <c r="C39" s="38">
        <f t="shared" si="6"/>
        <v>5.043585962842819</v>
      </c>
      <c r="D39" s="38">
        <f t="shared" si="6"/>
        <v>3.9334866605335788</v>
      </c>
      <c r="E39" s="38">
        <f t="shared" si="6"/>
        <v>6.1911837543338288</v>
      </c>
      <c r="F39" s="38">
        <f t="shared" si="6"/>
        <v>5.1657235246564266</v>
      </c>
      <c r="G39" s="38">
        <f t="shared" si="6"/>
        <v>5.6828255158632146</v>
      </c>
      <c r="H39" s="38">
        <f t="shared" si="6"/>
        <v>5.2514479607095952</v>
      </c>
      <c r="M39" t="str">
        <f>INDEX($B$1:$H$1,1,MATCH((MAX(B39:H39)),B39:H39,0))</f>
        <v>China Taiping 
I-Secure Legacy (II)</v>
      </c>
    </row>
    <row r="40" spans="1:13" x14ac:dyDescent="0.35">
      <c r="A40" s="55" t="s">
        <v>394</v>
      </c>
      <c r="B40" s="38">
        <f t="shared" si="6"/>
        <v>1.5456273764258555</v>
      </c>
      <c r="C40" s="38">
        <f t="shared" si="6"/>
        <v>1.0464464759657919</v>
      </c>
      <c r="D40" s="38">
        <f t="shared" si="6"/>
        <v>0.75241490340386386</v>
      </c>
      <c r="E40" s="38">
        <f t="shared" si="6"/>
        <v>1.5581145781740136</v>
      </c>
      <c r="F40" s="38">
        <f t="shared" si="6"/>
        <v>1.1398544866612772</v>
      </c>
      <c r="G40" s="38">
        <f t="shared" si="6"/>
        <v>1.5919347957877719</v>
      </c>
      <c r="H40" s="38">
        <f t="shared" si="6"/>
        <v>0.81601979701981975</v>
      </c>
      <c r="M40" t="str">
        <f>INDEX($B$1:$H$1,1,MATCH((MAX(B40:H40)),B40:H40,0))</f>
        <v>Income Complete Life Secure</v>
      </c>
    </row>
    <row r="41" spans="1:13" x14ac:dyDescent="0.35">
      <c r="A41" s="55" t="s">
        <v>395</v>
      </c>
      <c r="B41" s="38">
        <f t="shared" si="6"/>
        <v>3.7340114068441066</v>
      </c>
      <c r="C41" s="38">
        <f t="shared" si="6"/>
        <v>3.5794308463580067</v>
      </c>
      <c r="D41" s="38">
        <f t="shared" si="6"/>
        <v>2.5736775528978839</v>
      </c>
      <c r="E41" s="38">
        <f t="shared" si="6"/>
        <v>3.8172568928512467</v>
      </c>
      <c r="F41" s="38">
        <f t="shared" si="6"/>
        <v>3.3320533548908648</v>
      </c>
      <c r="G41" s="38">
        <f t="shared" si="6"/>
        <v>4.1146462491860696</v>
      </c>
      <c r="H41" s="38">
        <f t="shared" si="6"/>
        <v>3.5036094643114688</v>
      </c>
      <c r="M41" t="str">
        <f>INDEX($B$1:$H$1,1,MATCH((MAX(B41:H41)),B41:H41,0))</f>
        <v>Income Complete Life Secure</v>
      </c>
    </row>
    <row r="42" spans="1:13" x14ac:dyDescent="0.35">
      <c r="A42" s="63" t="s">
        <v>430</v>
      </c>
      <c r="B42" s="64"/>
      <c r="C42" s="65"/>
      <c r="D42" s="65"/>
      <c r="E42" s="64"/>
      <c r="F42" s="64"/>
      <c r="G42" s="64"/>
      <c r="H42" s="64"/>
    </row>
    <row r="43" spans="1:13" hidden="1" x14ac:dyDescent="0.35">
      <c r="A43" s="33" t="s">
        <v>388</v>
      </c>
      <c r="B43" s="37">
        <v>100000</v>
      </c>
      <c r="C43" s="37">
        <v>100000</v>
      </c>
      <c r="D43" s="37">
        <v>100000</v>
      </c>
      <c r="E43" s="37">
        <v>180000</v>
      </c>
      <c r="F43" s="37">
        <v>150000</v>
      </c>
      <c r="G43" s="37">
        <v>100000</v>
      </c>
      <c r="H43" s="37">
        <v>100000</v>
      </c>
    </row>
    <row r="44" spans="1:13" hidden="1" x14ac:dyDescent="0.35">
      <c r="A44" s="33" t="s">
        <v>389</v>
      </c>
      <c r="B44" s="37">
        <v>255238</v>
      </c>
      <c r="C44" s="37">
        <v>385142</v>
      </c>
      <c r="D44" s="37">
        <v>385142</v>
      </c>
      <c r="E44" s="37">
        <v>274425</v>
      </c>
      <c r="F44" s="37">
        <v>285070</v>
      </c>
      <c r="G44" s="37">
        <v>274221</v>
      </c>
      <c r="H44" s="37">
        <v>296482</v>
      </c>
    </row>
    <row r="45" spans="1:13" hidden="1" x14ac:dyDescent="0.35">
      <c r="A45" s="33" t="s">
        <v>390</v>
      </c>
      <c r="B45" s="37">
        <v>87800</v>
      </c>
      <c r="C45" s="37">
        <v>78360</v>
      </c>
      <c r="D45" s="37">
        <v>74160</v>
      </c>
      <c r="E45" s="37">
        <v>80700</v>
      </c>
      <c r="F45" s="37">
        <v>59200</v>
      </c>
      <c r="G45" s="37">
        <v>78600</v>
      </c>
      <c r="H45" s="37">
        <v>45700</v>
      </c>
    </row>
    <row r="46" spans="1:13" hidden="1" x14ac:dyDescent="0.35">
      <c r="A46" s="33" t="s">
        <v>391</v>
      </c>
      <c r="B46" s="37">
        <v>228104</v>
      </c>
      <c r="C46" s="37">
        <v>301797</v>
      </c>
      <c r="D46" s="37">
        <v>285621</v>
      </c>
      <c r="E46" s="37">
        <v>221460</v>
      </c>
      <c r="F46" s="37">
        <v>190067</v>
      </c>
      <c r="G46" s="37">
        <v>215538</v>
      </c>
      <c r="H46" s="37">
        <v>209484</v>
      </c>
    </row>
    <row r="47" spans="1:13" x14ac:dyDescent="0.35">
      <c r="A47" s="55" t="s">
        <v>392</v>
      </c>
      <c r="B47" s="38">
        <f t="shared" ref="B47:H50" si="7">B43/B$13</f>
        <v>1.9011406844106464</v>
      </c>
      <c r="C47" s="38">
        <f t="shared" si="7"/>
        <v>1.4744913005013272</v>
      </c>
      <c r="D47" s="38">
        <f t="shared" si="7"/>
        <v>1.1499540018399264</v>
      </c>
      <c r="E47" s="38">
        <f t="shared" si="7"/>
        <v>3.7147102526002973</v>
      </c>
      <c r="F47" s="38">
        <f t="shared" si="7"/>
        <v>3.0315278900565885</v>
      </c>
      <c r="G47" s="38">
        <f t="shared" si="7"/>
        <v>2.2453241125356445</v>
      </c>
      <c r="H47" s="38">
        <f t="shared" si="7"/>
        <v>1.8977204581856273</v>
      </c>
      <c r="M47" t="str">
        <f>INDEX($B$1:$H$1,1,MATCH((MAX(B47:H47)),B47:H47,0))</f>
        <v>China Taiping 
I-Secure Legacy (II)</v>
      </c>
    </row>
    <row r="48" spans="1:13" x14ac:dyDescent="0.35">
      <c r="A48" s="55" t="s">
        <v>393</v>
      </c>
      <c r="B48" s="38">
        <f t="shared" si="7"/>
        <v>4.8524334600760453</v>
      </c>
      <c r="C48" s="38">
        <f t="shared" si="7"/>
        <v>5.678885284576821</v>
      </c>
      <c r="D48" s="38">
        <f t="shared" si="7"/>
        <v>4.4289558417663297</v>
      </c>
      <c r="E48" s="38">
        <f t="shared" si="7"/>
        <v>5.6633853392768696</v>
      </c>
      <c r="F48" s="38">
        <f t="shared" si="7"/>
        <v>5.7613177041228782</v>
      </c>
      <c r="G48" s="38">
        <f t="shared" si="7"/>
        <v>6.1571502346363696</v>
      </c>
      <c r="H48" s="38">
        <f t="shared" si="7"/>
        <v>5.6263995688379111</v>
      </c>
      <c r="M48" t="str">
        <f>INDEX($B$1:$H$1,1,MATCH((MAX(B48:H48)),B48:H48,0))</f>
        <v>Income Complete Life Secure</v>
      </c>
    </row>
    <row r="49" spans="1:13" x14ac:dyDescent="0.35">
      <c r="A49" s="55" t="s">
        <v>394</v>
      </c>
      <c r="B49" s="38">
        <f t="shared" si="7"/>
        <v>1.6692015209125475</v>
      </c>
      <c r="C49" s="38">
        <f t="shared" si="7"/>
        <v>1.1554113830728399</v>
      </c>
      <c r="D49" s="38">
        <f t="shared" si="7"/>
        <v>0.8528058877644894</v>
      </c>
      <c r="E49" s="38">
        <f t="shared" si="7"/>
        <v>1.6654284299158</v>
      </c>
      <c r="F49" s="38">
        <f t="shared" si="7"/>
        <v>1.1964430072756669</v>
      </c>
      <c r="G49" s="38">
        <f>G45/G$13</f>
        <v>1.7648247524530165</v>
      </c>
      <c r="H49" s="38">
        <f t="shared" si="7"/>
        <v>0.86725824939083174</v>
      </c>
      <c r="M49" t="str">
        <f>INDEX($B$1:$H$1,1,MATCH((MAX(B49:H49)),B49:H49,0))</f>
        <v>Income Complete Life Secure</v>
      </c>
    </row>
    <row r="50" spans="1:13" x14ac:dyDescent="0.35">
      <c r="A50" s="55" t="s">
        <v>395</v>
      </c>
      <c r="B50" s="38">
        <f t="shared" si="7"/>
        <v>4.3365779467680605</v>
      </c>
      <c r="C50" s="38">
        <f t="shared" si="7"/>
        <v>4.4499705101739897</v>
      </c>
      <c r="D50" s="38">
        <f t="shared" si="7"/>
        <v>3.284510119595216</v>
      </c>
      <c r="E50" s="38">
        <f t="shared" si="7"/>
        <v>4.570331847449232</v>
      </c>
      <c r="F50" s="38">
        <f t="shared" si="7"/>
        <v>3.8412894098625707</v>
      </c>
      <c r="G50" s="38">
        <f>G46/G$13</f>
        <v>4.8395266856770771</v>
      </c>
      <c r="H50" s="38">
        <f t="shared" si="7"/>
        <v>3.9754207246255797</v>
      </c>
      <c r="M50" t="str">
        <f>INDEX($B$1:$H$1,1,MATCH((MAX(B50:H50)),B50:H50,0))</f>
        <v>Income Complete Life Secure</v>
      </c>
    </row>
    <row r="51" spans="1:13" x14ac:dyDescent="0.35">
      <c r="A51" s="39" t="s">
        <v>43</v>
      </c>
      <c r="B51" s="40">
        <v>2.8799999999999999E-2</v>
      </c>
      <c r="C51" s="40">
        <v>1.72E-2</v>
      </c>
      <c r="D51" s="40">
        <v>3.7000000000000002E-3</v>
      </c>
      <c r="E51" s="40">
        <v>2.53E-2</v>
      </c>
      <c r="F51" s="40">
        <v>1.95E-2</v>
      </c>
      <c r="G51" s="40">
        <v>2.7E-2</v>
      </c>
      <c r="H51" s="40">
        <v>2.6800000000000001E-2</v>
      </c>
      <c r="M51" t="str">
        <f>INDEX($B$1:$H$1,1,MATCH((MAX(B51:H51)),B51:H51,0))</f>
        <v>Singlife 
Whole Life Choice</v>
      </c>
    </row>
  </sheetData>
  <sheetProtection algorithmName="SHA-512" hashValue="1biVXuaKSJdf/G9DPqmco4irlRrh4AZ47v6FOZyCushENHgXZn0vzVEuoA05gb580T01dSXbr8XwOTBSsh8tOg==" saltValue="ldLy827D8HC5UVqeosd/9Q==" spinCount="100000" sheet="1" objects="1" scenarios="1" selectLockedCells="1" autoFilter="0" selectUnlockedCells="1"/>
  <conditionalFormatting sqref="B14 E14:H14">
    <cfRule type="top10" dxfId="84" priority="723" bottom="1" rank="1"/>
    <cfRule type="top10" dxfId="83" priority="724" bottom="1" rank="2"/>
  </conditionalFormatting>
  <conditionalFormatting sqref="B15 E15:H15">
    <cfRule type="top10" dxfId="82" priority="729" bottom="1" rank="1"/>
    <cfRule type="top10" dxfId="81" priority="730" bottom="1" rank="2"/>
  </conditionalFormatting>
  <conditionalFormatting sqref="B21 E21:H21">
    <cfRule type="top10" dxfId="80" priority="735" rank="1"/>
    <cfRule type="top10" dxfId="79" priority="736" rank="2"/>
  </conditionalFormatting>
  <conditionalFormatting sqref="B22 E22:H22">
    <cfRule type="top10" dxfId="78" priority="741" rank="1"/>
    <cfRule type="top10" dxfId="77" priority="742" rank="2"/>
  </conditionalFormatting>
  <conditionalFormatting sqref="B23 E23:H23">
    <cfRule type="top10" dxfId="76" priority="747" rank="1"/>
    <cfRule type="top10" dxfId="75" priority="748" rank="2"/>
  </conditionalFormatting>
  <conditionalFormatting sqref="B12:H12">
    <cfRule type="top10" dxfId="74" priority="753" bottom="1" rank="1"/>
    <cfRule type="top10" dxfId="73" priority="754" bottom="1" rank="2"/>
  </conditionalFormatting>
  <conditionalFormatting sqref="B13:H13">
    <cfRule type="top10" dxfId="72" priority="757" bottom="1" rank="1"/>
    <cfRule type="top10" dxfId="71" priority="758" bottom="1" rank="2"/>
  </conditionalFormatting>
  <conditionalFormatting sqref="B16:H16">
    <cfRule type="top10" dxfId="70" priority="761" bottom="1" rank="1"/>
    <cfRule type="top10" dxfId="69" priority="762" bottom="1" rank="2"/>
  </conditionalFormatting>
  <conditionalFormatting sqref="B29:H29">
    <cfRule type="top10" dxfId="68" priority="765" rank="1"/>
    <cfRule type="top10" dxfId="67" priority="766" rank="2"/>
  </conditionalFormatting>
  <conditionalFormatting sqref="B30:H30">
    <cfRule type="top10" dxfId="66" priority="769" rank="1"/>
    <cfRule type="top10" dxfId="65" priority="770" rank="2"/>
  </conditionalFormatting>
  <conditionalFormatting sqref="B31:H31">
    <cfRule type="top10" dxfId="64" priority="773" rank="1"/>
    <cfRule type="top10" dxfId="63" priority="774" rank="2"/>
  </conditionalFormatting>
  <conditionalFormatting sqref="B32:H32">
    <cfRule type="top10" dxfId="62" priority="777" rank="1"/>
    <cfRule type="top10" dxfId="61" priority="778" rank="2"/>
  </conditionalFormatting>
  <conditionalFormatting sqref="B38:H38">
    <cfRule type="top10" dxfId="60" priority="781" rank="1"/>
    <cfRule type="top10" dxfId="59" priority="782" rank="2"/>
  </conditionalFormatting>
  <conditionalFormatting sqref="B39:H39">
    <cfRule type="top10" dxfId="58" priority="785" rank="1"/>
    <cfRule type="top10" dxfId="57" priority="786" rank="2"/>
  </conditionalFormatting>
  <conditionalFormatting sqref="B40:H40">
    <cfRule type="top10" dxfId="56" priority="789" rank="1"/>
    <cfRule type="top10" dxfId="55" priority="790" rank="2"/>
  </conditionalFormatting>
  <conditionalFormatting sqref="B41:H41">
    <cfRule type="top10" dxfId="54" priority="793" rank="1"/>
    <cfRule type="top10" dxfId="53" priority="794" rank="2"/>
  </conditionalFormatting>
  <conditionalFormatting sqref="B47:H47">
    <cfRule type="top10" dxfId="52" priority="797" rank="1"/>
    <cfRule type="top10" dxfId="51" priority="798" rank="2"/>
  </conditionalFormatting>
  <conditionalFormatting sqref="B48:H48">
    <cfRule type="top10" dxfId="50" priority="801" rank="1"/>
    <cfRule type="top10" dxfId="49" priority="802" rank="2"/>
  </conditionalFormatting>
  <conditionalFormatting sqref="B49:H49">
    <cfRule type="top10" dxfId="48" priority="805" rank="1"/>
    <cfRule type="top10" dxfId="47" priority="806" rank="2"/>
  </conditionalFormatting>
  <conditionalFormatting sqref="B50:H50">
    <cfRule type="top10" dxfId="46" priority="809" rank="1"/>
    <cfRule type="top10" dxfId="45" priority="810" rank="2"/>
  </conditionalFormatting>
  <conditionalFormatting sqref="B51:H51">
    <cfRule type="top10" dxfId="44" priority="813" rank="1"/>
    <cfRule type="top10" dxfId="43" priority="814" rank="2"/>
  </conditionalFormatting>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E0239-E7C0-4966-849F-11029B4016BB}">
  <dimension ref="A1:M51"/>
  <sheetViews>
    <sheetView showGridLines="0" zoomScale="75" zoomScaleNormal="75" workbookViewId="0">
      <pane ySplit="1" topLeftCell="A2" activePane="bottomLeft" state="frozen"/>
      <selection activeCell="G49" sqref="G49"/>
      <selection pane="bottomLeft"/>
    </sheetView>
  </sheetViews>
  <sheetFormatPr defaultRowHeight="14.5" x14ac:dyDescent="0.35"/>
  <cols>
    <col min="1" max="1" width="63.453125" bestFit="1" customWidth="1"/>
    <col min="2" max="8" width="12.81640625" customWidth="1"/>
    <col min="10" max="11" width="12.81640625" customWidth="1"/>
    <col min="13" max="13" width="0" hidden="1" customWidth="1"/>
  </cols>
  <sheetData>
    <row r="1" spans="1:13" ht="72.5" x14ac:dyDescent="0.35">
      <c r="A1" s="98" t="s">
        <v>431</v>
      </c>
      <c r="B1" s="28" t="s">
        <v>356</v>
      </c>
      <c r="C1" s="28" t="s">
        <v>109</v>
      </c>
      <c r="D1" s="28" t="s">
        <v>358</v>
      </c>
      <c r="E1" s="28" t="s">
        <v>359</v>
      </c>
      <c r="F1" s="28" t="s">
        <v>360</v>
      </c>
      <c r="G1" s="28" t="s">
        <v>413</v>
      </c>
      <c r="H1" s="28" t="s">
        <v>361</v>
      </c>
      <c r="J1" s="29" t="s">
        <v>362</v>
      </c>
      <c r="K1" s="30" t="s">
        <v>363</v>
      </c>
    </row>
    <row r="2" spans="1:13" x14ac:dyDescent="0.35">
      <c r="A2" s="31" t="s">
        <v>364</v>
      </c>
      <c r="B2" s="32"/>
      <c r="C2" s="42"/>
      <c r="D2" s="42"/>
      <c r="E2" s="32"/>
      <c r="F2" s="32"/>
      <c r="G2" s="32"/>
      <c r="H2" s="32"/>
    </row>
    <row r="3" spans="1:13" x14ac:dyDescent="0.35">
      <c r="A3" s="43" t="s">
        <v>365</v>
      </c>
      <c r="B3" s="47">
        <v>100000</v>
      </c>
      <c r="C3" s="47">
        <v>100000</v>
      </c>
      <c r="D3" s="47">
        <v>100000</v>
      </c>
      <c r="E3" s="47">
        <v>100000</v>
      </c>
      <c r="F3" s="47">
        <v>100000</v>
      </c>
      <c r="G3" s="47">
        <v>100000</v>
      </c>
      <c r="H3" s="47">
        <v>100000</v>
      </c>
    </row>
    <row r="4" spans="1:13" x14ac:dyDescent="0.35">
      <c r="A4" s="33" t="s">
        <v>274</v>
      </c>
      <c r="B4" s="34">
        <v>50000</v>
      </c>
      <c r="C4" s="34">
        <v>50000</v>
      </c>
      <c r="D4" s="34">
        <v>50000</v>
      </c>
      <c r="E4" s="34">
        <v>50000</v>
      </c>
      <c r="F4" s="34">
        <v>50000</v>
      </c>
      <c r="G4" s="34">
        <v>50000</v>
      </c>
      <c r="H4" s="34">
        <v>50000</v>
      </c>
    </row>
    <row r="5" spans="1:13" x14ac:dyDescent="0.35">
      <c r="A5" s="33" t="s">
        <v>271</v>
      </c>
      <c r="B5" s="34">
        <v>50000</v>
      </c>
      <c r="C5" s="34">
        <v>50000</v>
      </c>
      <c r="D5" s="34">
        <v>50000</v>
      </c>
      <c r="E5" s="34">
        <v>50000</v>
      </c>
      <c r="F5" s="34">
        <v>50000</v>
      </c>
      <c r="G5" s="34">
        <v>50000</v>
      </c>
      <c r="H5" s="34">
        <v>50000</v>
      </c>
    </row>
    <row r="6" spans="1:13" ht="29" x14ac:dyDescent="0.35">
      <c r="A6" s="33" t="s">
        <v>366</v>
      </c>
      <c r="B6" s="35" t="s">
        <v>367</v>
      </c>
      <c r="C6" s="35" t="s">
        <v>368</v>
      </c>
      <c r="D6" s="35" t="s">
        <v>368</v>
      </c>
      <c r="E6" s="36" t="s">
        <v>369</v>
      </c>
      <c r="F6" s="36" t="s">
        <v>370</v>
      </c>
      <c r="G6" s="35" t="s">
        <v>371</v>
      </c>
      <c r="H6" s="35" t="s">
        <v>371</v>
      </c>
    </row>
    <row r="7" spans="1:13" x14ac:dyDescent="0.35">
      <c r="A7" s="31" t="s">
        <v>372</v>
      </c>
      <c r="B7" s="32"/>
      <c r="C7" s="42"/>
      <c r="D7" s="42"/>
      <c r="E7" s="32"/>
      <c r="F7" s="32"/>
      <c r="G7" s="32"/>
      <c r="H7" s="32"/>
    </row>
    <row r="8" spans="1:13" x14ac:dyDescent="0.35">
      <c r="A8" s="43" t="s">
        <v>373</v>
      </c>
      <c r="B8" s="43">
        <v>20</v>
      </c>
      <c r="C8">
        <v>20</v>
      </c>
      <c r="D8" s="33">
        <v>20</v>
      </c>
      <c r="E8" s="43">
        <v>20</v>
      </c>
      <c r="F8" s="43">
        <v>20</v>
      </c>
      <c r="G8" s="43">
        <v>20</v>
      </c>
      <c r="H8" s="43">
        <v>20</v>
      </c>
    </row>
    <row r="9" spans="1:13" x14ac:dyDescent="0.35">
      <c r="A9" s="33" t="s">
        <v>374</v>
      </c>
      <c r="B9" s="37">
        <f>1827+376+36+98</f>
        <v>2337</v>
      </c>
      <c r="C9" s="37">
        <v>3034</v>
      </c>
      <c r="D9" s="37">
        <v>4009</v>
      </c>
      <c r="E9" s="37">
        <f>2024+215</f>
        <v>2239</v>
      </c>
      <c r="F9" s="37">
        <v>2015</v>
      </c>
      <c r="G9" s="37">
        <v>2052.9499999999998</v>
      </c>
      <c r="H9" s="37">
        <f>2173.45+327.66</f>
        <v>2501.1099999999997</v>
      </c>
    </row>
    <row r="10" spans="1:13" x14ac:dyDescent="0.35">
      <c r="A10" s="33" t="s">
        <v>375</v>
      </c>
      <c r="B10" s="37">
        <f>361+1073</f>
        <v>1434</v>
      </c>
      <c r="C10" s="37">
        <v>0</v>
      </c>
      <c r="D10" s="37">
        <v>0</v>
      </c>
      <c r="E10" s="37">
        <v>896</v>
      </c>
      <c r="F10" s="37">
        <v>1505</v>
      </c>
      <c r="G10" s="37">
        <v>1791.85</v>
      </c>
      <c r="H10" s="37">
        <v>1161.7</v>
      </c>
    </row>
    <row r="11" spans="1:13" x14ac:dyDescent="0.35">
      <c r="A11" s="33" t="s">
        <v>376</v>
      </c>
      <c r="B11" s="37">
        <f>155.5+522</f>
        <v>677.5</v>
      </c>
      <c r="C11" s="37">
        <v>0</v>
      </c>
      <c r="D11" s="37">
        <v>0</v>
      </c>
      <c r="E11" s="37">
        <v>473.7</v>
      </c>
      <c r="F11" s="37">
        <v>931</v>
      </c>
      <c r="G11" s="37">
        <v>929.4</v>
      </c>
      <c r="H11" s="37">
        <v>663.38</v>
      </c>
    </row>
    <row r="12" spans="1:13" x14ac:dyDescent="0.35">
      <c r="A12" s="33" t="s">
        <v>377</v>
      </c>
      <c r="B12" s="34">
        <f t="shared" ref="B12:E12" si="0">SUM(B9:B11)</f>
        <v>4448.5</v>
      </c>
      <c r="C12" s="34">
        <f t="shared" ref="C12:D12" si="1">SUM(C9:C11)</f>
        <v>3034</v>
      </c>
      <c r="D12" s="34">
        <f t="shared" si="1"/>
        <v>4009</v>
      </c>
      <c r="E12" s="34">
        <f t="shared" si="0"/>
        <v>3608.7</v>
      </c>
      <c r="F12" s="34">
        <f>SUM(F9:F11)</f>
        <v>4451</v>
      </c>
      <c r="G12" s="34">
        <f>SUM(G9:G11)</f>
        <v>4774.2</v>
      </c>
      <c r="H12" s="34">
        <f>SUM(H9:H11)</f>
        <v>4326.1899999999996</v>
      </c>
      <c r="M12" t="str">
        <f>INDEX($B$1:$H$1,1,MATCH((MIN(B12,E12:H12)),B12:H12,0))</f>
        <v>China Taiping 
I-Secure Legacy (II)</v>
      </c>
    </row>
    <row r="13" spans="1:13" x14ac:dyDescent="0.35">
      <c r="A13" s="33" t="s">
        <v>378</v>
      </c>
      <c r="B13" s="34">
        <f>B9*B$8</f>
        <v>46740</v>
      </c>
      <c r="C13" s="34">
        <f t="shared" ref="C13:H16" si="2">C9*C$8</f>
        <v>60680</v>
      </c>
      <c r="D13" s="34">
        <f t="shared" si="2"/>
        <v>80180</v>
      </c>
      <c r="E13" s="34">
        <f t="shared" si="2"/>
        <v>44780</v>
      </c>
      <c r="F13" s="34">
        <f t="shared" si="2"/>
        <v>40300</v>
      </c>
      <c r="G13" s="34">
        <f t="shared" si="2"/>
        <v>41059</v>
      </c>
      <c r="H13" s="34">
        <f t="shared" si="2"/>
        <v>50022.2</v>
      </c>
      <c r="M13" t="str">
        <f>INDEX($B$1:$H$1,1,MATCH((MIN(B13:H13)),B13:H13,0))</f>
        <v>Etiqa 
Essential Lifetime secure</v>
      </c>
    </row>
    <row r="14" spans="1:13" x14ac:dyDescent="0.35">
      <c r="A14" s="33" t="s">
        <v>379</v>
      </c>
      <c r="B14" s="34">
        <f t="shared" ref="B14:H16" si="3">B10*B$8</f>
        <v>28680</v>
      </c>
      <c r="C14" s="34">
        <f t="shared" si="2"/>
        <v>0</v>
      </c>
      <c r="D14" s="34">
        <f t="shared" si="2"/>
        <v>0</v>
      </c>
      <c r="E14" s="34">
        <f t="shared" si="3"/>
        <v>17920</v>
      </c>
      <c r="F14" s="34">
        <f t="shared" si="3"/>
        <v>30100</v>
      </c>
      <c r="G14" s="34">
        <f t="shared" si="3"/>
        <v>35837</v>
      </c>
      <c r="H14" s="34">
        <f t="shared" si="3"/>
        <v>23234</v>
      </c>
      <c r="M14" t="str">
        <f>INDEX($B$1:$H$1,1,MATCH((MIN(B14,E14:H14)),B14:H14,0))</f>
        <v>China Taiping 
I-Secure Legacy (II)</v>
      </c>
    </row>
    <row r="15" spans="1:13" x14ac:dyDescent="0.35">
      <c r="A15" s="33" t="s">
        <v>380</v>
      </c>
      <c r="B15" s="34">
        <f t="shared" si="3"/>
        <v>13550</v>
      </c>
      <c r="C15" s="34">
        <f t="shared" si="2"/>
        <v>0</v>
      </c>
      <c r="D15" s="34">
        <f t="shared" si="2"/>
        <v>0</v>
      </c>
      <c r="E15" s="34">
        <f t="shared" si="3"/>
        <v>9474</v>
      </c>
      <c r="F15" s="34">
        <f t="shared" si="3"/>
        <v>18620</v>
      </c>
      <c r="G15" s="34">
        <f t="shared" si="3"/>
        <v>18588</v>
      </c>
      <c r="H15" s="34">
        <f t="shared" si="3"/>
        <v>13267.6</v>
      </c>
      <c r="M15" t="str">
        <f>INDEX($B$1:$H$1,1,MATCH((MIN(B15,E15:H15)),B15:H15,0))</f>
        <v>China Taiping 
I-Secure Legacy (II)</v>
      </c>
    </row>
    <row r="16" spans="1:13" x14ac:dyDescent="0.35">
      <c r="A16" s="33" t="s">
        <v>381</v>
      </c>
      <c r="B16" s="34">
        <f t="shared" si="3"/>
        <v>88970</v>
      </c>
      <c r="C16" s="34">
        <f t="shared" si="2"/>
        <v>60680</v>
      </c>
      <c r="D16" s="34">
        <f t="shared" si="2"/>
        <v>80180</v>
      </c>
      <c r="E16" s="34">
        <f t="shared" si="3"/>
        <v>72174</v>
      </c>
      <c r="F16" s="34">
        <f t="shared" si="3"/>
        <v>89020</v>
      </c>
      <c r="G16" s="34">
        <f t="shared" si="3"/>
        <v>95484</v>
      </c>
      <c r="H16" s="34">
        <f t="shared" si="3"/>
        <v>86523.799999999988</v>
      </c>
      <c r="M16" t="str">
        <f>INDEX($B$1:$H$1,1,MATCH((MIN(B16,E16:H16)),B16:H16,0))</f>
        <v>China Taiping 
I-Secure Legacy (II)</v>
      </c>
    </row>
    <row r="17" spans="1:13" x14ac:dyDescent="0.35">
      <c r="A17" s="60" t="s">
        <v>18</v>
      </c>
      <c r="B17" s="61"/>
      <c r="C17" s="62"/>
      <c r="D17" s="62"/>
      <c r="E17" s="61"/>
      <c r="F17" s="61"/>
      <c r="G17" s="61"/>
      <c r="H17" s="61"/>
    </row>
    <row r="18" spans="1:13" hidden="1" x14ac:dyDescent="0.35">
      <c r="A18" s="33" t="s">
        <v>382</v>
      </c>
      <c r="B18" s="37">
        <v>300000</v>
      </c>
      <c r="C18" s="37">
        <v>300000</v>
      </c>
      <c r="D18" s="37">
        <v>300000</v>
      </c>
      <c r="E18" s="37">
        <v>300000</v>
      </c>
      <c r="F18" s="37">
        <v>300000</v>
      </c>
      <c r="G18" s="37">
        <v>300000</v>
      </c>
      <c r="H18" s="37">
        <v>300000</v>
      </c>
    </row>
    <row r="19" spans="1:13" hidden="1" x14ac:dyDescent="0.35">
      <c r="A19" s="33" t="s">
        <v>383</v>
      </c>
      <c r="B19" s="37">
        <v>150000</v>
      </c>
      <c r="C19" s="37">
        <v>0</v>
      </c>
      <c r="D19" s="37">
        <v>0</v>
      </c>
      <c r="E19" s="37">
        <v>150000</v>
      </c>
      <c r="F19" s="37">
        <v>150000</v>
      </c>
      <c r="G19" s="37">
        <v>150000</v>
      </c>
      <c r="H19" s="37">
        <v>150000</v>
      </c>
    </row>
    <row r="20" spans="1:13" hidden="1" x14ac:dyDescent="0.35">
      <c r="A20" s="33" t="s">
        <v>384</v>
      </c>
      <c r="B20" s="37">
        <v>150000</v>
      </c>
      <c r="C20" s="37">
        <v>0</v>
      </c>
      <c r="D20" s="37">
        <v>300000</v>
      </c>
      <c r="E20" s="37">
        <v>150000</v>
      </c>
      <c r="F20" s="37">
        <v>150000</v>
      </c>
      <c r="G20" s="37">
        <v>150000</v>
      </c>
      <c r="H20" s="37">
        <v>150000</v>
      </c>
    </row>
    <row r="21" spans="1:13" x14ac:dyDescent="0.35">
      <c r="A21" s="55" t="s">
        <v>385</v>
      </c>
      <c r="B21" s="38">
        <f t="shared" ref="B21:H23" si="4">B18/B9</f>
        <v>128.36970474967907</v>
      </c>
      <c r="C21" s="38">
        <f t="shared" si="4"/>
        <v>98.879367172050095</v>
      </c>
      <c r="D21" s="38">
        <f t="shared" si="4"/>
        <v>74.831628835120981</v>
      </c>
      <c r="E21" s="38">
        <f t="shared" si="4"/>
        <v>133.98838767306833</v>
      </c>
      <c r="F21" s="38">
        <f t="shared" si="4"/>
        <v>148.8833746898263</v>
      </c>
      <c r="G21" s="38">
        <f t="shared" si="4"/>
        <v>146.13117708663145</v>
      </c>
      <c r="H21" s="38">
        <f t="shared" si="4"/>
        <v>119.94674364582127</v>
      </c>
      <c r="M21" t="str">
        <f>INDEX($B$1:$H$1,1,MATCH((MAX(B21:H21)),B21:H21,0))</f>
        <v>Etiqa 
Essential Lifetime secure</v>
      </c>
    </row>
    <row r="22" spans="1:13" x14ac:dyDescent="0.35">
      <c r="A22" s="55" t="s">
        <v>386</v>
      </c>
      <c r="B22" s="38">
        <f t="shared" si="4"/>
        <v>104.60251046025104</v>
      </c>
      <c r="C22" s="38" t="s">
        <v>63</v>
      </c>
      <c r="D22" s="38" t="s">
        <v>63</v>
      </c>
      <c r="E22" s="38">
        <f t="shared" si="4"/>
        <v>167.41071428571428</v>
      </c>
      <c r="F22" s="38">
        <f t="shared" si="4"/>
        <v>99.667774086378742</v>
      </c>
      <c r="G22" s="38">
        <f t="shared" si="4"/>
        <v>83.712364316209502</v>
      </c>
      <c r="H22" s="38">
        <f t="shared" si="4"/>
        <v>129.12111560643882</v>
      </c>
      <c r="M22" t="str">
        <f>INDEX($B$1:$H$1,1,MATCH((MAX(B22, E22:H22)),B22:H22,0))</f>
        <v>China Taiping 
I-Secure Legacy (II)</v>
      </c>
    </row>
    <row r="23" spans="1:13" x14ac:dyDescent="0.35">
      <c r="A23" s="55" t="s">
        <v>387</v>
      </c>
      <c r="B23" s="38">
        <f t="shared" si="4"/>
        <v>221.40221402214021</v>
      </c>
      <c r="C23" s="38" t="s">
        <v>63</v>
      </c>
      <c r="D23" s="38" t="s">
        <v>63</v>
      </c>
      <c r="E23" s="38">
        <f t="shared" si="4"/>
        <v>316.65611146295123</v>
      </c>
      <c r="F23" s="38">
        <f t="shared" si="4"/>
        <v>161.11707841031151</v>
      </c>
      <c r="G23" s="38">
        <f t="shared" si="4"/>
        <v>161.39444803098775</v>
      </c>
      <c r="H23" s="38">
        <f t="shared" si="4"/>
        <v>226.11474569628268</v>
      </c>
      <c r="M23" t="str">
        <f>INDEX($B$1:$H$1,1,MATCH((MAX(B23, E23:H23)),B23:H23,0))</f>
        <v>China Taiping 
I-Secure Legacy (II)</v>
      </c>
    </row>
    <row r="24" spans="1:13" x14ac:dyDescent="0.35">
      <c r="A24" s="60" t="s">
        <v>425</v>
      </c>
      <c r="B24" s="61"/>
      <c r="C24" s="62"/>
      <c r="D24" s="62"/>
      <c r="E24" s="61"/>
      <c r="F24" s="61"/>
      <c r="G24" s="61"/>
      <c r="H24" s="61"/>
    </row>
    <row r="25" spans="1:13" hidden="1" x14ac:dyDescent="0.35">
      <c r="A25" s="33" t="s">
        <v>388</v>
      </c>
      <c r="B25" s="37">
        <v>300000</v>
      </c>
      <c r="C25" s="37">
        <v>300000</v>
      </c>
      <c r="D25" s="37">
        <v>300000</v>
      </c>
      <c r="E25" s="37">
        <v>300000</v>
      </c>
      <c r="F25" s="37">
        <v>300000</v>
      </c>
      <c r="G25" s="37">
        <v>300000</v>
      </c>
      <c r="H25" s="37">
        <v>300000</v>
      </c>
    </row>
    <row r="26" spans="1:13" hidden="1" x14ac:dyDescent="0.35">
      <c r="A26" s="33" t="s">
        <v>389</v>
      </c>
      <c r="B26" s="37">
        <v>362558</v>
      </c>
      <c r="C26" s="37">
        <v>300000</v>
      </c>
      <c r="D26" s="37">
        <v>300000</v>
      </c>
      <c r="E26" s="37">
        <v>300000</v>
      </c>
      <c r="F26" s="37">
        <v>300000</v>
      </c>
      <c r="G26" s="37">
        <v>300000</v>
      </c>
      <c r="H26" s="37">
        <v>300000</v>
      </c>
    </row>
    <row r="27" spans="1:13" hidden="1" x14ac:dyDescent="0.35">
      <c r="A27" s="33" t="s">
        <v>390</v>
      </c>
      <c r="B27" s="37">
        <v>49600</v>
      </c>
      <c r="C27" s="37">
        <v>36290</v>
      </c>
      <c r="D27" s="37">
        <v>29920</v>
      </c>
      <c r="E27" s="37">
        <v>45600</v>
      </c>
      <c r="F27" s="37">
        <v>33000</v>
      </c>
      <c r="G27" s="37">
        <v>34300</v>
      </c>
      <c r="H27" s="37">
        <v>29800</v>
      </c>
    </row>
    <row r="28" spans="1:13" hidden="1" x14ac:dyDescent="0.35">
      <c r="A28" s="33" t="s">
        <v>391</v>
      </c>
      <c r="B28" s="37">
        <v>87685</v>
      </c>
      <c r="C28" s="37">
        <v>78491</v>
      </c>
      <c r="D28" s="37">
        <v>64714</v>
      </c>
      <c r="E28" s="37">
        <v>76039</v>
      </c>
      <c r="F28" s="37">
        <v>64829</v>
      </c>
      <c r="G28" s="37">
        <v>83370</v>
      </c>
      <c r="H28" s="37">
        <v>95237</v>
      </c>
    </row>
    <row r="29" spans="1:13" x14ac:dyDescent="0.35">
      <c r="A29" s="55" t="s">
        <v>392</v>
      </c>
      <c r="B29" s="38">
        <f t="shared" ref="B29:H32" si="5">B25/B$13</f>
        <v>6.4184852374839538</v>
      </c>
      <c r="C29" s="38">
        <f t="shared" si="5"/>
        <v>4.9439683586025049</v>
      </c>
      <c r="D29" s="38">
        <f t="shared" si="5"/>
        <v>3.7415814417560487</v>
      </c>
      <c r="E29" s="38">
        <f t="shared" si="5"/>
        <v>6.6994193836534164</v>
      </c>
      <c r="F29" s="38">
        <f t="shared" si="5"/>
        <v>7.4441687344913152</v>
      </c>
      <c r="G29" s="38">
        <f t="shared" si="5"/>
        <v>7.3065588543315716</v>
      </c>
      <c r="H29" s="38">
        <f t="shared" si="5"/>
        <v>5.9973371822910631</v>
      </c>
      <c r="M29" t="str">
        <f>INDEX($B$1:$H$1,1,MATCH((MAX(B29:H29)),B29:H29,0))</f>
        <v>Etiqa 
Essential Lifetime secure</v>
      </c>
    </row>
    <row r="30" spans="1:13" x14ac:dyDescent="0.35">
      <c r="A30" s="55" t="s">
        <v>393</v>
      </c>
      <c r="B30" s="38">
        <f t="shared" si="5"/>
        <v>7.756910569105691</v>
      </c>
      <c r="C30" s="38">
        <f t="shared" si="5"/>
        <v>4.9439683586025049</v>
      </c>
      <c r="D30" s="38">
        <f t="shared" si="5"/>
        <v>3.7415814417560487</v>
      </c>
      <c r="E30" s="38">
        <f t="shared" si="5"/>
        <v>6.6994193836534164</v>
      </c>
      <c r="F30" s="38">
        <f t="shared" si="5"/>
        <v>7.4441687344913152</v>
      </c>
      <c r="G30" s="38">
        <f t="shared" si="5"/>
        <v>7.3065588543315716</v>
      </c>
      <c r="H30" s="38">
        <f t="shared" si="5"/>
        <v>5.9973371822910631</v>
      </c>
      <c r="M30" t="str">
        <f>INDEX($B$1:$H$1,1,MATCH((MAX(B30:H30)),B30:H30,0))</f>
        <v>Singlife 
Whole Life Choice</v>
      </c>
    </row>
    <row r="31" spans="1:13" x14ac:dyDescent="0.35">
      <c r="A31" s="55" t="s">
        <v>394</v>
      </c>
      <c r="B31" s="38">
        <f t="shared" si="5"/>
        <v>1.0611895592640137</v>
      </c>
      <c r="C31" s="38">
        <f t="shared" si="5"/>
        <v>0.59805537244561635</v>
      </c>
      <c r="D31" s="38">
        <f t="shared" si="5"/>
        <v>0.37316038912446992</v>
      </c>
      <c r="E31" s="38">
        <f t="shared" si="5"/>
        <v>1.0183117463153193</v>
      </c>
      <c r="F31" s="38">
        <f t="shared" si="5"/>
        <v>0.81885856079404462</v>
      </c>
      <c r="G31" s="38">
        <f t="shared" si="5"/>
        <v>0.83538322901190964</v>
      </c>
      <c r="H31" s="38">
        <f t="shared" si="5"/>
        <v>0.59573549344091226</v>
      </c>
      <c r="M31" t="str">
        <f>INDEX($B$1:$H$1,1,MATCH((MAX(B31:H31)),B31:H31,0))</f>
        <v>Singlife 
Whole Life Choice</v>
      </c>
    </row>
    <row r="32" spans="1:13" x14ac:dyDescent="0.35">
      <c r="A32" s="55" t="s">
        <v>395</v>
      </c>
      <c r="B32" s="38">
        <f t="shared" si="5"/>
        <v>1.8760162601626016</v>
      </c>
      <c r="C32" s="38">
        <f t="shared" si="5"/>
        <v>1.2935234014502308</v>
      </c>
      <c r="D32" s="38">
        <f t="shared" si="5"/>
        <v>0.80710900473933644</v>
      </c>
      <c r="E32" s="38">
        <f t="shared" si="5"/>
        <v>1.6980571683787404</v>
      </c>
      <c r="F32" s="38">
        <f t="shared" si="5"/>
        <v>1.6086600496277916</v>
      </c>
      <c r="G32" s="38">
        <f t="shared" si="5"/>
        <v>2.0304927056187436</v>
      </c>
      <c r="H32" s="38">
        <f t="shared" si="5"/>
        <v>1.9038946707661799</v>
      </c>
      <c r="M32" t="str">
        <f>INDEX($B$1:$H$1,1,MATCH((MAX(B32:H32)),B32:H32,0))</f>
        <v>Income 
Complete Life Secure</v>
      </c>
    </row>
    <row r="33" spans="1:13" x14ac:dyDescent="0.35">
      <c r="A33" s="60" t="s">
        <v>41</v>
      </c>
      <c r="B33" s="61"/>
      <c r="C33" s="62"/>
      <c r="D33" s="62"/>
      <c r="E33" s="61"/>
      <c r="F33" s="61"/>
      <c r="G33" s="61"/>
      <c r="H33" s="61"/>
    </row>
    <row r="34" spans="1:13" hidden="1" x14ac:dyDescent="0.35">
      <c r="A34" s="33" t="s">
        <v>388</v>
      </c>
      <c r="B34" s="37">
        <v>175000</v>
      </c>
      <c r="C34" s="37">
        <v>300000</v>
      </c>
      <c r="D34" s="37">
        <v>300000</v>
      </c>
      <c r="E34" s="37">
        <v>300000</v>
      </c>
      <c r="F34" s="37">
        <v>150000</v>
      </c>
      <c r="G34" s="37">
        <v>100000</v>
      </c>
      <c r="H34" s="37">
        <v>100000</v>
      </c>
    </row>
    <row r="35" spans="1:13" hidden="1" x14ac:dyDescent="0.35">
      <c r="A35" s="33" t="s">
        <v>389</v>
      </c>
      <c r="B35" s="37">
        <v>309142</v>
      </c>
      <c r="C35" s="37">
        <v>342056</v>
      </c>
      <c r="D35" s="37">
        <v>342056</v>
      </c>
      <c r="E35" s="37">
        <v>300000</v>
      </c>
      <c r="F35" s="37">
        <v>255600</v>
      </c>
      <c r="G35" s="37">
        <v>272024</v>
      </c>
      <c r="H35" s="37">
        <v>276724</v>
      </c>
    </row>
    <row r="36" spans="1:13" hidden="1" x14ac:dyDescent="0.35">
      <c r="A36" s="33" t="s">
        <v>390</v>
      </c>
      <c r="B36" s="37">
        <v>78900</v>
      </c>
      <c r="C36" s="37">
        <v>68680</v>
      </c>
      <c r="D36" s="37">
        <v>63320</v>
      </c>
      <c r="E36" s="37">
        <v>74200</v>
      </c>
      <c r="F36" s="37">
        <v>56400</v>
      </c>
      <c r="G36" s="37">
        <v>61300</v>
      </c>
      <c r="H36" s="37">
        <v>43000</v>
      </c>
    </row>
    <row r="37" spans="1:13" hidden="1" x14ac:dyDescent="0.35">
      <c r="A37" s="33" t="s">
        <v>391</v>
      </c>
      <c r="B37" s="37">
        <v>190670</v>
      </c>
      <c r="C37" s="37">
        <v>234924</v>
      </c>
      <c r="D37" s="37">
        <v>216590</v>
      </c>
      <c r="E37" s="37">
        <v>181784</v>
      </c>
      <c r="F37" s="37">
        <v>164870</v>
      </c>
      <c r="G37" s="37">
        <v>206415</v>
      </c>
      <c r="H37" s="37">
        <v>184622</v>
      </c>
    </row>
    <row r="38" spans="1:13" x14ac:dyDescent="0.35">
      <c r="A38" s="55" t="s">
        <v>392</v>
      </c>
      <c r="B38" s="38">
        <f t="shared" ref="B38:H41" si="6">B34/B$13</f>
        <v>3.7441163885323063</v>
      </c>
      <c r="C38" s="38">
        <f t="shared" si="6"/>
        <v>4.9439683586025049</v>
      </c>
      <c r="D38" s="38">
        <f t="shared" si="6"/>
        <v>3.7415814417560487</v>
      </c>
      <c r="E38" s="38">
        <f t="shared" si="6"/>
        <v>6.6994193836534164</v>
      </c>
      <c r="F38" s="38">
        <f t="shared" si="6"/>
        <v>3.7220843672456576</v>
      </c>
      <c r="G38" s="38">
        <f t="shared" si="6"/>
        <v>2.4355196181105239</v>
      </c>
      <c r="H38" s="38">
        <f t="shared" si="6"/>
        <v>1.999112394097021</v>
      </c>
      <c r="M38" t="str">
        <f>INDEX($B$1:$H$1,1,MATCH((MAX(B38:H38)),B38:H38,0))</f>
        <v>China Taiping 
I-Secure Legacy (II)</v>
      </c>
    </row>
    <row r="39" spans="1:13" x14ac:dyDescent="0.35">
      <c r="A39" s="55" t="s">
        <v>393</v>
      </c>
      <c r="B39" s="38">
        <f t="shared" si="6"/>
        <v>6.6140778776208817</v>
      </c>
      <c r="C39" s="38">
        <f t="shared" si="6"/>
        <v>5.6370468029004615</v>
      </c>
      <c r="D39" s="38">
        <f t="shared" si="6"/>
        <v>4.2661012721376901</v>
      </c>
      <c r="E39" s="38">
        <f t="shared" si="6"/>
        <v>6.6994193836534164</v>
      </c>
      <c r="F39" s="38">
        <f t="shared" si="6"/>
        <v>6.3424317617866004</v>
      </c>
      <c r="G39" s="38">
        <f t="shared" si="6"/>
        <v>6.6251978859689711</v>
      </c>
      <c r="H39" s="38">
        <f t="shared" si="6"/>
        <v>5.5320237814410405</v>
      </c>
      <c r="M39" t="str">
        <f>INDEX($B$1:$H$1,1,MATCH((MAX(B39:H39)),B39:H39,0))</f>
        <v>China Taiping 
I-Secure Legacy (II)</v>
      </c>
    </row>
    <row r="40" spans="1:13" x14ac:dyDescent="0.35">
      <c r="A40" s="55" t="s">
        <v>394</v>
      </c>
      <c r="B40" s="38">
        <f t="shared" si="6"/>
        <v>1.6880616174582799</v>
      </c>
      <c r="C40" s="38">
        <f t="shared" si="6"/>
        <v>1.1318391562294001</v>
      </c>
      <c r="D40" s="38">
        <f t="shared" si="6"/>
        <v>0.78972312297331004</v>
      </c>
      <c r="E40" s="38">
        <f t="shared" si="6"/>
        <v>1.656989727556945</v>
      </c>
      <c r="F40" s="38">
        <f t="shared" si="6"/>
        <v>1.3995037220843674</v>
      </c>
      <c r="G40" s="38">
        <f t="shared" si="6"/>
        <v>1.4929735259017511</v>
      </c>
      <c r="H40" s="38">
        <f t="shared" si="6"/>
        <v>0.85961832946171901</v>
      </c>
      <c r="M40" t="str">
        <f>INDEX($B$1:$H$1,1,MATCH((MAX(B40:H40)),B40:H40,0))</f>
        <v>Singlife 
Whole Life Choice</v>
      </c>
    </row>
    <row r="41" spans="1:13" x14ac:dyDescent="0.35">
      <c r="A41" s="55" t="s">
        <v>395</v>
      </c>
      <c r="B41" s="38">
        <f t="shared" si="6"/>
        <v>4.0793752674368848</v>
      </c>
      <c r="C41" s="38">
        <f t="shared" si="6"/>
        <v>3.8715227422544496</v>
      </c>
      <c r="D41" s="38">
        <f t="shared" si="6"/>
        <v>2.7012970815664756</v>
      </c>
      <c r="E41" s="38">
        <f t="shared" si="6"/>
        <v>4.0594908441268425</v>
      </c>
      <c r="F41" s="38">
        <f t="shared" si="6"/>
        <v>4.0910669975186105</v>
      </c>
      <c r="G41" s="38">
        <f t="shared" si="6"/>
        <v>5.0272778197228378</v>
      </c>
      <c r="H41" s="38">
        <f t="shared" si="6"/>
        <v>3.6908012842298024</v>
      </c>
      <c r="M41" t="str">
        <f>INDEX($B$1:$H$1,1,MATCH((MAX(B41:H41)),B41:H41,0))</f>
        <v>Income 
Complete Life Secure</v>
      </c>
    </row>
    <row r="42" spans="1:13" x14ac:dyDescent="0.35">
      <c r="A42" s="60" t="s">
        <v>430</v>
      </c>
      <c r="B42" s="61"/>
      <c r="C42" s="62"/>
      <c r="D42" s="62"/>
      <c r="E42" s="61"/>
      <c r="F42" s="61"/>
      <c r="G42" s="61"/>
      <c r="H42" s="61"/>
    </row>
    <row r="43" spans="1:13" hidden="1" x14ac:dyDescent="0.35">
      <c r="A43" s="33" t="s">
        <v>388</v>
      </c>
      <c r="B43" s="37">
        <v>100000</v>
      </c>
      <c r="C43" s="37">
        <v>100000</v>
      </c>
      <c r="D43" s="37">
        <v>100000</v>
      </c>
      <c r="E43" s="37">
        <v>180000</v>
      </c>
      <c r="F43" s="37">
        <v>150000</v>
      </c>
      <c r="G43" s="37">
        <v>100000</v>
      </c>
      <c r="H43" s="37">
        <v>100000</v>
      </c>
    </row>
    <row r="44" spans="1:13" hidden="1" x14ac:dyDescent="0.35">
      <c r="A44" s="33" t="s">
        <v>389</v>
      </c>
      <c r="B44" s="37">
        <v>255238</v>
      </c>
      <c r="C44" s="37">
        <v>385142</v>
      </c>
      <c r="D44" s="37">
        <v>385142</v>
      </c>
      <c r="E44" s="37">
        <v>274425</v>
      </c>
      <c r="F44" s="37">
        <v>285070</v>
      </c>
      <c r="G44" s="37">
        <v>298850</v>
      </c>
      <c r="H44" s="37">
        <v>296482</v>
      </c>
    </row>
    <row r="45" spans="1:13" hidden="1" x14ac:dyDescent="0.35">
      <c r="A45" s="33" t="s">
        <v>390</v>
      </c>
      <c r="B45" s="37">
        <v>85300</v>
      </c>
      <c r="C45" s="37">
        <v>76920</v>
      </c>
      <c r="D45" s="37">
        <v>72790</v>
      </c>
      <c r="E45" s="37">
        <v>79600</v>
      </c>
      <c r="F45" s="37">
        <v>59200</v>
      </c>
      <c r="G45" s="37">
        <v>66600</v>
      </c>
      <c r="H45" s="37">
        <v>45700</v>
      </c>
    </row>
    <row r="46" spans="1:13" hidden="1" x14ac:dyDescent="0.35">
      <c r="A46" s="33" t="s">
        <v>391</v>
      </c>
      <c r="B46" s="37">
        <v>221619</v>
      </c>
      <c r="C46" s="37">
        <v>296251</v>
      </c>
      <c r="D46" s="37">
        <v>280345</v>
      </c>
      <c r="E46" s="37">
        <v>218441</v>
      </c>
      <c r="F46" s="37">
        <v>190067</v>
      </c>
      <c r="G46" s="37">
        <v>240856</v>
      </c>
      <c r="H46" s="37">
        <v>209484</v>
      </c>
    </row>
    <row r="47" spans="1:13" x14ac:dyDescent="0.35">
      <c r="A47" s="55" t="s">
        <v>392</v>
      </c>
      <c r="B47" s="38">
        <f t="shared" ref="B47:H50" si="7">B43/B$13</f>
        <v>2.1394950791613181</v>
      </c>
      <c r="C47" s="38">
        <f t="shared" si="7"/>
        <v>1.6479894528675016</v>
      </c>
      <c r="D47" s="38">
        <f t="shared" si="7"/>
        <v>1.2471938139186829</v>
      </c>
      <c r="E47" s="38">
        <f t="shared" si="7"/>
        <v>4.0196516301920502</v>
      </c>
      <c r="F47" s="38">
        <f t="shared" si="7"/>
        <v>3.7220843672456576</v>
      </c>
      <c r="G47" s="38">
        <f t="shared" si="7"/>
        <v>2.4355196181105239</v>
      </c>
      <c r="H47" s="38">
        <f t="shared" si="7"/>
        <v>1.999112394097021</v>
      </c>
      <c r="M47" t="str">
        <f>INDEX($B$1:$H$1,1,MATCH((MAX(B47:H47)),B47:H47,0))</f>
        <v>China Taiping 
I-Secure Legacy (II)</v>
      </c>
    </row>
    <row r="48" spans="1:13" x14ac:dyDescent="0.35">
      <c r="A48" s="55" t="s">
        <v>393</v>
      </c>
      <c r="B48" s="38">
        <f t="shared" si="7"/>
        <v>5.460804450149765</v>
      </c>
      <c r="C48" s="38">
        <f t="shared" si="7"/>
        <v>6.3470995385629534</v>
      </c>
      <c r="D48" s="38">
        <f t="shared" si="7"/>
        <v>4.8034671988026938</v>
      </c>
      <c r="E48" s="38">
        <f t="shared" si="7"/>
        <v>6.1282938811969627</v>
      </c>
      <c r="F48" s="38">
        <f t="shared" si="7"/>
        <v>7.073697270471464</v>
      </c>
      <c r="G48" s="38">
        <f t="shared" si="7"/>
        <v>7.2785503787233008</v>
      </c>
      <c r="H48" s="38">
        <f t="shared" si="7"/>
        <v>5.9270084082667296</v>
      </c>
      <c r="M48" t="str">
        <f>INDEX($B$1:$H$1,1,MATCH((MAX(B48:H48)),B48:H48,0))</f>
        <v>Income 
Complete Life Secure</v>
      </c>
    </row>
    <row r="49" spans="1:13" x14ac:dyDescent="0.35">
      <c r="A49" s="55" t="s">
        <v>394</v>
      </c>
      <c r="B49" s="38">
        <f t="shared" si="7"/>
        <v>1.8249893025246042</v>
      </c>
      <c r="C49" s="38">
        <f t="shared" si="7"/>
        <v>1.2676334871456822</v>
      </c>
      <c r="D49" s="38">
        <f t="shared" si="7"/>
        <v>0.9078323771514093</v>
      </c>
      <c r="E49" s="38">
        <f t="shared" si="7"/>
        <v>1.7775792764627065</v>
      </c>
      <c r="F49" s="38">
        <f t="shared" si="7"/>
        <v>1.4689826302729529</v>
      </c>
      <c r="G49" s="38">
        <f>G45/G$13</f>
        <v>1.622056065661609</v>
      </c>
      <c r="H49" s="38">
        <f t="shared" si="7"/>
        <v>0.91359436410233863</v>
      </c>
      <c r="M49" t="str">
        <f>INDEX($B$1:$H$1,1,MATCH((MAX(B49:H49)),B49:H49,0))</f>
        <v>Singlife 
Whole Life Choice</v>
      </c>
    </row>
    <row r="50" spans="1:13" x14ac:dyDescent="0.35">
      <c r="A50" s="55" t="s">
        <v>395</v>
      </c>
      <c r="B50" s="38">
        <f t="shared" si="7"/>
        <v>4.7415275994865214</v>
      </c>
      <c r="C50" s="38">
        <f t="shared" si="7"/>
        <v>4.8821852340145027</v>
      </c>
      <c r="D50" s="38">
        <f t="shared" si="7"/>
        <v>3.4964454976303316</v>
      </c>
      <c r="E50" s="38">
        <f t="shared" si="7"/>
        <v>4.8780928986154537</v>
      </c>
      <c r="F50" s="38">
        <f t="shared" si="7"/>
        <v>4.716302729528536</v>
      </c>
      <c r="G50" s="38">
        <f>G46/G$13</f>
        <v>5.8660951313962837</v>
      </c>
      <c r="H50" s="38">
        <f t="shared" si="7"/>
        <v>4.1878206076502034</v>
      </c>
      <c r="M50" t="str">
        <f>INDEX($B$1:$H$1,1,MATCH((MAX(B50:H50)),B50:H50,0))</f>
        <v>Income 
Complete Life Secure</v>
      </c>
    </row>
    <row r="51" spans="1:13" x14ac:dyDescent="0.35">
      <c r="A51" s="39" t="s">
        <v>43</v>
      </c>
      <c r="B51" s="40">
        <v>3.04E-2</v>
      </c>
      <c r="C51" s="40">
        <v>1.8499999999999999E-2</v>
      </c>
      <c r="D51" s="40">
        <v>4.0000000000000001E-3</v>
      </c>
      <c r="E51" s="40">
        <v>2.6700000000000002E-2</v>
      </c>
      <c r="F51" s="40">
        <v>2.6200000000000001E-2</v>
      </c>
      <c r="G51" s="40">
        <v>3.3000000000000002E-2</v>
      </c>
      <c r="H51" s="40">
        <v>2.8500000000000001E-2</v>
      </c>
      <c r="M51" t="str">
        <f>INDEX($B$1:$H$1,1,MATCH((MAX(B51:H51)),B51:H51,0))</f>
        <v>Income 
Complete Life Secure</v>
      </c>
    </row>
  </sheetData>
  <sheetProtection algorithmName="SHA-512" hashValue="yMg8zx/jHJ+V5a8CI7TIpUxRlASJrfFLD7sWm/mt+cDJ3jewyN2O0PwVF8DezFfrhsJGE9p3vFcWIKcTVf/3Hg==" saltValue="YU9WxLBMHopdlAv/qTykJw==" spinCount="100000" sheet="1" objects="1" scenarios="1" selectLockedCells="1" autoFilter="0" selectUnlockedCells="1"/>
  <conditionalFormatting sqref="B14 E14:H14">
    <cfRule type="top10" dxfId="42" priority="815" bottom="1" rank="1"/>
    <cfRule type="top10" dxfId="41" priority="816" bottom="1" rank="2"/>
  </conditionalFormatting>
  <conditionalFormatting sqref="B15 E15:H15">
    <cfRule type="top10" dxfId="40" priority="821" bottom="1" rank="1"/>
    <cfRule type="top10" dxfId="39" priority="822" bottom="1" rank="2"/>
  </conditionalFormatting>
  <conditionalFormatting sqref="B21 E21:H21">
    <cfRule type="top10" dxfId="38" priority="827" rank="1"/>
    <cfRule type="top10" dxfId="37" priority="828" rank="2"/>
  </conditionalFormatting>
  <conditionalFormatting sqref="B22 E22:H22">
    <cfRule type="top10" dxfId="36" priority="833" rank="1"/>
    <cfRule type="top10" dxfId="35" priority="834" rank="2"/>
  </conditionalFormatting>
  <conditionalFormatting sqref="B23 E23:H23">
    <cfRule type="top10" dxfId="34" priority="839" rank="1"/>
    <cfRule type="top10" dxfId="33" priority="840" rank="2"/>
  </conditionalFormatting>
  <conditionalFormatting sqref="B12:H12">
    <cfRule type="top10" dxfId="32" priority="845" bottom="1" rank="1"/>
    <cfRule type="top10" dxfId="31" priority="846" bottom="1" rank="2"/>
  </conditionalFormatting>
  <conditionalFormatting sqref="B13:H13">
    <cfRule type="top10" dxfId="30" priority="849" bottom="1" rank="1"/>
    <cfRule type="top10" dxfId="29" priority="850" bottom="1" rank="2"/>
  </conditionalFormatting>
  <conditionalFormatting sqref="B16:H16">
    <cfRule type="top10" dxfId="28" priority="853" bottom="1" rank="1"/>
    <cfRule type="top10" dxfId="27" priority="854" bottom="1" rank="2"/>
  </conditionalFormatting>
  <conditionalFormatting sqref="B29:H29">
    <cfRule type="top10" dxfId="26" priority="857" rank="1"/>
    <cfRule type="top10" dxfId="25" priority="858" rank="2"/>
  </conditionalFormatting>
  <conditionalFormatting sqref="B30:H30">
    <cfRule type="top10" dxfId="24" priority="861" rank="1"/>
    <cfRule type="top10" dxfId="23" priority="862" rank="2"/>
  </conditionalFormatting>
  <conditionalFormatting sqref="B31:H31">
    <cfRule type="top10" dxfId="22" priority="865" rank="1"/>
    <cfRule type="top10" dxfId="21" priority="866" rank="2"/>
  </conditionalFormatting>
  <conditionalFormatting sqref="B32:H32">
    <cfRule type="top10" dxfId="20" priority="869" rank="1"/>
    <cfRule type="top10" dxfId="19" priority="870" rank="2"/>
  </conditionalFormatting>
  <conditionalFormatting sqref="B38:H38">
    <cfRule type="top10" dxfId="18" priority="873" rank="1"/>
    <cfRule type="top10" dxfId="17" priority="874" rank="2"/>
  </conditionalFormatting>
  <conditionalFormatting sqref="B39:H39">
    <cfRule type="top10" dxfId="16" priority="877" rank="1"/>
    <cfRule type="top10" dxfId="15" priority="878" rank="2"/>
  </conditionalFormatting>
  <conditionalFormatting sqref="B40:H40">
    <cfRule type="top10" dxfId="14" priority="881" rank="1"/>
    <cfRule type="top10" dxfId="13" priority="882" rank="2"/>
  </conditionalFormatting>
  <conditionalFormatting sqref="B41:H41">
    <cfRule type="top10" dxfId="12" priority="885" rank="1"/>
    <cfRule type="top10" dxfId="11" priority="886" rank="2"/>
  </conditionalFormatting>
  <conditionalFormatting sqref="B47:H47">
    <cfRule type="top10" dxfId="10" priority="889" rank="1"/>
    <cfRule type="top10" dxfId="9" priority="890" rank="2"/>
  </conditionalFormatting>
  <conditionalFormatting sqref="B48:H48">
    <cfRule type="top10" dxfId="8" priority="893" rank="1"/>
    <cfRule type="top10" dxfId="7" priority="894" rank="2"/>
  </conditionalFormatting>
  <conditionalFormatting sqref="B49:H49">
    <cfRule type="top10" dxfId="6" priority="897" rank="1"/>
    <cfRule type="top10" dxfId="5" priority="898" rank="2"/>
  </conditionalFormatting>
  <conditionalFormatting sqref="B50:H50">
    <cfRule type="top10" dxfId="4" priority="901" rank="1"/>
    <cfRule type="top10" dxfId="3" priority="902" rank="2"/>
  </conditionalFormatting>
  <conditionalFormatting sqref="B51:H51">
    <cfRule type="top10" dxfId="2" priority="905" rank="1"/>
    <cfRule type="top10" dxfId="1" priority="906" rank="2"/>
  </conditionalFormatting>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3359-FE3E-49D0-A4AC-0F68529CA6BF}">
  <sheetPr codeName="Sheet6"/>
  <dimension ref="A1:U33"/>
  <sheetViews>
    <sheetView zoomScaleNormal="100" workbookViewId="0">
      <selection activeCell="J2" sqref="J2"/>
    </sheetView>
  </sheetViews>
  <sheetFormatPr defaultRowHeight="14.5" x14ac:dyDescent="0.35"/>
  <cols>
    <col min="1" max="8" width="10.1796875" bestFit="1" customWidth="1"/>
    <col min="10" max="10" width="24.1796875" customWidth="1"/>
    <col min="13" max="13" width="10.54296875" customWidth="1"/>
    <col min="14" max="14" width="11.81640625" customWidth="1"/>
    <col min="15" max="15" width="12.1796875" customWidth="1"/>
    <col min="16" max="17" width="11.1796875" customWidth="1"/>
    <col min="18" max="18" width="13" customWidth="1"/>
    <col min="19" max="19" width="11.453125" customWidth="1"/>
    <col min="21" max="21" width="18.81640625" customWidth="1"/>
  </cols>
  <sheetData>
    <row r="1" spans="1:21" ht="58" x14ac:dyDescent="0.35">
      <c r="A1" s="14" t="s">
        <v>50</v>
      </c>
      <c r="B1" s="15" t="s">
        <v>432</v>
      </c>
      <c r="C1" s="15" t="s">
        <v>433</v>
      </c>
      <c r="D1" s="15" t="s">
        <v>434</v>
      </c>
      <c r="E1" s="15" t="s">
        <v>435</v>
      </c>
      <c r="F1" s="15" t="s">
        <v>436</v>
      </c>
      <c r="G1" s="15" t="s">
        <v>437</v>
      </c>
      <c r="H1" s="15" t="s">
        <v>438</v>
      </c>
      <c r="L1" s="16" t="s">
        <v>50</v>
      </c>
      <c r="M1" s="17" t="s">
        <v>432</v>
      </c>
      <c r="N1" s="17" t="s">
        <v>433</v>
      </c>
      <c r="O1" s="17" t="s">
        <v>434</v>
      </c>
      <c r="P1" s="17" t="s">
        <v>435</v>
      </c>
      <c r="Q1" s="17" t="s">
        <v>436</v>
      </c>
      <c r="R1" s="17" t="s">
        <v>437</v>
      </c>
      <c r="S1" s="17" t="s">
        <v>438</v>
      </c>
    </row>
    <row r="2" spans="1:21" x14ac:dyDescent="0.35">
      <c r="A2" s="18" t="s">
        <v>439</v>
      </c>
      <c r="B2" s="19">
        <v>514.1</v>
      </c>
      <c r="C2" s="19">
        <v>1080</v>
      </c>
      <c r="D2" s="19">
        <v>518.09999999999991</v>
      </c>
      <c r="E2" s="19">
        <v>870</v>
      </c>
      <c r="F2" s="19">
        <v>757.16</v>
      </c>
      <c r="G2" s="19">
        <v>579.20000000000005</v>
      </c>
      <c r="H2" s="19">
        <v>424.79999999999995</v>
      </c>
      <c r="J2" t="str">
        <f>INDEX($B$1:$H$1,1,MATCH((MIN(B2:H2)),B2:H2,0))</f>
        <v>Tokio Marine Term Assure II</v>
      </c>
      <c r="L2" s="20" t="s">
        <v>439</v>
      </c>
      <c r="M2" s="21">
        <v>405.95</v>
      </c>
      <c r="N2" s="21">
        <v>730</v>
      </c>
      <c r="O2" s="21">
        <v>376.91250000000002</v>
      </c>
      <c r="P2" s="21">
        <v>660</v>
      </c>
      <c r="Q2" s="21">
        <v>544.64</v>
      </c>
      <c r="R2" s="21">
        <v>493.85</v>
      </c>
      <c r="S2" s="21">
        <v>313.2</v>
      </c>
      <c r="U2" t="str">
        <f>INDEX($M$1:$S$1,1,MATCH((MIN(M2:S2)),M2:S2,0))</f>
        <v>Tokio Marine Term Assure II</v>
      </c>
    </row>
    <row r="3" spans="1:21" x14ac:dyDescent="0.35">
      <c r="A3" s="18" t="s">
        <v>440</v>
      </c>
      <c r="B3" s="19">
        <v>877.8</v>
      </c>
      <c r="C3" s="19">
        <v>1760</v>
      </c>
      <c r="D3" s="19">
        <v>809.625</v>
      </c>
      <c r="E3" s="19">
        <v>1180</v>
      </c>
      <c r="F3" s="19">
        <v>981.64</v>
      </c>
      <c r="G3" s="19">
        <v>989.95</v>
      </c>
      <c r="H3" s="19">
        <v>657</v>
      </c>
      <c r="J3" t="str">
        <f>INDEX($B$1:$H$1,1,MATCH((MIN(B3:H3)),B3:H3,0))</f>
        <v>Tokio Marine Term Assure II</v>
      </c>
      <c r="L3" s="20" t="s">
        <v>440</v>
      </c>
      <c r="M3" s="21">
        <v>685.25</v>
      </c>
      <c r="N3" s="21">
        <v>1170</v>
      </c>
      <c r="O3" s="21">
        <v>592.34999999999991</v>
      </c>
      <c r="P3" s="21">
        <v>890</v>
      </c>
      <c r="Q3" s="21">
        <v>766.36</v>
      </c>
      <c r="R3" s="21">
        <v>746.5</v>
      </c>
      <c r="S3" s="21">
        <v>496.7999999999999</v>
      </c>
      <c r="U3" t="str">
        <f>INDEX($M$1:$S$1,1,MATCH((MIN(M3:S3)),M3:S3,0))</f>
        <v>Tokio Marine Term Assure II</v>
      </c>
    </row>
    <row r="4" spans="1:21" x14ac:dyDescent="0.35">
      <c r="A4" s="18" t="s">
        <v>441</v>
      </c>
      <c r="B4" s="19">
        <v>1583</v>
      </c>
      <c r="C4" s="19">
        <v>3020</v>
      </c>
      <c r="D4" s="19">
        <v>1458.6</v>
      </c>
      <c r="E4" s="19">
        <v>1930</v>
      </c>
      <c r="F4" s="19">
        <v>1721.3200000000002</v>
      </c>
      <c r="G4" s="19">
        <v>1737.6</v>
      </c>
      <c r="H4" s="19">
        <v>1287</v>
      </c>
      <c r="J4" t="str">
        <f>INDEX($B$1:$H$1,1,MATCH((MIN(B4:H4)),B4:H4,0))</f>
        <v>Tokio Marine Term Assure II</v>
      </c>
      <c r="L4" s="20" t="s">
        <v>441</v>
      </c>
      <c r="M4" s="21">
        <v>1140.55</v>
      </c>
      <c r="N4" s="21">
        <v>1760</v>
      </c>
      <c r="O4" s="21">
        <v>1007.4000000000001</v>
      </c>
      <c r="P4" s="21">
        <v>1380</v>
      </c>
      <c r="Q4" s="21">
        <v>1173.92</v>
      </c>
      <c r="R4" s="21">
        <v>1144.55</v>
      </c>
      <c r="S4" s="21">
        <v>896.40000000000009</v>
      </c>
      <c r="U4" t="str">
        <f>INDEX($M$1:$S$1,1,MATCH((MIN(M4:S4)),M4:S4,0))</f>
        <v>Tokio Marine Term Assure II</v>
      </c>
    </row>
    <row r="5" spans="1:21" x14ac:dyDescent="0.35">
      <c r="B5" s="22"/>
      <c r="C5" s="22"/>
      <c r="D5" s="22"/>
      <c r="E5" s="22"/>
      <c r="F5" s="22"/>
      <c r="G5" s="22"/>
      <c r="H5" s="22"/>
    </row>
    <row r="6" spans="1:21" x14ac:dyDescent="0.35">
      <c r="A6" s="18" t="s">
        <v>439</v>
      </c>
      <c r="B6" s="19">
        <v>1878.35</v>
      </c>
      <c r="C6" s="19">
        <v>3160</v>
      </c>
      <c r="D6" s="19">
        <v>1788.4499999999998</v>
      </c>
      <c r="E6" s="19">
        <v>2770</v>
      </c>
      <c r="F6" s="19">
        <v>2242.04</v>
      </c>
      <c r="G6" s="19" t="s">
        <v>62</v>
      </c>
      <c r="H6" s="19">
        <v>1192.8</v>
      </c>
      <c r="J6" t="str">
        <f>INDEX($B$1:$H$1,1,MATCH((MIN(B6:H6)),B6:H6,0))</f>
        <v>Tokio Marine Term Assure II</v>
      </c>
      <c r="L6" s="21" t="s">
        <v>439</v>
      </c>
      <c r="M6" s="21">
        <v>2017.8</v>
      </c>
      <c r="N6" s="21">
        <v>3020</v>
      </c>
      <c r="O6" s="21">
        <v>1929.4125000000001</v>
      </c>
      <c r="P6" s="21">
        <v>3310</v>
      </c>
      <c r="Q6" s="21">
        <v>2237.44</v>
      </c>
      <c r="R6" s="21" t="s">
        <v>63</v>
      </c>
      <c r="S6" s="21">
        <v>1261.1999999999998</v>
      </c>
      <c r="U6" t="str">
        <f>INDEX($M$1:$S$1,1,MATCH((MIN(M6:S6)),M6:S6,0))</f>
        <v>Tokio Marine Term Assure II</v>
      </c>
    </row>
    <row r="7" spans="1:21" x14ac:dyDescent="0.35">
      <c r="A7" s="18" t="s">
        <v>440</v>
      </c>
      <c r="B7" s="19">
        <v>3512.2</v>
      </c>
      <c r="C7" s="19">
        <v>5360</v>
      </c>
      <c r="D7" s="19">
        <v>2915.625</v>
      </c>
      <c r="E7" s="19">
        <v>4120</v>
      </c>
      <c r="F7" s="19">
        <v>3266</v>
      </c>
      <c r="G7" s="19" t="s">
        <v>62</v>
      </c>
      <c r="H7" s="19">
        <v>2127</v>
      </c>
      <c r="J7" t="str">
        <f>INDEX($B$1:$H$1,1,MATCH((MIN(B7:H7)),B7:H7,0))</f>
        <v>Tokio Marine Term Assure II</v>
      </c>
      <c r="L7" s="21" t="s">
        <v>440</v>
      </c>
      <c r="M7" s="21">
        <v>3748.6</v>
      </c>
      <c r="N7" s="21">
        <v>5460</v>
      </c>
      <c r="O7" s="21">
        <v>3023.8500000000004</v>
      </c>
      <c r="P7" s="21">
        <v>4830</v>
      </c>
      <c r="Q7" s="21">
        <v>3394.761263157895</v>
      </c>
      <c r="R7" s="21" t="s">
        <v>63</v>
      </c>
      <c r="S7" s="21">
        <v>2116.8000000000002</v>
      </c>
      <c r="U7" t="str">
        <f>INDEX($M$1:$S$1,1,MATCH((MIN(M7:S7)),M7:S7,0))</f>
        <v>Tokio Marine Term Assure II</v>
      </c>
    </row>
    <row r="8" spans="1:21" x14ac:dyDescent="0.35">
      <c r="A8" s="18" t="s">
        <v>441</v>
      </c>
      <c r="B8" s="19">
        <v>6843.15</v>
      </c>
      <c r="C8" s="19">
        <v>10470</v>
      </c>
      <c r="D8" s="19">
        <v>5026.3500000000004</v>
      </c>
      <c r="E8" s="19">
        <v>7100</v>
      </c>
      <c r="F8" s="19">
        <v>5920.2</v>
      </c>
      <c r="G8" s="19" t="s">
        <v>62</v>
      </c>
      <c r="H8" s="19">
        <v>4281</v>
      </c>
      <c r="J8" t="str">
        <f>INDEX($B$1:$H$1,1,MATCH((MIN(B8:H8)),B8:H8,0))</f>
        <v>Tokio Marine Term Assure II</v>
      </c>
      <c r="L8" s="21" t="s">
        <v>441</v>
      </c>
      <c r="M8" s="21">
        <v>6093.35</v>
      </c>
      <c r="N8" s="21">
        <v>8100</v>
      </c>
      <c r="O8" s="21">
        <v>4476.1499999999996</v>
      </c>
      <c r="P8" s="21">
        <v>7220</v>
      </c>
      <c r="Q8" s="21">
        <v>5375.56</v>
      </c>
      <c r="R8" s="21" t="s">
        <v>63</v>
      </c>
      <c r="S8" s="21">
        <v>3464.3999999999996</v>
      </c>
      <c r="U8" t="str">
        <f>INDEX($M$1:$S$1,1,MATCH((MIN(M8:S8)),M8:S8,0))</f>
        <v>Tokio Marine Term Assure II</v>
      </c>
    </row>
    <row r="11" spans="1:21" ht="72.5" x14ac:dyDescent="0.35">
      <c r="A11" s="18" t="s">
        <v>442</v>
      </c>
      <c r="B11" t="s">
        <v>116</v>
      </c>
      <c r="C11" t="s">
        <v>117</v>
      </c>
      <c r="D11" t="s">
        <v>118</v>
      </c>
      <c r="E11" s="22" t="s">
        <v>433</v>
      </c>
      <c r="F11" s="22" t="s">
        <v>434</v>
      </c>
      <c r="G11" s="22" t="s">
        <v>443</v>
      </c>
      <c r="H11" s="23" t="s">
        <v>444</v>
      </c>
      <c r="I11" s="22" t="s">
        <v>445</v>
      </c>
      <c r="J11" s="22" t="s">
        <v>446</v>
      </c>
      <c r="K11" s="22" t="s">
        <v>447</v>
      </c>
      <c r="L11" s="22" t="s">
        <v>448</v>
      </c>
      <c r="M11" s="22" t="s">
        <v>449</v>
      </c>
      <c r="N11" s="22" t="s">
        <v>450</v>
      </c>
      <c r="O11" s="24" t="s">
        <v>451</v>
      </c>
      <c r="P11" s="22" t="s">
        <v>432</v>
      </c>
      <c r="Q11" s="22" t="s">
        <v>452</v>
      </c>
    </row>
    <row r="12" spans="1:21" x14ac:dyDescent="0.35">
      <c r="A12" s="25">
        <v>34700</v>
      </c>
      <c r="B12">
        <v>30</v>
      </c>
      <c r="C12">
        <f>B12-1</f>
        <v>29</v>
      </c>
      <c r="D12">
        <v>35</v>
      </c>
      <c r="E12">
        <v>3160</v>
      </c>
      <c r="F12">
        <v>2385</v>
      </c>
      <c r="G12">
        <v>2588</v>
      </c>
      <c r="H12">
        <v>2446</v>
      </c>
      <c r="I12">
        <v>2018</v>
      </c>
      <c r="J12">
        <v>2107</v>
      </c>
      <c r="K12">
        <v>1956</v>
      </c>
      <c r="L12">
        <v>2092</v>
      </c>
      <c r="M12">
        <v>2243</v>
      </c>
      <c r="N12">
        <v>2979</v>
      </c>
      <c r="O12">
        <v>2511</v>
      </c>
      <c r="P12">
        <v>1879</v>
      </c>
      <c r="Q12">
        <v>1988</v>
      </c>
    </row>
    <row r="13" spans="1:21" x14ac:dyDescent="0.35">
      <c r="A13" s="25" t="s">
        <v>453</v>
      </c>
      <c r="E13">
        <v>0</v>
      </c>
      <c r="F13">
        <v>0</v>
      </c>
    </row>
    <row r="14" spans="1:21" x14ac:dyDescent="0.35">
      <c r="A14" t="s">
        <v>454</v>
      </c>
      <c r="E14">
        <v>0</v>
      </c>
      <c r="F14">
        <v>0</v>
      </c>
      <c r="Q14">
        <f>Q12*0.4</f>
        <v>795.2</v>
      </c>
    </row>
    <row r="15" spans="1:21" x14ac:dyDescent="0.35">
      <c r="A15" t="s">
        <v>455</v>
      </c>
      <c r="E15" s="26">
        <f>E12-E14</f>
        <v>3160</v>
      </c>
      <c r="F15" s="26">
        <f t="shared" ref="F15:Q15" si="0">F12-F14</f>
        <v>2385</v>
      </c>
      <c r="G15" s="26">
        <f t="shared" si="0"/>
        <v>2588</v>
      </c>
      <c r="H15" s="26">
        <f t="shared" si="0"/>
        <v>2446</v>
      </c>
      <c r="I15" s="26">
        <f t="shared" si="0"/>
        <v>2018</v>
      </c>
      <c r="J15" s="26">
        <f t="shared" si="0"/>
        <v>2107</v>
      </c>
      <c r="K15" s="26">
        <f t="shared" si="0"/>
        <v>1956</v>
      </c>
      <c r="L15" s="26">
        <f t="shared" si="0"/>
        <v>2092</v>
      </c>
      <c r="M15" s="26">
        <f t="shared" si="0"/>
        <v>2243</v>
      </c>
      <c r="N15" s="26">
        <f t="shared" si="0"/>
        <v>2979</v>
      </c>
      <c r="O15" s="26">
        <f t="shared" si="0"/>
        <v>2511</v>
      </c>
      <c r="P15" s="26">
        <f t="shared" si="0"/>
        <v>1879</v>
      </c>
      <c r="Q15" s="26">
        <f t="shared" si="0"/>
        <v>1192.8</v>
      </c>
    </row>
    <row r="16" spans="1:21" x14ac:dyDescent="0.35">
      <c r="A16" t="s">
        <v>456</v>
      </c>
      <c r="E16">
        <v>0</v>
      </c>
      <c r="F16">
        <v>0</v>
      </c>
      <c r="Q16">
        <v>3</v>
      </c>
    </row>
    <row r="17" spans="1:17" x14ac:dyDescent="0.35">
      <c r="A17" t="s">
        <v>457</v>
      </c>
      <c r="E17">
        <f t="shared" ref="E17:P17" si="1">E16*E15</f>
        <v>0</v>
      </c>
      <c r="F17">
        <f t="shared" si="1"/>
        <v>0</v>
      </c>
      <c r="G17">
        <f t="shared" si="1"/>
        <v>0</v>
      </c>
      <c r="H17">
        <f t="shared" si="1"/>
        <v>0</v>
      </c>
      <c r="I17">
        <f t="shared" si="1"/>
        <v>0</v>
      </c>
      <c r="J17">
        <f t="shared" si="1"/>
        <v>0</v>
      </c>
      <c r="K17">
        <f t="shared" si="1"/>
        <v>0</v>
      </c>
      <c r="L17">
        <f t="shared" si="1"/>
        <v>0</v>
      </c>
      <c r="M17">
        <f t="shared" si="1"/>
        <v>0</v>
      </c>
      <c r="N17">
        <f t="shared" si="1"/>
        <v>0</v>
      </c>
      <c r="O17">
        <f t="shared" si="1"/>
        <v>0</v>
      </c>
      <c r="P17">
        <f t="shared" si="1"/>
        <v>0</v>
      </c>
      <c r="Q17">
        <f>Q16*Q15</f>
        <v>3578.3999999999996</v>
      </c>
    </row>
    <row r="18" spans="1:17" x14ac:dyDescent="0.35">
      <c r="A18" t="s">
        <v>381</v>
      </c>
      <c r="E18">
        <f>E12*$D$12-E17</f>
        <v>110600</v>
      </c>
      <c r="F18">
        <f t="shared" ref="F18:Q18" si="2">F12*$D$12-F17</f>
        <v>83475</v>
      </c>
      <c r="G18">
        <f t="shared" si="2"/>
        <v>90580</v>
      </c>
      <c r="H18">
        <f t="shared" si="2"/>
        <v>85610</v>
      </c>
      <c r="I18">
        <f t="shared" si="2"/>
        <v>70630</v>
      </c>
      <c r="J18">
        <f t="shared" si="2"/>
        <v>73745</v>
      </c>
      <c r="K18">
        <f t="shared" si="2"/>
        <v>68460</v>
      </c>
      <c r="L18">
        <f t="shared" si="2"/>
        <v>73220</v>
      </c>
      <c r="M18">
        <f t="shared" si="2"/>
        <v>78505</v>
      </c>
      <c r="N18">
        <f t="shared" si="2"/>
        <v>104265</v>
      </c>
      <c r="O18">
        <f t="shared" si="2"/>
        <v>87885</v>
      </c>
      <c r="P18">
        <f t="shared" si="2"/>
        <v>65765</v>
      </c>
      <c r="Q18">
        <f t="shared" si="2"/>
        <v>66001.600000000006</v>
      </c>
    </row>
    <row r="19" spans="1:17" x14ac:dyDescent="0.35">
      <c r="A19" s="25">
        <v>31048</v>
      </c>
      <c r="B19">
        <v>40</v>
      </c>
      <c r="C19">
        <f t="shared" ref="C19:C20" si="3">B19-1</f>
        <v>39</v>
      </c>
      <c r="D19">
        <v>25</v>
      </c>
    </row>
    <row r="20" spans="1:17" x14ac:dyDescent="0.35">
      <c r="A20" s="25">
        <v>27395</v>
      </c>
      <c r="B20">
        <v>50</v>
      </c>
      <c r="C20">
        <f t="shared" si="3"/>
        <v>49</v>
      </c>
      <c r="D20">
        <v>15</v>
      </c>
    </row>
    <row r="24" spans="1:17" x14ac:dyDescent="0.35">
      <c r="A24" s="27" t="s">
        <v>458</v>
      </c>
    </row>
    <row r="25" spans="1:17" x14ac:dyDescent="0.35">
      <c r="A25" t="s">
        <v>459</v>
      </c>
    </row>
    <row r="26" spans="1:17" x14ac:dyDescent="0.35">
      <c r="A26" t="s">
        <v>460</v>
      </c>
    </row>
    <row r="27" spans="1:17" x14ac:dyDescent="0.35">
      <c r="A27" t="s">
        <v>461</v>
      </c>
    </row>
    <row r="28" spans="1:17" x14ac:dyDescent="0.35">
      <c r="A28" t="s">
        <v>462</v>
      </c>
    </row>
    <row r="29" spans="1:17" x14ac:dyDescent="0.35">
      <c r="A29" t="s">
        <v>463</v>
      </c>
    </row>
    <row r="30" spans="1:17" x14ac:dyDescent="0.35">
      <c r="A30" t="s">
        <v>464</v>
      </c>
    </row>
    <row r="31" spans="1:17" x14ac:dyDescent="0.35">
      <c r="A31" t="s">
        <v>465</v>
      </c>
    </row>
    <row r="32" spans="1:17" x14ac:dyDescent="0.35">
      <c r="A32" t="s">
        <v>466</v>
      </c>
    </row>
    <row r="33" spans="1:1" x14ac:dyDescent="0.35">
      <c r="A33" t="s">
        <v>467</v>
      </c>
    </row>
  </sheetData>
  <conditionalFormatting sqref="E18:Q18">
    <cfRule type="top10" dxfId="0" priority="1" bottom="1" rank="3"/>
  </conditionalFormatting>
  <hyperlinks>
    <hyperlink ref="A24" r:id="rId1" xr:uid="{F85BDDA0-1049-4180-BF76-766CE609ED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Cover Page</vt:lpstr>
      <vt:lpstr>Overview &amp; Important Notes</vt:lpstr>
      <vt:lpstr>Feature_summary (old)</vt:lpstr>
      <vt:lpstr>Age_1_Overview</vt:lpstr>
      <vt:lpstr>Age_30_Overview</vt:lpstr>
      <vt:lpstr>Summary</vt:lpstr>
      <vt:lpstr>Non-Provider Plans</vt:lpstr>
      <vt:lpstr>Features (old)</vt:lpstr>
      <vt:lpstr>Features</vt:lpstr>
      <vt:lpstr>Value Comparison</vt:lpstr>
      <vt:lpstr>1MNS (Exp. Age &lt;= 75)</vt:lpstr>
      <vt:lpstr>1MNS (Exp. Age &lt;= 75) (old)</vt:lpstr>
      <vt:lpstr>1FNS (Exp. Age &lt;= 75)</vt:lpstr>
      <vt:lpstr>1MNS (Exp. Age &gt;= 80)</vt:lpstr>
      <vt:lpstr>1FNS (Exp. Age &gt;= 80)</vt:lpstr>
      <vt:lpstr>30MNS (Exp. Age &lt;= 75)</vt:lpstr>
      <vt:lpstr>30FNS (Exp. Age &lt;= 75)</vt:lpstr>
      <vt:lpstr>30MNS (Exp. Age &gt;= 80) (2)</vt:lpstr>
      <vt:lpstr>30MNS (Exp. Age &gt;= 80)</vt:lpstr>
      <vt:lpstr>30FNS (Exp. Age &gt;= 80)</vt:lpstr>
      <vt:lpstr>Sheet6</vt:lpstr>
      <vt:lpstr>'Cover Page'!Print_Area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Yong Shun Lee</dc:creator>
  <cp:keywords/>
  <dc:description/>
  <cp:lastModifiedBy>Cristtin Teow</cp:lastModifiedBy>
  <cp:revision/>
  <dcterms:created xsi:type="dcterms:W3CDTF">2024-11-29T09:21:00Z</dcterms:created>
  <dcterms:modified xsi:type="dcterms:W3CDTF">2025-03-07T08:34:49Z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2024-11-29T10:08:14Z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68f50b8e-6943-4556-94bf-cece7bb42f1b</vt:lpwstr>
  </property>
  <property fmtid="{D5CDD505-2E9C-101B-9397-08002B2CF9AE}" pid="8" name="MSIP_Label_b4736c2c-fcb1-4cac-97f3-89b84deb3f53_ContentBits">
    <vt:lpwstr>2</vt:lpwstr>
  </property>
</Properties>
</file>