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https://singaporelife-my.sharepoint.com/personal/cristtin_teow_singlife_com/Documents/Product Comparisons/"/>
    </mc:Choice>
  </mc:AlternateContent>
  <xr:revisionPtr revIDLastSave="0" documentId="8_{0867F20F-1917-4EE9-9EB1-1D8658F498EC}" xr6:coauthVersionLast="47" xr6:coauthVersionMax="47" xr10:uidLastSave="{00000000-0000-0000-0000-000000000000}"/>
  <bookViews>
    <workbookView xWindow="28690" yWindow="-110" windowWidth="29020" windowHeight="15700" tabRatio="601" firstSheet="1" activeTab="3" xr2:uid="{00000000-000D-0000-FFFF-FFFF00000000}"/>
  </bookViews>
  <sheets>
    <sheet name="Cover Page" sheetId="1" r:id="rId1"/>
    <sheet name="Disclaimers" sheetId="2" r:id="rId2"/>
    <sheet name="Non-Provider Products" sheetId="20" r:id="rId3"/>
    <sheet name="Summary" sheetId="19" r:id="rId4"/>
    <sheet name="Product Features" sheetId="3" r:id="rId5"/>
    <sheet name="Age 10 MNS 3-Pay" sheetId="7" r:id="rId6"/>
    <sheet name="Age 10 MNS 5-Pay" sheetId="17" r:id="rId7"/>
    <sheet name="Age 10 MNS 10-Pay" sheetId="5" r:id="rId8"/>
    <sheet name="Age 10 MNS 20-Pay" sheetId="16" r:id="rId9"/>
    <sheet name="Age 40 MNS 3-Pay " sheetId="18" r:id="rId10"/>
    <sheet name="Age 40 MNS 5-Pay " sheetId="10" r:id="rId11"/>
    <sheet name="Age 40 MNS 10-Pay" sheetId="13" r:id="rId12"/>
    <sheet name="Age 40 MNS 20-Pay" sheetId="15" r:id="rId13"/>
  </sheets>
  <definedNames>
    <definedName name="_xlnm.Print_Area" localSheetId="7">'Age 10 MNS 10-Pay'!$A$1:$K$82</definedName>
    <definedName name="_xlnm.Print_Area" localSheetId="5">'Age 10 MNS 3-Pay'!$A$1:$I$94</definedName>
    <definedName name="_xlnm.Print_Area" localSheetId="11">'Age 40 MNS 10-Pay'!$A$1:$K$82</definedName>
    <definedName name="_xlnm.Print_Area" localSheetId="12">'Age 40 MNS 20-Pay'!$A$1:$G$76</definedName>
    <definedName name="_xlnm.Print_Area" localSheetId="10">'Age 40 MNS 5-Pay '!$A$1:$M$82</definedName>
    <definedName name="_xlnm.Print_Area" localSheetId="1">Disclaimers!$A$1:$E$10</definedName>
    <definedName name="_xlnm.Print_Area" localSheetId="3">Summary!$B$2:$D$14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7" l="1"/>
  <c r="F44" i="17" s="1"/>
  <c r="F79" i="10"/>
  <c r="F64" i="10"/>
  <c r="F62" i="10"/>
  <c r="F61" i="10"/>
  <c r="F27" i="10"/>
  <c r="F26" i="10"/>
  <c r="F76" i="10" s="1"/>
  <c r="D79" i="18"/>
  <c r="D82" i="18" s="1"/>
  <c r="D64" i="18"/>
  <c r="D50" i="18"/>
  <c r="D52" i="18" s="1"/>
  <c r="D26" i="18"/>
  <c r="D48" i="18" s="1"/>
  <c r="F79" i="17"/>
  <c r="F64" i="17"/>
  <c r="D79" i="7"/>
  <c r="D71" i="7"/>
  <c r="D64" i="7"/>
  <c r="D61" i="7"/>
  <c r="D52" i="7"/>
  <c r="D50" i="7"/>
  <c r="D48" i="7"/>
  <c r="D44" i="7"/>
  <c r="D43" i="7"/>
  <c r="D26" i="7"/>
  <c r="D76" i="7" s="1"/>
  <c r="F52" i="10" l="1"/>
  <c r="F56" i="10"/>
  <c r="F67" i="10"/>
  <c r="F71" i="10"/>
  <c r="F72" i="10"/>
  <c r="F43" i="10"/>
  <c r="F77" i="10"/>
  <c r="F82" i="10"/>
  <c r="F81" i="10"/>
  <c r="F44" i="10"/>
  <c r="F66" i="10"/>
  <c r="F48" i="10"/>
  <c r="F57" i="10"/>
  <c r="D61" i="18"/>
  <c r="D66" i="18"/>
  <c r="D67" i="18"/>
  <c r="D56" i="18"/>
  <c r="D72" i="18"/>
  <c r="D71" i="18"/>
  <c r="D27" i="18"/>
  <c r="D57" i="18"/>
  <c r="D76" i="18"/>
  <c r="D77" i="18"/>
  <c r="D43" i="18"/>
  <c r="D62" i="18"/>
  <c r="D44" i="18"/>
  <c r="D81" i="18"/>
  <c r="F66" i="17"/>
  <c r="F82" i="17"/>
  <c r="F71" i="17"/>
  <c r="F72" i="17"/>
  <c r="F57" i="17"/>
  <c r="F48" i="17"/>
  <c r="F67" i="17"/>
  <c r="F56" i="17"/>
  <c r="F27" i="17"/>
  <c r="F77" i="17"/>
  <c r="F76" i="17"/>
  <c r="F61" i="17"/>
  <c r="F62" i="17"/>
  <c r="F81" i="17"/>
  <c r="F52" i="17"/>
  <c r="F43" i="17"/>
  <c r="D62" i="7"/>
  <c r="D67" i="7"/>
  <c r="D72" i="7"/>
  <c r="D77" i="7"/>
  <c r="D82" i="7"/>
  <c r="D66" i="7"/>
  <c r="D56" i="7"/>
  <c r="D27" i="7"/>
  <c r="D57" i="7"/>
  <c r="D81" i="7"/>
  <c r="F26" i="7"/>
  <c r="F27" i="7" s="1"/>
  <c r="F33" i="7" l="1"/>
  <c r="G26" i="18"/>
  <c r="G82" i="18" s="1"/>
  <c r="G22" i="18"/>
  <c r="G20" i="18"/>
  <c r="G26" i="7"/>
  <c r="G82" i="7" s="1"/>
  <c r="G22" i="7"/>
  <c r="G20" i="7"/>
  <c r="G36" i="18" l="1"/>
  <c r="G34" i="7"/>
  <c r="G52" i="18"/>
  <c r="G66" i="18"/>
  <c r="G72" i="18"/>
  <c r="G43" i="18"/>
  <c r="G34" i="18"/>
  <c r="G66" i="7"/>
  <c r="G36" i="7"/>
  <c r="G43" i="7"/>
  <c r="G44" i="7"/>
  <c r="G67" i="7"/>
  <c r="G71" i="7"/>
  <c r="G72" i="7"/>
  <c r="G76" i="7"/>
  <c r="G44" i="18"/>
  <c r="G67" i="18"/>
  <c r="G48" i="18"/>
  <c r="G71" i="18"/>
  <c r="G56" i="18"/>
  <c r="G76" i="18"/>
  <c r="G27" i="18"/>
  <c r="G57" i="18"/>
  <c r="G77" i="18"/>
  <c r="G61" i="18"/>
  <c r="G81" i="18"/>
  <c r="G62" i="18"/>
  <c r="G56" i="7"/>
  <c r="G27" i="7"/>
  <c r="G57" i="7"/>
  <c r="G77" i="7"/>
  <c r="G61" i="7"/>
  <c r="G81" i="7"/>
  <c r="G48" i="7"/>
  <c r="G52" i="7"/>
  <c r="G62" i="7"/>
  <c r="F76" i="7"/>
  <c r="F77" i="7"/>
  <c r="F71" i="7"/>
  <c r="F72" i="7"/>
  <c r="F61" i="7"/>
  <c r="F62" i="7"/>
  <c r="F56" i="7"/>
  <c r="F57" i="7"/>
  <c r="F52" i="7"/>
  <c r="F48" i="7"/>
  <c r="F43" i="7"/>
  <c r="F44" i="7"/>
  <c r="E22" i="7"/>
  <c r="E20" i="7"/>
  <c r="E16" i="7"/>
  <c r="E14" i="7"/>
  <c r="E12" i="15"/>
  <c r="C73" i="15"/>
  <c r="D73" i="15"/>
  <c r="E73" i="15"/>
  <c r="C74" i="15"/>
  <c r="D74" i="15"/>
  <c r="E74" i="15"/>
  <c r="B74" i="15"/>
  <c r="B73" i="15"/>
  <c r="C68" i="15"/>
  <c r="D68" i="15"/>
  <c r="E68" i="15"/>
  <c r="C69" i="15"/>
  <c r="D69" i="15"/>
  <c r="E69" i="15"/>
  <c r="B69" i="15"/>
  <c r="B68" i="15"/>
  <c r="E63" i="15"/>
  <c r="E64" i="15"/>
  <c r="C63" i="15"/>
  <c r="D63" i="15"/>
  <c r="C64" i="15"/>
  <c r="D64" i="15"/>
  <c r="B64" i="15"/>
  <c r="B63" i="15"/>
  <c r="C58" i="15"/>
  <c r="D58" i="15"/>
  <c r="E58" i="15"/>
  <c r="C59" i="15"/>
  <c r="D59" i="15"/>
  <c r="E59" i="15"/>
  <c r="B59" i="15"/>
  <c r="B58" i="15"/>
  <c r="C53" i="15"/>
  <c r="D53" i="15"/>
  <c r="E53" i="15"/>
  <c r="C54" i="15"/>
  <c r="D54" i="15"/>
  <c r="E54" i="15"/>
  <c r="B54" i="15"/>
  <c r="B53" i="15"/>
  <c r="C48" i="15"/>
  <c r="D48" i="15"/>
  <c r="E48" i="15"/>
  <c r="C49" i="15"/>
  <c r="D49" i="15"/>
  <c r="E49" i="15"/>
  <c r="B49" i="15"/>
  <c r="B48" i="15"/>
  <c r="C44" i="15"/>
  <c r="D44" i="15"/>
  <c r="E44" i="15"/>
  <c r="B44" i="15"/>
  <c r="C40" i="15"/>
  <c r="D40" i="15"/>
  <c r="E40" i="15"/>
  <c r="B40" i="15"/>
  <c r="C35" i="15"/>
  <c r="D35" i="15"/>
  <c r="E35" i="15"/>
  <c r="C36" i="15"/>
  <c r="D36" i="15"/>
  <c r="E36" i="15"/>
  <c r="B36" i="15"/>
  <c r="B35" i="15"/>
  <c r="B30" i="15"/>
  <c r="B28" i="15"/>
  <c r="C27" i="15"/>
  <c r="D27" i="15"/>
  <c r="E30" i="15"/>
  <c r="E28" i="15"/>
  <c r="E26" i="15"/>
  <c r="E24" i="15"/>
  <c r="D23" i="15"/>
  <c r="C23" i="15"/>
  <c r="B23" i="15"/>
  <c r="D22" i="15"/>
  <c r="C22" i="15"/>
  <c r="B22" i="15"/>
  <c r="E30" i="16"/>
  <c r="E28" i="16"/>
  <c r="E26" i="16"/>
  <c r="E24" i="16"/>
  <c r="E20" i="16"/>
  <c r="E18" i="16"/>
  <c r="E16" i="16"/>
  <c r="E12" i="16"/>
  <c r="E14" i="16"/>
  <c r="D27" i="16"/>
  <c r="C27" i="16"/>
  <c r="C73" i="16"/>
  <c r="D73" i="16"/>
  <c r="E73" i="16"/>
  <c r="C74" i="16"/>
  <c r="D74" i="16"/>
  <c r="E74" i="16"/>
  <c r="B74" i="16"/>
  <c r="B73" i="16"/>
  <c r="C68" i="16"/>
  <c r="D68" i="16"/>
  <c r="E68" i="16"/>
  <c r="C69" i="16"/>
  <c r="D69" i="16"/>
  <c r="E69" i="16"/>
  <c r="B69" i="16"/>
  <c r="B68" i="16"/>
  <c r="C63" i="16"/>
  <c r="D63" i="16"/>
  <c r="E63" i="16"/>
  <c r="C64" i="16"/>
  <c r="D64" i="16"/>
  <c r="E64" i="16"/>
  <c r="B64" i="16"/>
  <c r="B63" i="16"/>
  <c r="C58" i="16"/>
  <c r="D58" i="16"/>
  <c r="E58" i="16"/>
  <c r="C59" i="16"/>
  <c r="D59" i="16"/>
  <c r="E59" i="16"/>
  <c r="B59" i="16"/>
  <c r="B58" i="16"/>
  <c r="C53" i="16"/>
  <c r="D53" i="16"/>
  <c r="E53" i="16"/>
  <c r="C54" i="16"/>
  <c r="D54" i="16"/>
  <c r="E54" i="16"/>
  <c r="B53" i="16"/>
  <c r="B54" i="16"/>
  <c r="C48" i="16"/>
  <c r="D48" i="16"/>
  <c r="E48" i="16"/>
  <c r="C49" i="16"/>
  <c r="D49" i="16"/>
  <c r="E49" i="16"/>
  <c r="B49" i="16"/>
  <c r="B48" i="16"/>
  <c r="C44" i="16"/>
  <c r="D44" i="16"/>
  <c r="E44" i="16"/>
  <c r="B44" i="16"/>
  <c r="C40" i="16"/>
  <c r="D40" i="16"/>
  <c r="E40" i="16"/>
  <c r="B40" i="16"/>
  <c r="C35" i="16"/>
  <c r="D35" i="16"/>
  <c r="E35" i="16"/>
  <c r="C36" i="16"/>
  <c r="D36" i="16"/>
  <c r="E36" i="16"/>
  <c r="B36" i="16"/>
  <c r="B35" i="16"/>
  <c r="B30" i="16"/>
  <c r="B28" i="16"/>
  <c r="D23" i="16"/>
  <c r="C23" i="16"/>
  <c r="B23" i="16"/>
  <c r="I33" i="5"/>
  <c r="H33" i="5"/>
  <c r="F20" i="5"/>
  <c r="F34" i="5" s="1"/>
  <c r="F16" i="5"/>
  <c r="F30" i="5" s="1"/>
  <c r="F14" i="5"/>
  <c r="E27" i="5"/>
  <c r="D27" i="5"/>
  <c r="C38" i="5"/>
  <c r="C36" i="5"/>
  <c r="C34" i="5"/>
  <c r="C30" i="5"/>
  <c r="C28" i="5"/>
  <c r="C81" i="5"/>
  <c r="E81" i="5"/>
  <c r="C82" i="5"/>
  <c r="E82" i="5"/>
  <c r="C76" i="5"/>
  <c r="C77" i="5"/>
  <c r="E77" i="5"/>
  <c r="C71" i="5"/>
  <c r="D71" i="5"/>
  <c r="E71" i="5"/>
  <c r="C72" i="5"/>
  <c r="D72" i="5"/>
  <c r="E72" i="5"/>
  <c r="B71" i="5"/>
  <c r="C66" i="5"/>
  <c r="E66" i="5"/>
  <c r="C67" i="5"/>
  <c r="E67" i="5"/>
  <c r="C61" i="5"/>
  <c r="E61" i="5"/>
  <c r="C62" i="5"/>
  <c r="E62" i="5"/>
  <c r="C56" i="5"/>
  <c r="D56" i="5"/>
  <c r="E56" i="5"/>
  <c r="C57" i="5"/>
  <c r="D57" i="5"/>
  <c r="E57" i="5"/>
  <c r="B57" i="5"/>
  <c r="C52" i="5"/>
  <c r="D52" i="5"/>
  <c r="E52" i="5"/>
  <c r="B52" i="5"/>
  <c r="C48" i="5"/>
  <c r="D48" i="5"/>
  <c r="E48" i="5"/>
  <c r="C43" i="5"/>
  <c r="D43" i="5"/>
  <c r="E43" i="5"/>
  <c r="C44" i="5"/>
  <c r="D44" i="5"/>
  <c r="E44" i="5"/>
  <c r="B43" i="5"/>
  <c r="H72" i="17"/>
  <c r="J72" i="17"/>
  <c r="G14" i="17"/>
  <c r="G20" i="17" s="1"/>
  <c r="G16" i="17"/>
  <c r="G22" i="17" s="1"/>
  <c r="J43" i="17"/>
  <c r="I44" i="17"/>
  <c r="F79" i="18"/>
  <c r="F82" i="18" s="1"/>
  <c r="F77" i="18"/>
  <c r="F76" i="18"/>
  <c r="F72" i="18"/>
  <c r="F71" i="18"/>
  <c r="F64" i="18"/>
  <c r="F67" i="18" s="1"/>
  <c r="F62" i="18"/>
  <c r="F61" i="18"/>
  <c r="F57" i="18"/>
  <c r="F56" i="18"/>
  <c r="F52" i="18"/>
  <c r="F48" i="18"/>
  <c r="F44" i="18"/>
  <c r="F43" i="18"/>
  <c r="F33" i="18"/>
  <c r="F27" i="18"/>
  <c r="G16" i="10"/>
  <c r="G30" i="10" s="1"/>
  <c r="G14" i="10"/>
  <c r="G20" i="10" s="1"/>
  <c r="K26" i="10"/>
  <c r="K48" i="10" s="1"/>
  <c r="J26" i="10"/>
  <c r="J44" i="10" s="1"/>
  <c r="I26" i="10"/>
  <c r="I44" i="10" s="1"/>
  <c r="H26" i="10"/>
  <c r="H43" i="10" s="1"/>
  <c r="G26" i="10"/>
  <c r="G43" i="10" s="1"/>
  <c r="E26" i="10"/>
  <c r="E44" i="10" s="1"/>
  <c r="D26" i="10"/>
  <c r="D43" i="10" s="1"/>
  <c r="C26" i="10"/>
  <c r="C44" i="10" s="1"/>
  <c r="B26" i="10"/>
  <c r="B48" i="10" s="1"/>
  <c r="C82" i="18"/>
  <c r="C77" i="18"/>
  <c r="E22" i="18"/>
  <c r="E20" i="18"/>
  <c r="E16" i="18"/>
  <c r="E14" i="18"/>
  <c r="E26" i="18"/>
  <c r="E81" i="18" s="1"/>
  <c r="C26" i="18"/>
  <c r="C30" i="18" s="1"/>
  <c r="B26" i="18"/>
  <c r="B34" i="18" s="1"/>
  <c r="E22" i="16"/>
  <c r="D22" i="16"/>
  <c r="C22" i="16"/>
  <c r="B22" i="16"/>
  <c r="I26" i="5"/>
  <c r="I27" i="5" s="1"/>
  <c r="H26" i="5"/>
  <c r="H76" i="5" s="1"/>
  <c r="G26" i="5"/>
  <c r="G72" i="5" s="1"/>
  <c r="F26" i="5"/>
  <c r="F81" i="5" s="1"/>
  <c r="E26" i="5"/>
  <c r="E33" i="5" s="1"/>
  <c r="D26" i="5"/>
  <c r="D33" i="5" s="1"/>
  <c r="C26" i="5"/>
  <c r="C32" i="5" s="1"/>
  <c r="B26" i="5"/>
  <c r="B27" i="5" s="1"/>
  <c r="K26" i="17"/>
  <c r="K82" i="17" s="1"/>
  <c r="J26" i="17"/>
  <c r="J33" i="17" s="1"/>
  <c r="I26" i="17"/>
  <c r="I76" i="17" s="1"/>
  <c r="H26" i="17"/>
  <c r="H66" i="17" s="1"/>
  <c r="G26" i="17"/>
  <c r="G77" i="17" s="1"/>
  <c r="E26" i="17"/>
  <c r="E27" i="17" s="1"/>
  <c r="D26" i="17"/>
  <c r="D71" i="17" s="1"/>
  <c r="C26" i="17"/>
  <c r="C82" i="17" s="1"/>
  <c r="B26" i="17"/>
  <c r="B82" i="17" s="1"/>
  <c r="E26" i="7"/>
  <c r="E81" i="7" s="1"/>
  <c r="C26" i="7"/>
  <c r="C48" i="7" s="1"/>
  <c r="B26" i="7"/>
  <c r="B27" i="7" s="1"/>
  <c r="J64" i="10"/>
  <c r="J79" i="17"/>
  <c r="J64" i="17"/>
  <c r="F79" i="7"/>
  <c r="F81" i="7" s="1"/>
  <c r="F64" i="7"/>
  <c r="F66" i="7" s="1"/>
  <c r="F67" i="5" l="1"/>
  <c r="G34" i="5"/>
  <c r="F44" i="5"/>
  <c r="F57" i="5"/>
  <c r="G36" i="5"/>
  <c r="I43" i="5"/>
  <c r="I52" i="5"/>
  <c r="I81" i="5"/>
  <c r="F36" i="5"/>
  <c r="I44" i="5"/>
  <c r="H43" i="5"/>
  <c r="H48" i="5"/>
  <c r="H52" i="5"/>
  <c r="I57" i="5"/>
  <c r="H56" i="5"/>
  <c r="H61" i="5"/>
  <c r="I67" i="5"/>
  <c r="H66" i="5"/>
  <c r="I72" i="5"/>
  <c r="H71" i="5"/>
  <c r="H77" i="5"/>
  <c r="F76" i="5"/>
  <c r="I82" i="5"/>
  <c r="H81" i="5"/>
  <c r="B34" i="5"/>
  <c r="G27" i="5"/>
  <c r="F12" i="5"/>
  <c r="F72" i="5"/>
  <c r="B56" i="5"/>
  <c r="H44" i="5"/>
  <c r="G43" i="5"/>
  <c r="G48" i="5"/>
  <c r="G52" i="5"/>
  <c r="H57" i="5"/>
  <c r="G56" i="5"/>
  <c r="H62" i="5"/>
  <c r="H67" i="5"/>
  <c r="H72" i="5"/>
  <c r="G71" i="5"/>
  <c r="E76" i="5"/>
  <c r="H82" i="5"/>
  <c r="B36" i="5"/>
  <c r="H27" i="5"/>
  <c r="F62" i="5"/>
  <c r="F82" i="5"/>
  <c r="B44" i="5"/>
  <c r="I48" i="5"/>
  <c r="I56" i="5"/>
  <c r="I66" i="5"/>
  <c r="B72" i="5"/>
  <c r="I71" i="5"/>
  <c r="G44" i="5"/>
  <c r="F43" i="5"/>
  <c r="F48" i="5"/>
  <c r="F52" i="5"/>
  <c r="G57" i="5"/>
  <c r="F56" i="5"/>
  <c r="F61" i="5"/>
  <c r="F66" i="5"/>
  <c r="F71" i="5"/>
  <c r="F77" i="5"/>
  <c r="F28" i="5"/>
  <c r="J81" i="17"/>
  <c r="H27" i="17"/>
  <c r="I61" i="10"/>
  <c r="E33" i="10"/>
  <c r="G34" i="10"/>
  <c r="B44" i="10"/>
  <c r="I48" i="10"/>
  <c r="I67" i="10"/>
  <c r="J33" i="10"/>
  <c r="J67" i="10"/>
  <c r="I52" i="10"/>
  <c r="C30" i="10"/>
  <c r="K52" i="10"/>
  <c r="K57" i="10"/>
  <c r="I72" i="17"/>
  <c r="G30" i="17"/>
  <c r="I71" i="17"/>
  <c r="H36" i="17"/>
  <c r="G76" i="17"/>
  <c r="H82" i="17"/>
  <c r="I43" i="17"/>
  <c r="I62" i="17"/>
  <c r="J52" i="17"/>
  <c r="I61" i="17"/>
  <c r="B48" i="17"/>
  <c r="B36" i="17"/>
  <c r="I48" i="17"/>
  <c r="I27" i="17"/>
  <c r="B57" i="17"/>
  <c r="J82" i="17"/>
  <c r="E77" i="17"/>
  <c r="J62" i="17"/>
  <c r="B27" i="17"/>
  <c r="B56" i="17"/>
  <c r="J44" i="17"/>
  <c r="E48" i="17"/>
  <c r="J27" i="17"/>
  <c r="J57" i="17"/>
  <c r="J61" i="17"/>
  <c r="J71" i="17"/>
  <c r="I82" i="17"/>
  <c r="B52" i="17"/>
  <c r="H44" i="17"/>
  <c r="H52" i="17"/>
  <c r="E57" i="17"/>
  <c r="E67" i="17"/>
  <c r="J77" i="17"/>
  <c r="J67" i="17"/>
  <c r="I52" i="17"/>
  <c r="G28" i="17"/>
  <c r="G56" i="17"/>
  <c r="G66" i="17"/>
  <c r="H62" i="10"/>
  <c r="J48" i="10"/>
  <c r="H57" i="10"/>
  <c r="J62" i="10"/>
  <c r="H71" i="10"/>
  <c r="K36" i="10"/>
  <c r="C32" i="10"/>
  <c r="B52" i="10"/>
  <c r="J76" i="10"/>
  <c r="G22" i="10"/>
  <c r="G36" i="10" s="1"/>
  <c r="B27" i="10"/>
  <c r="E27" i="10"/>
  <c r="K34" i="10"/>
  <c r="C34" i="10"/>
  <c r="C61" i="10"/>
  <c r="C77" i="10"/>
  <c r="B34" i="10"/>
  <c r="H27" i="10"/>
  <c r="H34" i="10"/>
  <c r="C36" i="10"/>
  <c r="B43" i="10"/>
  <c r="H52" i="10"/>
  <c r="J66" i="10"/>
  <c r="I77" i="10"/>
  <c r="B36" i="10"/>
  <c r="I27" i="10"/>
  <c r="C38" i="10"/>
  <c r="H61" i="10"/>
  <c r="C67" i="10"/>
  <c r="K77" i="10"/>
  <c r="D27" i="10"/>
  <c r="J27" i="10"/>
  <c r="H36" i="10"/>
  <c r="G28" i="10"/>
  <c r="H81" i="10"/>
  <c r="D33" i="10"/>
  <c r="K27" i="10"/>
  <c r="H44" i="10"/>
  <c r="K44" i="10"/>
  <c r="C57" i="10"/>
  <c r="K61" i="10"/>
  <c r="K67" i="10"/>
  <c r="I33" i="10"/>
  <c r="C28" i="10"/>
  <c r="C32" i="18"/>
  <c r="C48" i="18"/>
  <c r="I81" i="17"/>
  <c r="K43" i="17"/>
  <c r="C43" i="17"/>
  <c r="K36" i="17"/>
  <c r="K61" i="17"/>
  <c r="K71" i="17"/>
  <c r="K81" i="17"/>
  <c r="C38" i="17"/>
  <c r="K48" i="17"/>
  <c r="D27" i="17"/>
  <c r="G34" i="17"/>
  <c r="D57" i="17"/>
  <c r="E56" i="17"/>
  <c r="E66" i="17"/>
  <c r="E76" i="17"/>
  <c r="B34" i="17"/>
  <c r="G44" i="17"/>
  <c r="H43" i="17"/>
  <c r="J48" i="17"/>
  <c r="C52" i="17"/>
  <c r="K52" i="17"/>
  <c r="D33" i="17"/>
  <c r="K27" i="17"/>
  <c r="H34" i="17"/>
  <c r="K57" i="17"/>
  <c r="C57" i="17"/>
  <c r="D56" i="17"/>
  <c r="G62" i="17"/>
  <c r="K67" i="17"/>
  <c r="C67" i="17"/>
  <c r="G72" i="17"/>
  <c r="H71" i="17"/>
  <c r="K77" i="17"/>
  <c r="C77" i="17"/>
  <c r="G82" i="17"/>
  <c r="H81" i="17"/>
  <c r="C61" i="17"/>
  <c r="C71" i="17"/>
  <c r="C81" i="17"/>
  <c r="D48" i="17"/>
  <c r="C48" i="17"/>
  <c r="G43" i="17"/>
  <c r="D52" i="17"/>
  <c r="C56" i="17"/>
  <c r="B43" i="17"/>
  <c r="E44" i="17"/>
  <c r="H48" i="17"/>
  <c r="E52" i="17"/>
  <c r="C30" i="17"/>
  <c r="E33" i="17"/>
  <c r="I33" i="17"/>
  <c r="I57" i="17"/>
  <c r="J56" i="17"/>
  <c r="E62" i="17"/>
  <c r="I67" i="17"/>
  <c r="J66" i="17"/>
  <c r="B71" i="17"/>
  <c r="E72" i="17"/>
  <c r="I77" i="17"/>
  <c r="J76" i="17"/>
  <c r="B81" i="17"/>
  <c r="E82" i="17"/>
  <c r="C36" i="17"/>
  <c r="K56" i="17"/>
  <c r="G61" i="17"/>
  <c r="G71" i="17"/>
  <c r="C76" i="17"/>
  <c r="B44" i="17"/>
  <c r="D44" i="17"/>
  <c r="E43" i="17"/>
  <c r="G48" i="17"/>
  <c r="C32" i="17"/>
  <c r="H57" i="17"/>
  <c r="I56" i="17"/>
  <c r="E61" i="17"/>
  <c r="H67" i="17"/>
  <c r="I66" i="17"/>
  <c r="B72" i="17"/>
  <c r="D72" i="17"/>
  <c r="E71" i="17"/>
  <c r="E81" i="17"/>
  <c r="C28" i="17"/>
  <c r="K66" i="17"/>
  <c r="C66" i="17"/>
  <c r="K76" i="17"/>
  <c r="G81" i="17"/>
  <c r="K44" i="17"/>
  <c r="C44" i="17"/>
  <c r="D43" i="17"/>
  <c r="G52" i="17"/>
  <c r="C34" i="17"/>
  <c r="K34" i="17"/>
  <c r="G57" i="17"/>
  <c r="H56" i="17"/>
  <c r="K62" i="17"/>
  <c r="C62" i="17"/>
  <c r="G67" i="17"/>
  <c r="K72" i="17"/>
  <c r="C72" i="17"/>
  <c r="E36" i="7"/>
  <c r="B34" i="7"/>
  <c r="E52" i="7"/>
  <c r="E44" i="7"/>
  <c r="E82" i="7"/>
  <c r="C71" i="7"/>
  <c r="E30" i="7"/>
  <c r="C57" i="7"/>
  <c r="E28" i="7"/>
  <c r="E34" i="7"/>
  <c r="E77" i="7"/>
  <c r="E56" i="7"/>
  <c r="B71" i="7"/>
  <c r="C61" i="7"/>
  <c r="C82" i="7"/>
  <c r="C30" i="7"/>
  <c r="E43" i="7"/>
  <c r="E67" i="7"/>
  <c r="B72" i="7"/>
  <c r="C28" i="7"/>
  <c r="C32" i="7"/>
  <c r="C77" i="7"/>
  <c r="C34" i="7"/>
  <c r="B43" i="7"/>
  <c r="C43" i="7"/>
  <c r="E62" i="7"/>
  <c r="E66" i="7"/>
  <c r="B36" i="7"/>
  <c r="C52" i="7"/>
  <c r="C72" i="7"/>
  <c r="C81" i="7"/>
  <c r="B44" i="7"/>
  <c r="E57" i="7"/>
  <c r="E71" i="7"/>
  <c r="E76" i="7"/>
  <c r="E48" i="7"/>
  <c r="C62" i="7"/>
  <c r="C66" i="7"/>
  <c r="E72" i="18"/>
  <c r="C36" i="18"/>
  <c r="E77" i="18"/>
  <c r="E61" i="18"/>
  <c r="F66" i="18"/>
  <c r="E56" i="18"/>
  <c r="E82" i="18"/>
  <c r="E36" i="18"/>
  <c r="E28" i="18"/>
  <c r="E30" i="18"/>
  <c r="E66" i="18"/>
  <c r="C72" i="18"/>
  <c r="C36" i="7"/>
  <c r="C44" i="7"/>
  <c r="B57" i="7"/>
  <c r="C56" i="7"/>
  <c r="E61" i="7"/>
  <c r="C67" i="7"/>
  <c r="E72" i="7"/>
  <c r="C76" i="7"/>
  <c r="F82" i="7"/>
  <c r="F67" i="7"/>
  <c r="B56" i="7"/>
  <c r="C38" i="7"/>
  <c r="E72" i="10"/>
  <c r="E82" i="10"/>
  <c r="I43" i="10"/>
  <c r="C48" i="10"/>
  <c r="J52" i="10"/>
  <c r="E57" i="10"/>
  <c r="J61" i="10"/>
  <c r="I62" i="10"/>
  <c r="C66" i="10"/>
  <c r="K66" i="10"/>
  <c r="G71" i="10"/>
  <c r="C76" i="10"/>
  <c r="K76" i="10"/>
  <c r="J77" i="10"/>
  <c r="G81" i="10"/>
  <c r="G44" i="10"/>
  <c r="D52" i="10"/>
  <c r="C52" i="10"/>
  <c r="H56" i="10"/>
  <c r="G57" i="10"/>
  <c r="C62" i="10"/>
  <c r="K62" i="10"/>
  <c r="E66" i="10"/>
  <c r="B71" i="10"/>
  <c r="I71" i="10"/>
  <c r="H72" i="10"/>
  <c r="E76" i="10"/>
  <c r="I81" i="10"/>
  <c r="H82" i="10"/>
  <c r="G82" i="10"/>
  <c r="E52" i="10"/>
  <c r="B56" i="10"/>
  <c r="I56" i="10"/>
  <c r="E61" i="10"/>
  <c r="E67" i="10"/>
  <c r="B72" i="10"/>
  <c r="J71" i="10"/>
  <c r="I72" i="10"/>
  <c r="E77" i="10"/>
  <c r="J81" i="10"/>
  <c r="I82" i="10"/>
  <c r="D57" i="10"/>
  <c r="D44" i="10"/>
  <c r="G72" i="10"/>
  <c r="B57" i="10"/>
  <c r="J56" i="10"/>
  <c r="I57" i="10"/>
  <c r="E62" i="10"/>
  <c r="G66" i="10"/>
  <c r="C71" i="10"/>
  <c r="K71" i="10"/>
  <c r="J72" i="10"/>
  <c r="G76" i="10"/>
  <c r="C81" i="10"/>
  <c r="K81" i="10"/>
  <c r="J82" i="10"/>
  <c r="D56" i="10"/>
  <c r="E56" i="10"/>
  <c r="G56" i="10"/>
  <c r="D48" i="10"/>
  <c r="G52" i="10"/>
  <c r="C56" i="10"/>
  <c r="K56" i="10"/>
  <c r="J57" i="10"/>
  <c r="G61" i="10"/>
  <c r="H66" i="10"/>
  <c r="G67" i="10"/>
  <c r="D71" i="10"/>
  <c r="C72" i="10"/>
  <c r="K72" i="10"/>
  <c r="H76" i="10"/>
  <c r="G77" i="10"/>
  <c r="C82" i="10"/>
  <c r="K82" i="10"/>
  <c r="G62" i="10"/>
  <c r="I66" i="10"/>
  <c r="H67" i="10"/>
  <c r="E71" i="10"/>
  <c r="D72" i="10"/>
  <c r="I76" i="10"/>
  <c r="H77" i="10"/>
  <c r="E81" i="10"/>
  <c r="E44" i="18"/>
  <c r="C52" i="18"/>
  <c r="C57" i="18"/>
  <c r="C62" i="18"/>
  <c r="C67" i="18"/>
  <c r="C34" i="18"/>
  <c r="B43" i="18"/>
  <c r="B27" i="18"/>
  <c r="E52" i="18"/>
  <c r="E57" i="18"/>
  <c r="E62" i="18"/>
  <c r="E67" i="18"/>
  <c r="C38" i="18"/>
  <c r="B71" i="18"/>
  <c r="B56" i="18"/>
  <c r="B36" i="18"/>
  <c r="E12" i="18"/>
  <c r="B72" i="18"/>
  <c r="B44" i="18"/>
  <c r="B57" i="18"/>
  <c r="C71" i="18"/>
  <c r="C76" i="18"/>
  <c r="C81" i="18"/>
  <c r="E34" i="18"/>
  <c r="C44" i="18"/>
  <c r="C56" i="18"/>
  <c r="C61" i="18"/>
  <c r="C66" i="18"/>
  <c r="C28" i="18"/>
  <c r="E48" i="18"/>
  <c r="E71" i="18"/>
  <c r="E76" i="18"/>
  <c r="F81" i="18"/>
  <c r="E48" i="10"/>
  <c r="C43" i="10"/>
  <c r="J43" i="10"/>
  <c r="K43" i="10"/>
  <c r="G48" i="10"/>
  <c r="E43" i="10"/>
  <c r="H48" i="10"/>
  <c r="C43" i="18"/>
  <c r="E43" i="18"/>
  <c r="I38" i="13"/>
  <c r="I43" i="13" s="1"/>
  <c r="I59" i="13"/>
  <c r="I64" i="13"/>
  <c r="I66" i="13" s="1"/>
  <c r="I74" i="13"/>
  <c r="I79" i="13"/>
  <c r="I81" i="13" s="1"/>
  <c r="I71" i="13" l="1"/>
  <c r="I25" i="13"/>
  <c r="I76" i="13"/>
  <c r="I62" i="13"/>
  <c r="I61" i="13"/>
  <c r="I56" i="13"/>
  <c r="I48" i="13"/>
  <c r="I72" i="13"/>
  <c r="I31" i="13"/>
  <c r="I77" i="13"/>
  <c r="I57" i="13"/>
  <c r="I67" i="13"/>
  <c r="I52" i="13"/>
  <c r="I82" i="13"/>
  <c r="I44" i="13"/>
  <c r="E82" i="13"/>
  <c r="E81" i="13"/>
  <c r="E77" i="13"/>
  <c r="E76" i="13"/>
  <c r="E72" i="13"/>
  <c r="E71" i="13"/>
  <c r="E67" i="13"/>
  <c r="E66" i="13"/>
  <c r="E62" i="13"/>
  <c r="E61" i="13"/>
  <c r="E57" i="13"/>
  <c r="E56" i="13"/>
  <c r="E52" i="13"/>
  <c r="E48" i="13"/>
  <c r="E44" i="13"/>
  <c r="E43" i="13"/>
  <c r="E31" i="13"/>
  <c r="E25" i="13"/>
  <c r="F38" i="13" l="1"/>
  <c r="F77" i="13" s="1"/>
  <c r="F16" i="13"/>
  <c r="F14" i="13"/>
  <c r="D71" i="15"/>
  <c r="D66" i="15"/>
  <c r="D56" i="15"/>
  <c r="D51" i="15"/>
  <c r="D71" i="16"/>
  <c r="D66" i="16"/>
  <c r="D56" i="16"/>
  <c r="D51" i="16"/>
  <c r="F28" i="13" l="1"/>
  <c r="F82" i="13"/>
  <c r="F26" i="13"/>
  <c r="F76" i="13"/>
  <c r="F56" i="13"/>
  <c r="F62" i="13"/>
  <c r="F44" i="13"/>
  <c r="F67" i="13"/>
  <c r="F43" i="13"/>
  <c r="F66" i="13"/>
  <c r="F81" i="13"/>
  <c r="F48" i="13"/>
  <c r="F52" i="13"/>
  <c r="F71" i="13"/>
  <c r="F61" i="13"/>
  <c r="F72" i="13"/>
  <c r="F12" i="13"/>
  <c r="F57" i="13"/>
  <c r="F20" i="13"/>
  <c r="F32" i="13" s="1"/>
  <c r="F34" i="13"/>
  <c r="G36" i="17"/>
  <c r="B59" i="17" l="1"/>
  <c r="B74" i="17"/>
  <c r="B71" i="15"/>
  <c r="B56" i="15"/>
  <c r="B79" i="13"/>
  <c r="B64" i="13"/>
  <c r="B79" i="10"/>
  <c r="B64" i="10"/>
  <c r="B71" i="16"/>
  <c r="B56" i="16"/>
  <c r="B64" i="5"/>
  <c r="B79" i="5"/>
  <c r="B79" i="7"/>
  <c r="B64" i="7"/>
  <c r="B64" i="17"/>
  <c r="B50" i="7"/>
  <c r="B52" i="7" s="1"/>
  <c r="B82" i="5" l="1"/>
  <c r="B81" i="5"/>
  <c r="B66" i="5"/>
  <c r="B67" i="5"/>
  <c r="B77" i="17"/>
  <c r="B76" i="17"/>
  <c r="B66" i="17"/>
  <c r="B67" i="17"/>
  <c r="B62" i="17"/>
  <c r="B61" i="17"/>
  <c r="B67" i="7"/>
  <c r="B66" i="7"/>
  <c r="B81" i="7"/>
  <c r="B82" i="7"/>
  <c r="B82" i="10"/>
  <c r="B81" i="10"/>
  <c r="B66" i="10"/>
  <c r="B67" i="10"/>
  <c r="B59" i="7"/>
  <c r="B46" i="7"/>
  <c r="B48" i="7" s="1"/>
  <c r="B51" i="15"/>
  <c r="B74" i="13"/>
  <c r="B79" i="18"/>
  <c r="B74" i="18"/>
  <c r="B64" i="18"/>
  <c r="B59" i="18"/>
  <c r="B50" i="18"/>
  <c r="B52" i="18" s="1"/>
  <c r="B46" i="18"/>
  <c r="B48" i="18" s="1"/>
  <c r="B74" i="7"/>
  <c r="B66" i="15"/>
  <c r="B59" i="13"/>
  <c r="B38" i="13"/>
  <c r="B81" i="13" s="1"/>
  <c r="B74" i="10"/>
  <c r="B59" i="10"/>
  <c r="B66" i="16"/>
  <c r="B51" i="16"/>
  <c r="B74" i="5"/>
  <c r="B59" i="5"/>
  <c r="B46" i="5"/>
  <c r="B48" i="5" s="1"/>
  <c r="D64" i="5"/>
  <c r="D66" i="5" l="1"/>
  <c r="D67" i="5"/>
  <c r="B62" i="5"/>
  <c r="B61" i="5"/>
  <c r="B77" i="5"/>
  <c r="B76" i="5"/>
  <c r="B76" i="7"/>
  <c r="B77" i="7"/>
  <c r="B61" i="7"/>
  <c r="B62" i="7"/>
  <c r="B62" i="10"/>
  <c r="B61" i="10"/>
  <c r="B76" i="10"/>
  <c r="B77" i="10"/>
  <c r="B67" i="18"/>
  <c r="B66" i="18"/>
  <c r="B62" i="18"/>
  <c r="B61" i="18"/>
  <c r="B77" i="18"/>
  <c r="B76" i="18"/>
  <c r="B82" i="18"/>
  <c r="B81" i="18"/>
  <c r="B67" i="13"/>
  <c r="B25" i="13"/>
  <c r="B32" i="13"/>
  <c r="B35" i="13"/>
  <c r="B57" i="13"/>
  <c r="B66" i="13"/>
  <c r="B72" i="13"/>
  <c r="B44" i="13"/>
  <c r="B76" i="13"/>
  <c r="B48" i="13"/>
  <c r="B82" i="13"/>
  <c r="B56" i="13"/>
  <c r="B62" i="13"/>
  <c r="B52" i="13"/>
  <c r="B71" i="13"/>
  <c r="B61" i="13"/>
  <c r="B77" i="13"/>
  <c r="B43" i="13"/>
  <c r="D74" i="17"/>
  <c r="H38" i="13"/>
  <c r="G38" i="13"/>
  <c r="G34" i="13" s="1"/>
  <c r="G79" i="5"/>
  <c r="G74" i="5"/>
  <c r="G64" i="5"/>
  <c r="G59" i="5"/>
  <c r="H74" i="17"/>
  <c r="H59" i="17"/>
  <c r="D79" i="13"/>
  <c r="D64" i="13"/>
  <c r="D79" i="17"/>
  <c r="D64" i="17"/>
  <c r="C38" i="13"/>
  <c r="C76" i="13" s="1"/>
  <c r="G67" i="5" l="1"/>
  <c r="G66" i="5"/>
  <c r="G82" i="5"/>
  <c r="G81" i="5"/>
  <c r="G62" i="5"/>
  <c r="G61" i="5"/>
  <c r="G76" i="5"/>
  <c r="G77" i="5"/>
  <c r="H76" i="17"/>
  <c r="H77" i="17"/>
  <c r="D66" i="17"/>
  <c r="D67" i="17"/>
  <c r="D81" i="17"/>
  <c r="D82" i="17"/>
  <c r="H61" i="17"/>
  <c r="H62" i="17"/>
  <c r="D76" i="17"/>
  <c r="D77" i="17"/>
  <c r="G81" i="13"/>
  <c r="G82" i="13"/>
  <c r="G62" i="13"/>
  <c r="G76" i="13"/>
  <c r="G56" i="13"/>
  <c r="G77" i="13"/>
  <c r="G57" i="13"/>
  <c r="G71" i="13"/>
  <c r="G52" i="13"/>
  <c r="G61" i="13"/>
  <c r="G72" i="13"/>
  <c r="G48" i="13"/>
  <c r="G66" i="13"/>
  <c r="G43" i="13"/>
  <c r="G67" i="13"/>
  <c r="G44" i="13"/>
  <c r="G25" i="13"/>
  <c r="G32" i="13"/>
  <c r="C34" i="13"/>
  <c r="C61" i="13"/>
  <c r="C81" i="13"/>
  <c r="C57" i="13"/>
  <c r="C36" i="13"/>
  <c r="C62" i="13"/>
  <c r="C82" i="13"/>
  <c r="C77" i="13"/>
  <c r="C43" i="13"/>
  <c r="C66" i="13"/>
  <c r="C44" i="13"/>
  <c r="C67" i="13"/>
  <c r="C26" i="13"/>
  <c r="C48" i="13"/>
  <c r="C71" i="13"/>
  <c r="C28" i="13"/>
  <c r="C52" i="13"/>
  <c r="C72" i="13"/>
  <c r="C32" i="13"/>
  <c r="C30" i="13"/>
  <c r="C56" i="13"/>
  <c r="D59" i="17" l="1"/>
  <c r="D61" i="17" l="1"/>
  <c r="D62" i="17"/>
  <c r="H31" i="13"/>
  <c r="H25" i="13"/>
  <c r="H81" i="13"/>
  <c r="H56" i="13"/>
  <c r="H82" i="13"/>
  <c r="H43" i="13"/>
  <c r="H72" i="13"/>
  <c r="H48" i="13"/>
  <c r="H71" i="13"/>
  <c r="H52" i="13"/>
  <c r="H77" i="13"/>
  <c r="H57" i="13"/>
  <c r="H76" i="13"/>
  <c r="H62" i="13"/>
  <c r="H67" i="13"/>
  <c r="H44" i="13"/>
  <c r="H66" i="13"/>
  <c r="H61" i="13"/>
  <c r="D74" i="13" l="1"/>
  <c r="D59" i="13"/>
  <c r="D79" i="10"/>
  <c r="D74" i="10"/>
  <c r="D64" i="10"/>
  <c r="D59" i="10"/>
  <c r="D79" i="5"/>
  <c r="D74" i="5"/>
  <c r="D59" i="5"/>
  <c r="D76" i="5" l="1"/>
  <c r="D77" i="5"/>
  <c r="D61" i="5"/>
  <c r="D62" i="5"/>
  <c r="D81" i="5"/>
  <c r="D82" i="5"/>
  <c r="D62" i="10"/>
  <c r="D61" i="10"/>
  <c r="D66" i="10"/>
  <c r="D67" i="10"/>
  <c r="D76" i="10"/>
  <c r="D77" i="10"/>
  <c r="D82" i="10"/>
  <c r="D81" i="10"/>
  <c r="I74" i="5"/>
  <c r="I59" i="5"/>
  <c r="I61" i="5" l="1"/>
  <c r="I62" i="5"/>
  <c r="I76" i="5"/>
  <c r="I77" i="5"/>
  <c r="D38" i="13"/>
  <c r="D31" i="13" l="1"/>
  <c r="D25" i="13"/>
  <c r="D44" i="13" l="1"/>
  <c r="D81" i="13" l="1"/>
  <c r="D67" i="13"/>
  <c r="D62" i="13"/>
  <c r="D82" i="13"/>
  <c r="D66" i="13"/>
  <c r="D48" i="13"/>
  <c r="D71" i="13"/>
  <c r="D72" i="13"/>
  <c r="D56" i="13"/>
  <c r="D77" i="13"/>
  <c r="D52" i="13"/>
  <c r="D57" i="13"/>
  <c r="D61" i="13"/>
  <c r="D76" i="13"/>
  <c r="D43" i="13"/>
</calcChain>
</file>

<file path=xl/sharedStrings.xml><?xml version="1.0" encoding="utf-8"?>
<sst xmlns="http://schemas.openxmlformats.org/spreadsheetml/2006/main" count="1403" uniqueCount="425">
  <si>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</si>
  <si>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</si>
  <si>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</si>
  <si>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</si>
  <si>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</si>
  <si>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 xml:space="preserve">AIA Platinum Gift for Life Plus (II) </t>
  </si>
  <si>
    <t>https://www.aia.com.sg/en/our-products/platinum/wealth-accumulation/aia-platinum-gift-for-life-series</t>
  </si>
  <si>
    <t>GREAT Lifetime Payout 2 Special</t>
  </si>
  <si>
    <t>https://www.greateasternlife.com/sg/en/personal-insurance/our-products/retirement-income/great-lifetime-payout.html</t>
  </si>
  <si>
    <t xml:space="preserve">HSBC Life Sapphire Prestige Income (II) </t>
  </si>
  <si>
    <t>https://www.hsbc.com.sg/insurance/products/life/sapphire-prestige-income/</t>
  </si>
  <si>
    <t>PRULifetime Income Plus</t>
  </si>
  <si>
    <t>https://www.prudential.com.sg/products/wealth-accumulation/savings/prulifetime-income-plus</t>
  </si>
  <si>
    <t>Disclaimer: All references made are based on PIAS suite of products in this category only.</t>
  </si>
  <si>
    <t>Company</t>
  </si>
  <si>
    <t>Plan name</t>
  </si>
  <si>
    <t>Singlife</t>
  </si>
  <si>
    <t>Singlife Flexi Life Income II</t>
  </si>
  <si>
    <r>
      <t xml:space="preserve">- For </t>
    </r>
    <r>
      <rPr>
        <b/>
        <sz val="11"/>
        <color rgb="FF0000CC"/>
        <rFont val="Calibri"/>
        <family val="2"/>
        <scheme val="minor"/>
      </rPr>
      <t>retirement planning needs</t>
    </r>
    <r>
      <rPr>
        <sz val="11"/>
        <rFont val="Calibri"/>
        <family val="2"/>
        <scheme val="minor"/>
      </rPr>
      <t xml:space="preserve">, the plan provides </t>
    </r>
    <r>
      <rPr>
        <b/>
        <sz val="11"/>
        <color rgb="FF0000CC"/>
        <rFont val="Calibri"/>
        <family val="2"/>
        <scheme val="minor"/>
      </rPr>
      <t>flexibility</t>
    </r>
    <r>
      <rPr>
        <sz val="11"/>
        <rFont val="Calibri"/>
        <family val="2"/>
        <scheme val="minor"/>
      </rPr>
      <t xml:space="preserve">, </t>
    </r>
    <r>
      <rPr>
        <b/>
        <sz val="11"/>
        <color rgb="FF0000CC"/>
        <rFont val="Calibri"/>
        <family val="2"/>
        <scheme val="minor"/>
      </rPr>
      <t>certainty</t>
    </r>
    <r>
      <rPr>
        <sz val="11"/>
        <rFont val="Calibri"/>
        <family val="2"/>
        <scheme val="minor"/>
      </rPr>
      <t xml:space="preserve"> and </t>
    </r>
    <r>
      <rPr>
        <b/>
        <sz val="11"/>
        <color rgb="FF0000CC"/>
        <rFont val="Calibri"/>
        <family val="2"/>
        <scheme val="minor"/>
      </rPr>
      <t>potential upside</t>
    </r>
    <r>
      <rPr>
        <sz val="11"/>
        <color rgb="FF0000CC"/>
        <rFont val="Calibri"/>
        <family val="2"/>
        <scheme val="minor"/>
      </rPr>
      <t>.</t>
    </r>
    <r>
      <rPr>
        <sz val="11"/>
        <rFont val="Calibri"/>
        <family val="2"/>
        <scheme val="minor"/>
      </rPr>
      <t xml:space="preserve">
</t>
    </r>
    <r>
      <rPr>
        <b/>
        <sz val="11"/>
        <rFont val="Calibri"/>
        <family val="2"/>
        <scheme val="minor"/>
      </rPr>
      <t>i) Flexibility</t>
    </r>
    <r>
      <rPr>
        <sz val="11"/>
        <color rgb="FF0000CC"/>
        <rFont val="Calibri"/>
        <family val="2"/>
        <scheme val="minor"/>
      </rPr>
      <t xml:space="preserve">
</t>
    </r>
    <r>
      <rPr>
        <sz val="11"/>
        <rFont val="Calibri"/>
        <family val="2"/>
        <scheme val="minor"/>
      </rPr>
      <t xml:space="preserve">a) Offers one of the most choices of premium payment terms: Single premium (SRS available), 3, 5, 10, 15, 20 or 25 years. 
b) Choose from an accumulation period range of 0 - 20 years (for all limited pay options)
c) Choice when to start receiving the yearly income, depending on the premium term and accumulation period
d) Allow to withdraw any re-invested yearly income (with accrued interest) either partially or fully
e) Option to partial surrender the policy by reducing the Sum Assured and withdraw the cash surrender value partially anytime
f) Wide range of premium waiver riders available
</t>
    </r>
    <r>
      <rPr>
        <b/>
        <sz val="11"/>
        <rFont val="Calibri"/>
        <family val="2"/>
        <scheme val="minor"/>
      </rPr>
      <t xml:space="preserve">ii) Certainty </t>
    </r>
    <r>
      <rPr>
        <sz val="11"/>
        <rFont val="Calibri"/>
        <family val="2"/>
        <scheme val="minor"/>
      </rPr>
      <t xml:space="preserve">
</t>
    </r>
    <r>
      <rPr>
        <b/>
        <sz val="11"/>
        <color rgb="FF0000CC"/>
        <rFont val="Calibri"/>
        <family val="2"/>
        <scheme val="minor"/>
      </rPr>
      <t xml:space="preserve">a) Highest guaranteed yearly income / total premium paid across all premium payment term
b) Highest total guaranteed payout (inclusive of total guaranteed yearly income + guaranteed surrender value) over total premiums at the latter age for 3-pay and 5-pay
</t>
    </r>
    <r>
      <rPr>
        <sz val="11"/>
        <rFont val="Calibri"/>
        <family val="2"/>
        <scheme val="minor"/>
      </rPr>
      <t xml:space="preserve">c) 100% principal guaranteed at the end of accumulation period or earlier (as early as the end of 13th policy year for 3Pay), whichever is earliest (depending on the chosen premium payment term)
d) Lifetime of yearly payouts starting from the end of accumulation period.
e) Guaranteed issuance. No medical check-up needed to apply
</t>
    </r>
    <r>
      <rPr>
        <b/>
        <sz val="11"/>
        <rFont val="Calibri"/>
        <family val="2"/>
        <scheme val="minor"/>
      </rPr>
      <t>iii) Potential Upside</t>
    </r>
    <r>
      <rPr>
        <sz val="11"/>
        <color rgb="FF0000CC"/>
        <rFont val="Calibri"/>
        <family val="2"/>
        <scheme val="minor"/>
      </rPr>
      <t xml:space="preserve">
</t>
    </r>
    <r>
      <rPr>
        <sz val="11"/>
        <rFont val="Calibri"/>
        <family val="2"/>
        <scheme val="minor"/>
      </rPr>
      <t xml:space="preserve">a) Offers Booster Bonus of 0.50% of Sum Assured (non-guaranteed) every policy year starting from the policy anniversary, either the attained age of Life Assured is 60 ANB or the end of the 20th policy year after the accumulation period ends (whichever is later).
</t>
    </r>
  </si>
  <si>
    <t>Singlife Legacy Income</t>
  </si>
  <si>
    <r>
      <rPr>
        <b/>
        <sz val="11"/>
        <color rgb="FF0000CC"/>
        <rFont val="Calibri"/>
        <family val="2"/>
        <scheme val="minor"/>
      </rPr>
      <t xml:space="preserve">- Competitive in terms of its total Guaranteed Yearly Income over total premiums paid for 5pay, especially in the latter years at ANB81 due to its step-up guaranteed income feature at payout year 3 &amp; year 16 respectively which provides certainty for clients in retirement planning.
</t>
    </r>
    <r>
      <rPr>
        <sz val="11"/>
        <rFont val="Calibri"/>
        <family val="2"/>
        <scheme val="minor"/>
      </rPr>
      <t xml:space="preserve">- Guaranteed income increases over time and is split into 3 tiers. </t>
    </r>
    <r>
      <rPr>
        <sz val="11"/>
        <color rgb="FFFF0000"/>
        <rFont val="Calibri"/>
        <family val="2"/>
        <scheme val="minor"/>
      </rPr>
      <t xml:space="preserve">
</t>
    </r>
    <r>
      <rPr>
        <sz val="11"/>
        <rFont val="Calibri"/>
        <family val="2"/>
        <scheme val="minor"/>
      </rPr>
      <t xml:space="preserve">- Offers short limited pay option of 3 years and offers monthly payout early from end of 37th monthiversary.
- Pays a Centennial Benefit of 105% of the Total Premiums Paid and non-guaranteed terminal bonus (if any) if the policy is still in force at the end of the policy term and no claims for benefits have been made. 
- For legacy planning and keyman insurance purposes, it allows change of life insured for up to 2 times for individual-owned policies; unlimited times are allowed for corporate-owned policies. 
</t>
    </r>
  </si>
  <si>
    <t>China Life</t>
  </si>
  <si>
    <t>Lifetime Income Plan Series 4</t>
  </si>
  <si>
    <r>
      <rPr>
        <b/>
        <sz val="11"/>
        <color rgb="FF0000CC"/>
        <rFont val="Calibri"/>
        <family val="2"/>
        <scheme val="minor"/>
      </rPr>
      <t>- Competitve guaranteed Death Benefit over total premiums paid especially in the latter years of ALB60 and ALB80 for greater certainity in legacy planning 
- Competitive in its total payouts (including total yearly income and total surrender value) over total premiums paid for its 20Pay</t>
    </r>
    <r>
      <rPr>
        <sz val="11"/>
        <color rgb="FFC00000"/>
        <rFont val="Calibri"/>
        <family val="2"/>
        <scheme val="minor"/>
      </rPr>
      <t xml:space="preserve">
</t>
    </r>
    <r>
      <rPr>
        <sz val="11"/>
        <rFont val="Calibri"/>
        <family val="2"/>
        <scheme val="minor"/>
      </rPr>
      <t>- Provide flexibility to client by offering a wide range of premium payment term and accumulation period to allow clients to customise their policy
- 100% capital guaranteed at the end of the premium payment term for 10, 15, 20 and 25 years premium payment term.
- 100% capital guaranteed at the end of accumulation period or end of 10th policy year for 5 years  premium payment term whichever is earliest
- No medical check up needed to apply for this policy</t>
    </r>
    <r>
      <rPr>
        <sz val="11"/>
        <color rgb="FFFF0000"/>
        <rFont val="Calibri"/>
        <family val="2"/>
        <scheme val="minor"/>
      </rPr>
      <t xml:space="preserve">
</t>
    </r>
    <r>
      <rPr>
        <sz val="11"/>
        <rFont val="Calibri"/>
        <family val="2"/>
        <scheme val="minor"/>
      </rPr>
      <t>- Premium waiver riders available to enhance the coverage of the plan</t>
    </r>
  </si>
  <si>
    <t>China Life Lifetime Income Supreme Plan</t>
  </si>
  <si>
    <r>
      <rPr>
        <b/>
        <sz val="11"/>
        <color rgb="FF0000CC"/>
        <rFont val="Calibri"/>
        <family val="2"/>
        <scheme val="minor"/>
      </rPr>
      <t>-Yearly or monthly cash benefit is payable from the end of selected premium term  as long as the life insured is alive and the policy is in force 
- Competitve guaranteed Death Benefit over total premiums paid especially in the latter years of ALB60 and ALB80 for greater certainity in legacy planning 
- Competitive in its total payouts (including total yearly income and total surrender value) over total premiums paid for its 10Pay</t>
    </r>
    <r>
      <rPr>
        <sz val="11"/>
        <rFont val="Calibri"/>
        <family val="2"/>
        <scheme val="minor"/>
      </rPr>
      <t xml:space="preserve">
- 100% capital guaranteed at the end of the premium payment term
- No medical check up needed to apply for this policy</t>
    </r>
    <r>
      <rPr>
        <sz val="11"/>
        <color rgb="FFFF0000"/>
        <rFont val="Calibri"/>
        <family val="2"/>
        <scheme val="minor"/>
      </rPr>
      <t xml:space="preserve">
</t>
    </r>
    <r>
      <rPr>
        <sz val="11"/>
        <rFont val="Calibri"/>
        <family val="2"/>
        <scheme val="minor"/>
      </rPr>
      <t>- Premium waiver riders available to enhance the coverage of the plan</t>
    </r>
  </si>
  <si>
    <t>China Taiping</t>
  </si>
  <si>
    <t>Etiqa</t>
  </si>
  <si>
    <t>Enrich Income</t>
  </si>
  <si>
    <r>
      <rPr>
        <b/>
        <sz val="11"/>
        <color rgb="FF0000CC"/>
        <rFont val="Calibri"/>
        <family val="2"/>
        <scheme val="minor"/>
      </rPr>
      <t xml:space="preserve">- Provides certainty for retirement planning, it has competitive total guaranteed payout (inclusive of total guaranteed yearly income + guaranteed surrender value) over total premiums paid.
- For legacy planning, it has competitive guaranteed death benefit over total premiums paid which provides certainty to clients in legacy planning.
</t>
    </r>
    <r>
      <rPr>
        <sz val="11"/>
        <rFont val="Calibri"/>
        <family val="2"/>
        <scheme val="minor"/>
      </rPr>
      <t xml:space="preserve">- Offers short premium payment term of 3 years with policy term up till age 125, similar to Singlife Legacy Income
- For key man and legacy planning, it provides change of life insured option for both corporate and individual owned policies respectively. 
- Premium deferment option is available for all premium payment terms except for its 3pay option. 
- Breakeven early at the end of premium payment term. 
- High guaranteed income and total income over total premium paid due to its one-time step-up in its guaranteed and non-guaranteed monthly payout, depending on selected premium payment term.
</t>
    </r>
  </si>
  <si>
    <t>Income</t>
  </si>
  <si>
    <t>Gro Cash Flex Pro</t>
  </si>
  <si>
    <r>
      <rPr>
        <b/>
        <sz val="11"/>
        <color rgb="FF0000CC"/>
        <rFont val="Calibri"/>
        <family val="2"/>
        <scheme val="minor"/>
      </rPr>
      <t>- Competitive in its total Guaranteed Yearly Income over total premiums paid for retirement planning purposes, especially for ALB40 with 10-pay and 20-pay payment term.</t>
    </r>
    <r>
      <rPr>
        <sz val="11"/>
        <rFont val="Calibri"/>
        <family val="2"/>
        <scheme val="minor"/>
      </rPr>
      <t xml:space="preserve">
- Wide range of premium payment terms available as well as policy terms up till age 120
- Earliest payout of the cash benefit from the end of the 2 years from policy entry date
- High guaranteed yearly cash benefit of 3% of sum assured and a non-guaranteed cash bonus which is up to 5.4% of the chosen sum assured
- Guaranteed Insurability option to buy another life policy from Income upon selected life events without evidence of good health
- Secondary insured option may be appointed during the policy term when the policy is in force to ensure the continuity of the policy upon death of the insured (able to change up to 3 times)
- Offers extra coverage in the form of Total and Permanent Disability benefit as well as Retrenchment Benefit from its optional Savings Protector Rider</t>
    </r>
  </si>
  <si>
    <t>Gro Cash Sure</t>
  </si>
  <si>
    <r>
      <rPr>
        <b/>
        <sz val="11"/>
        <color rgb="FF0000CC"/>
        <rFont val="Calibri"/>
        <family val="2"/>
        <scheme val="minor"/>
      </rPr>
      <t xml:space="preserve">- Competitive guaranteed Death Benefit over total premium paid for greater certainty in legacy planning </t>
    </r>
    <r>
      <rPr>
        <sz val="11"/>
        <rFont val="Calibri"/>
        <family val="2"/>
        <scheme val="minor"/>
      </rPr>
      <t xml:space="preserve">
- Option to receive monthly cash benefit (subject to minimum sum assured of $80,000)
- Cash bonus includes non-guaranteed loyalty bonus of 0.6% of sum assured, if applicable, payable starts from the end of 20th policy year after end of premium Term
- Offers Guaranteed Insurability Option to take up a new policy from Income with death and total and permanent disability benefits on the insured's own life, without evidence of good health (up to two times and on different life events)
- Secondary Life Insured option may be appointed up to 3 times during the term of the policy for policy benefit continuity
- Offers optional Retrenchment Benefit which can be claimed once per policy
- Offers TPD optional Benefit</t>
    </r>
  </si>
  <si>
    <t>Gro Cash Plus</t>
  </si>
  <si>
    <r>
      <rPr>
        <b/>
        <sz val="11"/>
        <color rgb="FF0000CC"/>
        <rFont val="Calibri"/>
        <family val="2"/>
        <scheme val="minor"/>
      </rPr>
      <t>- Competitive guaranteed Death Benefit over total premium paid for greater certainty in legacy planning for the earlier policy years</t>
    </r>
    <r>
      <rPr>
        <sz val="11"/>
        <rFont val="Calibri"/>
        <family val="2"/>
        <scheme val="minor"/>
      </rPr>
      <t xml:space="preserve">
- Short premium payment term of 3 years and capital guaranteed at the end of premium payment
- Yearly or monthly cash benefit is payable from the end of premium payment term till the end of policy term
- Option to receive monthly cash benefit (subject to minimum sum assured of $80,000)
- Guaranteed Insurability Option: Choose to take up a new policy from Income with death and total and permanent disability benefits on the insured's own life, without evidence of good health (up to two times and on different life events)
- Secondary insured Option may be appointed up to 3 times during the term of the policy</t>
    </r>
  </si>
  <si>
    <t>Manulife</t>
  </si>
  <si>
    <t>IncomeSecure</t>
  </si>
  <si>
    <r>
      <rPr>
        <sz val="11"/>
        <color rgb="FF0000CC"/>
        <rFont val="Calibri"/>
        <family val="2"/>
        <scheme val="minor"/>
      </rPr>
      <t>-</t>
    </r>
    <r>
      <rPr>
        <b/>
        <sz val="11"/>
        <color rgb="FF0000CC"/>
        <rFont val="Calibri"/>
        <family val="2"/>
        <scheme val="minor"/>
      </rPr>
      <t xml:space="preserve"> Payout from end of Policy Year 3 for 5Pay option</t>
    </r>
    <r>
      <rPr>
        <sz val="11"/>
        <color theme="1"/>
        <rFont val="Calibri"/>
        <family val="2"/>
        <scheme val="minor"/>
      </rPr>
      <t xml:space="preserve">
- One time step up in non-guaranteed yearly income from end of policy year 9 for 10pay option.
- 100% capital guaranteed at the end of policy year 8 and policy year 10 for 5pay and 10pay respectively
- Change of life insured option for individual owned policies (change up to 2 times) and for corporate owned policies (unlimited changes) helps to prolong the duration of the policy
- Embedded waiver of premiums upon TPD
</t>
    </r>
    <r>
      <rPr>
        <b/>
        <sz val="11"/>
        <color rgb="FF0000CC"/>
        <rFont val="Calibri"/>
        <family val="2"/>
        <scheme val="minor"/>
      </rPr>
      <t xml:space="preserve">- Embedded Terminal Cancer Benefit </t>
    </r>
    <r>
      <rPr>
        <sz val="11"/>
        <color theme="1"/>
        <rFont val="Calibri"/>
        <family val="2"/>
        <scheme val="minor"/>
      </rPr>
      <t>(</t>
    </r>
    <r>
      <rPr>
        <b/>
        <sz val="11"/>
        <color rgb="FF0000CC"/>
        <rFont val="Calibri"/>
        <family val="2"/>
        <scheme val="minor"/>
      </rPr>
      <t>Up to additional 100% of Annual Mode Premium lump sum payout</t>
    </r>
    <r>
      <rPr>
        <sz val="11"/>
        <color theme="1"/>
        <rFont val="Calibri"/>
        <family val="2"/>
        <scheme val="minor"/>
      </rPr>
      <t>)
- No medical check-up needed to apply
- Offers wide range of optional riders to enhance the coverage of the plan</t>
    </r>
  </si>
  <si>
    <t>IncomeGen (II)</t>
  </si>
  <si>
    <r>
      <t>- Offers short limited pay option of 3 years and offers monthly payout early from end of 49th monthiversary for 3Pay; 61st policy monthiversary for 5Pay till the end of policy term.</t>
    </r>
    <r>
      <rPr>
        <sz val="11"/>
        <color rgb="FFFF0000"/>
        <rFont val="Calibri"/>
        <family val="2"/>
        <scheme val="minor"/>
      </rPr>
      <t xml:space="preserve">
</t>
    </r>
    <r>
      <rPr>
        <b/>
        <sz val="11"/>
        <color rgb="FF0000CC"/>
        <rFont val="Calibri"/>
        <family val="2"/>
        <scheme val="minor"/>
      </rPr>
      <t>- Competitive total death benefit over total premiums paid for its 3Pay version, MNS ALB40; relatively competitive in its total death benefit over total premiums paid for its 3pay version, MNS ALB10.</t>
    </r>
    <r>
      <rPr>
        <sz val="11"/>
        <rFont val="Calibri"/>
        <family val="2"/>
        <scheme val="minor"/>
      </rPr>
      <t xml:space="preserve">
- Change of life insured option for individual owned policies (change up to 2 times) and for corporate owned policies (unlimited changes) helps to prolong the duration of the policy
</t>
    </r>
    <r>
      <rPr>
        <b/>
        <sz val="11"/>
        <color rgb="FF0000CC"/>
        <rFont val="Calibri"/>
        <family val="2"/>
        <scheme val="minor"/>
      </rPr>
      <t>- Provides an additional payout for Terminal Cancer Benefit (before age 75) &amp; waiver of premium upon TPD before end of premium payment term</t>
    </r>
    <r>
      <rPr>
        <sz val="11"/>
        <rFont val="Calibri"/>
        <family val="2"/>
        <scheme val="minor"/>
      </rPr>
      <t xml:space="preserve">
- No medical check-up needed to apply</t>
    </r>
  </si>
  <si>
    <t>Features and Comparison
Strictly for PIAS' FA Representatives reference only
(Not for circulation to Prospects or Clients)</t>
  </si>
  <si>
    <t>Insurer</t>
  </si>
  <si>
    <t>ChinaLife</t>
  </si>
  <si>
    <t>Product Name</t>
  </si>
  <si>
    <t>Lifetime Income Supreme Plan</t>
  </si>
  <si>
    <t>ALB/ANB</t>
  </si>
  <si>
    <t>ANB</t>
  </si>
  <si>
    <t>ALB</t>
  </si>
  <si>
    <t>Policy Term</t>
  </si>
  <si>
    <t>Whole of life</t>
  </si>
  <si>
    <t>100 years</t>
  </si>
  <si>
    <t>Up till age 120</t>
  </si>
  <si>
    <t>Up till age 125</t>
  </si>
  <si>
    <t xml:space="preserve">Up till age 120 </t>
  </si>
  <si>
    <t>up till age 120</t>
  </si>
  <si>
    <t>Premium Term</t>
  </si>
  <si>
    <r>
      <t>3,</t>
    </r>
    <r>
      <rPr>
        <sz val="11"/>
        <rFont val="Calibri"/>
        <family val="2"/>
        <scheme val="minor"/>
      </rPr>
      <t xml:space="preserve"> 5, 10, 15, 20, 25</t>
    </r>
  </si>
  <si>
    <r>
      <t>3,</t>
    </r>
    <r>
      <rPr>
        <sz val="11"/>
        <rFont val="Calibri"/>
        <family val="2"/>
        <scheme val="minor"/>
      </rPr>
      <t xml:space="preserve"> 5, 10</t>
    </r>
  </si>
  <si>
    <t>5, 10, 15, 20, 25</t>
  </si>
  <si>
    <t>5, 10</t>
  </si>
  <si>
    <r>
      <t xml:space="preserve">3, </t>
    </r>
    <r>
      <rPr>
        <sz val="11"/>
        <color theme="1"/>
        <rFont val="Calibri"/>
        <family val="2"/>
        <scheme val="minor"/>
      </rPr>
      <t>5, 10, 15, 20</t>
    </r>
  </si>
  <si>
    <r>
      <rPr>
        <sz val="11"/>
        <rFont val="Calibri"/>
        <family val="2"/>
        <scheme val="minor"/>
      </rPr>
      <t>5, 10, 15, 20, 25,</t>
    </r>
    <r>
      <rPr>
        <b/>
        <sz val="11"/>
        <color rgb="FF0000CC"/>
        <rFont val="Calibri"/>
        <family val="2"/>
        <scheme val="minor"/>
      </rPr>
      <t xml:space="preserve"> 30</t>
    </r>
  </si>
  <si>
    <r>
      <rPr>
        <b/>
        <sz val="11"/>
        <color rgb="FF0000CC"/>
        <rFont val="Calibri"/>
        <family val="2"/>
        <scheme val="minor"/>
      </rPr>
      <t>3</t>
    </r>
    <r>
      <rPr>
        <sz val="11"/>
        <color theme="1"/>
        <rFont val="Calibri"/>
        <family val="2"/>
        <scheme val="minor"/>
      </rPr>
      <t>,5</t>
    </r>
  </si>
  <si>
    <t>Entry Age, Life Insured (Min - Max)</t>
  </si>
  <si>
    <t xml:space="preserve">3-pay, 5-pay -&gt; 1 to 70 ANB 
10-pay -&gt; 1  to 65 ANB  
15-pay -&gt; 1 to  60 ANB 
20-pay -&gt; 1 to  55 ANB 
25-pay -&gt; 1  to 50 ANB
</t>
  </si>
  <si>
    <t>3-pay, 5-pay -&gt; ANB 1 to 70 
10-pay -&gt; ANB 1 to 65</t>
  </si>
  <si>
    <t>0 (15 days) – 65 (ALB)
Subject to Entry Age + Premium Payment Term &lt;=70 ALB</t>
  </si>
  <si>
    <t>ANB 1  - 70</t>
  </si>
  <si>
    <t>3/5pay: ANB1 – 70
10pay: ANB1 – 65
15pay: ANB1 – 60
20pay: ANB1 – 55</t>
  </si>
  <si>
    <t>ALB 0 to 75 – premium term</t>
  </si>
  <si>
    <t xml:space="preserve">Base plan/ 
Savings Protector (Compulsory Rider):
ALB0-75 minus premium term
</t>
  </si>
  <si>
    <r>
      <rPr>
        <sz val="11"/>
        <rFont val="Calibri"/>
        <family val="2"/>
        <scheme val="minor"/>
      </rPr>
      <t xml:space="preserve">0 - </t>
    </r>
    <r>
      <rPr>
        <b/>
        <sz val="11"/>
        <color rgb="FF0000CC"/>
        <rFont val="Calibri"/>
        <family val="2"/>
        <scheme val="minor"/>
      </rPr>
      <t>75</t>
    </r>
  </si>
  <si>
    <t xml:space="preserve"> 0 (15 days old) - 65 ALB</t>
  </si>
  <si>
    <t>5-pay -&gt;0 (15 days) - 65 (ALB)
10-pay -&gt; 0 (15 days) - 60 (ALB)</t>
  </si>
  <si>
    <t>Entry Age, Policy Owner (Min - Max)</t>
  </si>
  <si>
    <r>
      <t xml:space="preserve">ANB 17 - </t>
    </r>
    <r>
      <rPr>
        <b/>
        <sz val="11"/>
        <color rgb="FF0000CC"/>
        <rFont val="Calibri"/>
        <family val="2"/>
        <scheme val="minor"/>
      </rPr>
      <t xml:space="preserve">99 </t>
    </r>
  </si>
  <si>
    <r>
      <t>ANB 17 -</t>
    </r>
    <r>
      <rPr>
        <b/>
        <sz val="11"/>
        <color rgb="FF0000CC"/>
        <rFont val="Calibri"/>
        <family val="2"/>
        <scheme val="minor"/>
      </rPr>
      <t xml:space="preserve"> 99 </t>
    </r>
  </si>
  <si>
    <t xml:space="preserve">ALB 18 - 70 </t>
  </si>
  <si>
    <t>ANB 19 - 70</t>
  </si>
  <si>
    <t>ANB 17 - 100</t>
  </si>
  <si>
    <t>ALB 16 to NA</t>
  </si>
  <si>
    <t>ALB 16 - N.A.</t>
  </si>
  <si>
    <t xml:space="preserve">ALB 16 - 65
</t>
  </si>
  <si>
    <t>5-pay -&gt; 16 - 65 (ALB)
10-pay -&gt; 16 - 60 (ALB)</t>
  </si>
  <si>
    <t>Payout Commence</t>
  </si>
  <si>
    <r>
      <rPr>
        <b/>
        <sz val="11"/>
        <color rgb="FF0000CC"/>
        <rFont val="Calibri"/>
        <family val="2"/>
        <scheme val="minor"/>
      </rPr>
      <t>- As early as from 3rd Policy Anniversary for as long as the life assured is alive and while the policy is inforce</t>
    </r>
    <r>
      <rPr>
        <sz val="11"/>
        <rFont val="Calibri"/>
        <family val="2"/>
        <scheme val="minor"/>
      </rPr>
      <t xml:space="preserve">
- Flexibility to choose from an accumulation period range of 0 - 20 years
Accumulation Period:
3, 5, 10, 15, 20, 25-pay: 0 – 20 years 
(subject to entry age + premium term + Accumulation Period ≤ 80 ANB) </t>
    </r>
  </si>
  <si>
    <r>
      <rPr>
        <b/>
        <sz val="11"/>
        <color rgb="FF0000CC"/>
        <rFont val="Calibri"/>
        <family val="2"/>
        <scheme val="minor"/>
      </rPr>
      <t>3Pay: Payable monthly starting from end of month 37 till the end of the policy term.</t>
    </r>
    <r>
      <rPr>
        <sz val="11"/>
        <rFont val="Calibri"/>
        <family val="2"/>
        <scheme val="minor"/>
      </rPr>
      <t xml:space="preserve">
5Pay: Payable monthly starting from end of month 61 till the end of the policy term.
10Pay: Payable monthly starting from end of month 121 till the end of the policy term.</t>
    </r>
  </si>
  <si>
    <t xml:space="preserve">- As early as from 5th Policy Anniversary for as long as the life assured is alive and while the policy is inforce
- Flexibility to choose from an accumulation period range of 0 - 40 years
Accumulation Period:
5, 10, 15, 20, 25 pay: 0 – 40 years 
(subject to entry age + premium term + Accumulation Period ≤ 75 ALB) 
</t>
  </si>
  <si>
    <t>At the end of selected premium term
5Pay: At the end of 5th policy year
10Pay: At the end of 10th policy year</t>
  </si>
  <si>
    <t>3Pay: Payable monthly starting from 37th month till policy matures
5Pay: Payable monthly starting from 61st month till policy matures
10Pay: Payable monthly starting from 121st month till policy matures
15Pay: Payable monthly starting from 181st month till policy matures
20Pay: Payable monthly starting from 241st month till policy matures</t>
  </si>
  <si>
    <t>Payable each year starting from the end of premium payment term till policy maturity.</t>
  </si>
  <si>
    <r>
      <rPr>
        <b/>
        <sz val="11"/>
        <color rgb="FF0000CC"/>
        <rFont val="Calibri"/>
        <family val="2"/>
        <scheme val="minor"/>
      </rPr>
      <t>Payable each year starting from the end of 2nd year from the policy entry date till policy maturity.</t>
    </r>
    <r>
      <rPr>
        <sz val="11"/>
        <color theme="1"/>
        <rFont val="Calibri"/>
        <family val="2"/>
        <scheme val="minor"/>
      </rPr>
      <t xml:space="preserve">
(The first cash benefit will be paid two years from the policy entry date.)
</t>
    </r>
  </si>
  <si>
    <t>- Guaranteed Cash Benefit from end of premium term at end of 3rd policy year till end of the policy term
- Non-guaranteed Cash Bonus from end of 4th policy year till end of the policy term</t>
  </si>
  <si>
    <t>3-Pay: Payable monthly starting from 49th policy monthiversary till policy maturity.
(The last monthly income will be payable on maturity date)
5-Pay: Payable monthly starting from 61st policy monthiversary till policy maturity.
(The last monthly income will be payable on maturity date)</t>
  </si>
  <si>
    <t>5 years premium term – first payout will be end of 3rd policy year.
10 years premium term – first payout will be end of 5th or 10th policy year. 
Total yearly income (guaranteed + non-guaranteed) will be payable at the end of each policy year until the policy anniversary year immediately before the policy matures.</t>
  </si>
  <si>
    <t>Payout Frequency</t>
  </si>
  <si>
    <t>Yearly or Accumulated</t>
  </si>
  <si>
    <r>
      <rPr>
        <b/>
        <sz val="11"/>
        <color rgb="FF0000CC"/>
        <rFont val="Calibri"/>
        <family val="2"/>
        <scheme val="minor"/>
      </rPr>
      <t>Monthly</t>
    </r>
    <r>
      <rPr>
        <sz val="11"/>
        <rFont val="Calibri"/>
        <family val="2"/>
        <scheme val="minor"/>
      </rPr>
      <t xml:space="preserve"> or Accumulated</t>
    </r>
  </si>
  <si>
    <t>Yearly/Monthly or Accumulated</t>
  </si>
  <si>
    <r>
      <t>Yearly/</t>
    </r>
    <r>
      <rPr>
        <b/>
        <sz val="11"/>
        <color rgb="FF0000CC"/>
        <rFont val="Calibri"/>
        <family val="2"/>
        <scheme val="minor"/>
      </rPr>
      <t>Monthly</t>
    </r>
    <r>
      <rPr>
        <sz val="11"/>
        <color theme="1"/>
        <rFont val="Calibri"/>
        <family val="2"/>
        <scheme val="minor"/>
      </rPr>
      <t>* or Accumulated 
*If the sum assured is at least $80K</t>
    </r>
  </si>
  <si>
    <t>Currency</t>
  </si>
  <si>
    <t>SGD</t>
  </si>
  <si>
    <t>Underwriting</t>
  </si>
  <si>
    <t>GIO</t>
  </si>
  <si>
    <t>Guaranteed Yearly Income 
(% of Sum Assured) @ IRR 4.25%</t>
  </si>
  <si>
    <t>2.20% of SA</t>
  </si>
  <si>
    <t>From payout year 
1-2: 1.00% of SA
From payout year 
3-15: 1.28% of SA
From payout year 16 onwards: 1.37% of SA</t>
  </si>
  <si>
    <t>1% of SA</t>
  </si>
  <si>
    <t>1.8% of SA</t>
  </si>
  <si>
    <r>
      <rPr>
        <b/>
        <u/>
        <sz val="10.5"/>
        <rFont val="Calibri"/>
        <family val="2"/>
        <scheme val="minor"/>
      </rPr>
      <t>3Pay</t>
    </r>
    <r>
      <rPr>
        <sz val="10.5"/>
        <rFont val="Calibri"/>
        <family val="2"/>
        <scheme val="minor"/>
      </rPr>
      <t xml:space="preserve">
From 37th to 60th month: 2.0% of yearly premium
From 61st onwards: 3.0% of yearly premium
</t>
    </r>
    <r>
      <rPr>
        <b/>
        <u/>
        <sz val="10.5"/>
        <rFont val="Calibri"/>
        <family val="2"/>
        <scheme val="minor"/>
      </rPr>
      <t>5Pay</t>
    </r>
    <r>
      <rPr>
        <sz val="10.5"/>
        <rFont val="Calibri"/>
        <family val="2"/>
        <scheme val="minor"/>
      </rPr>
      <t xml:space="preserve">
From 61st to 120th month: 5.0% of yearly premium
From 121st onwards: 6.3% of yearly premium
</t>
    </r>
    <r>
      <rPr>
        <b/>
        <u/>
        <sz val="10.5"/>
        <rFont val="Calibri"/>
        <family val="2"/>
        <scheme val="minor"/>
      </rPr>
      <t>10Pay</t>
    </r>
    <r>
      <rPr>
        <sz val="10.5"/>
        <rFont val="Calibri"/>
        <family val="2"/>
        <scheme val="minor"/>
      </rPr>
      <t xml:space="preserve">
From 121st to 180th month: 13.0% of yearly premium
From 181st onwards: 16% of yearly premium
</t>
    </r>
    <r>
      <rPr>
        <b/>
        <u/>
        <sz val="10.5"/>
        <rFont val="Calibri"/>
        <family val="2"/>
        <scheme val="minor"/>
      </rPr>
      <t>15Pay</t>
    </r>
    <r>
      <rPr>
        <sz val="10.5"/>
        <rFont val="Calibri"/>
        <family val="2"/>
        <scheme val="minor"/>
      </rPr>
      <t xml:space="preserve">
From 181st to 240th month: 19.0% of yearly premium
From 241st onwards: 26% of yearly premium
</t>
    </r>
    <r>
      <rPr>
        <b/>
        <u/>
        <sz val="10.5"/>
        <rFont val="Calibri"/>
        <family val="2"/>
        <scheme val="minor"/>
      </rPr>
      <t>20Pay</t>
    </r>
    <r>
      <rPr>
        <sz val="10.5"/>
        <rFont val="Calibri"/>
        <family val="2"/>
        <scheme val="minor"/>
      </rPr>
      <t xml:space="preserve">
From 241st to 300th month: 34.0% of yearly premium
From 301st onwards:40% of yearly premium</t>
    </r>
  </si>
  <si>
    <t>2% of SA</t>
  </si>
  <si>
    <t>3% of SA</t>
  </si>
  <si>
    <t>Depending on entry age, different
percentage of sum assured from 0.40% to 1.85%</t>
  </si>
  <si>
    <t>0.81% of SA</t>
  </si>
  <si>
    <r>
      <rPr>
        <b/>
        <u/>
        <sz val="10.5"/>
        <rFont val="Calibri"/>
        <family val="2"/>
        <scheme val="minor"/>
      </rPr>
      <t>5Pay</t>
    </r>
    <r>
      <rPr>
        <sz val="10.5"/>
        <rFont val="Calibri"/>
        <family val="2"/>
        <scheme val="minor"/>
      </rPr>
      <t xml:space="preserve">
Sum Insured $23,300 - $49,999: 0.759% of sum insured
Sum Insured $50,000 and above: 0.800% of sum insured
</t>
    </r>
    <r>
      <rPr>
        <b/>
        <u/>
        <sz val="10.5"/>
        <rFont val="Calibri"/>
        <family val="2"/>
        <scheme val="minor"/>
      </rPr>
      <t>10Pay (Policy Year 5)</t>
    </r>
    <r>
      <rPr>
        <sz val="10.5"/>
        <rFont val="Calibri"/>
        <family val="2"/>
        <scheme val="minor"/>
      </rPr>
      <t xml:space="preserve">
Sum Insured $23,300 - $49,999: 0.762% of sum insured
Sum Insured $50,000 and above: 0.800% of sum insured
</t>
    </r>
    <r>
      <rPr>
        <b/>
        <u/>
        <sz val="10.5"/>
        <rFont val="Calibri"/>
        <family val="2"/>
        <scheme val="minor"/>
      </rPr>
      <t xml:space="preserve">
10Pay (Policy Year 10)</t>
    </r>
    <r>
      <rPr>
        <sz val="10.5"/>
        <rFont val="Calibri"/>
        <family val="2"/>
        <scheme val="minor"/>
      </rPr>
      <t xml:space="preserve">
Sum Insured $23,300 - $49,999: 0.774% of sum insured
Sum Insured $50,000 and above: 0.800% of sum insured</t>
    </r>
  </si>
  <si>
    <t xml:space="preserve">Non-guaranteed Yearly Income 
(% of Sum Assured) @ IRR 4.25% </t>
  </si>
  <si>
    <r>
      <rPr>
        <b/>
        <u/>
        <sz val="11"/>
        <rFont val="Calibri"/>
        <family val="2"/>
        <scheme val="minor"/>
      </rPr>
      <t xml:space="preserve">Prior to 21st income payout year or age 60 
(whichever is later)
</t>
    </r>
    <r>
      <rPr>
        <sz val="11"/>
        <rFont val="Calibri"/>
        <family val="2"/>
        <scheme val="minor"/>
      </rPr>
      <t xml:space="preserve">3.0% of SA </t>
    </r>
    <r>
      <rPr>
        <b/>
        <u/>
        <sz val="11"/>
        <rFont val="Calibri"/>
        <family val="2"/>
        <scheme val="minor"/>
      </rPr>
      <t xml:space="preserve">
From 21st income payout year or age 60 
(whichever is later)
</t>
    </r>
    <r>
      <rPr>
        <sz val="11"/>
        <rFont val="Calibri"/>
        <family val="2"/>
        <scheme val="minor"/>
      </rPr>
      <t>3.50% of SA (including Booster Bonus)</t>
    </r>
  </si>
  <si>
    <r>
      <rPr>
        <b/>
        <u/>
        <sz val="11"/>
        <rFont val="Calibri"/>
        <family val="2"/>
        <scheme val="minor"/>
      </rPr>
      <t>3Pay</t>
    </r>
    <r>
      <rPr>
        <sz val="11"/>
        <rFont val="Calibri"/>
        <family val="2"/>
        <scheme val="minor"/>
      </rPr>
      <t xml:space="preserve">
From payout year 
1-2: 1.32% of SA
From payout year 
3-15: 2.10% of SA
From payout year 16 onwards: 2.25% of SA
</t>
    </r>
    <r>
      <rPr>
        <b/>
        <u/>
        <sz val="11"/>
        <rFont val="Calibri"/>
        <family val="2"/>
        <scheme val="minor"/>
      </rPr>
      <t>5Pay</t>
    </r>
    <r>
      <rPr>
        <sz val="11"/>
        <rFont val="Calibri"/>
        <family val="2"/>
        <scheme val="minor"/>
      </rPr>
      <t xml:space="preserve">
From payout year 
1-2: 1.31% of SA
From payout year 
3-15: 2.08% of SA
From payout year 16 onwards: 2.22% of SA
</t>
    </r>
    <r>
      <rPr>
        <b/>
        <u/>
        <sz val="11"/>
        <rFont val="Calibri"/>
        <family val="2"/>
        <scheme val="minor"/>
      </rPr>
      <t>10Pay</t>
    </r>
    <r>
      <rPr>
        <sz val="11"/>
        <rFont val="Calibri"/>
        <family val="2"/>
        <scheme val="minor"/>
      </rPr>
      <t xml:space="preserve">
From payout year 
1-2: 1.30% of SA
From payout year 
3-15: 2.05% of SA
From payout year 16 onwards: 2.20% of SA
</t>
    </r>
  </si>
  <si>
    <t>4.70% of SA</t>
  </si>
  <si>
    <t>4.20% of SA</t>
  </si>
  <si>
    <r>
      <rPr>
        <b/>
        <u/>
        <sz val="10.5"/>
        <rFont val="Calibri"/>
        <family val="2"/>
        <scheme val="minor"/>
      </rPr>
      <t>3Pay</t>
    </r>
    <r>
      <rPr>
        <sz val="10.5"/>
        <rFont val="Calibri"/>
        <family val="2"/>
        <scheme val="minor"/>
      </rPr>
      <t xml:space="preserve">
From 37th to 60th month: 5.0% of yearly premium
From 61st onwards: 7.2% of yearly premium
</t>
    </r>
    <r>
      <rPr>
        <b/>
        <u/>
        <sz val="10.5"/>
        <rFont val="Calibri"/>
        <family val="2"/>
        <scheme val="minor"/>
      </rPr>
      <t>5Pay</t>
    </r>
    <r>
      <rPr>
        <sz val="10.5"/>
        <rFont val="Calibri"/>
        <family val="2"/>
        <scheme val="minor"/>
      </rPr>
      <t xml:space="preserve">
From 61st to 120th month: 5.0% of yearly premium
From 121st onwards:12.7% of yearly premium
</t>
    </r>
    <r>
      <rPr>
        <b/>
        <u/>
        <sz val="10.5"/>
        <rFont val="Calibri"/>
        <family val="2"/>
        <scheme val="minor"/>
      </rPr>
      <t>10Pay</t>
    </r>
    <r>
      <rPr>
        <sz val="10.5"/>
        <rFont val="Calibri"/>
        <family val="2"/>
        <scheme val="minor"/>
      </rPr>
      <t xml:space="preserve">
From 121st to 180th month: 20% of yearly premium
From 181st onwards: 24% of yearly premium
</t>
    </r>
    <r>
      <rPr>
        <b/>
        <u/>
        <sz val="10.5"/>
        <rFont val="Calibri"/>
        <family val="2"/>
        <scheme val="minor"/>
      </rPr>
      <t xml:space="preserve">15Pay
</t>
    </r>
    <r>
      <rPr>
        <sz val="10.5"/>
        <rFont val="Calibri"/>
        <family val="2"/>
        <scheme val="minor"/>
      </rPr>
      <t xml:space="preserve">From 181st to 240th month: 39% of yearly premium
From 241st onwards: 40% of yearly premium
</t>
    </r>
    <r>
      <rPr>
        <b/>
        <u/>
        <sz val="10.5"/>
        <rFont val="Calibri"/>
        <family val="2"/>
        <scheme val="minor"/>
      </rPr>
      <t>20Pay</t>
    </r>
    <r>
      <rPr>
        <sz val="10.5"/>
        <rFont val="Calibri"/>
        <family val="2"/>
        <scheme val="minor"/>
      </rPr>
      <t xml:space="preserve">
From 241st to 300th month: 49% of yearly premium
From 301st onwards: 57% of yearly premium</t>
    </r>
  </si>
  <si>
    <r>
      <t xml:space="preserve">Cash bonus (Includes Loyalty bonus of 0.60%, if applicable) 
</t>
    </r>
    <r>
      <rPr>
        <b/>
        <u/>
        <sz val="11"/>
        <rFont val="Calibri"/>
        <family val="2"/>
        <scheme val="minor"/>
      </rPr>
      <t>5Pay</t>
    </r>
    <r>
      <rPr>
        <sz val="11"/>
        <rFont val="Calibri"/>
        <family val="2"/>
        <scheme val="minor"/>
      </rPr>
      <t xml:space="preserve">
• End of 5th policy year to end of 24th policy years: 7.30% of sum assured 
• End of 25th policy year onwards: 7.90% of sum assured
</t>
    </r>
    <r>
      <rPr>
        <b/>
        <u/>
        <sz val="11"/>
        <rFont val="Calibri"/>
        <family val="2"/>
        <scheme val="minor"/>
      </rPr>
      <t>10Pay</t>
    </r>
    <r>
      <rPr>
        <sz val="11"/>
        <rFont val="Calibri"/>
        <family val="2"/>
        <scheme val="minor"/>
      </rPr>
      <t xml:space="preserve"> 
• End of 10th policy year to end of 29th policy years: 7.30% of sum assured 
• End of 30th years onward: 7.90% of sum assured</t>
    </r>
  </si>
  <si>
    <r>
      <rPr>
        <b/>
        <u/>
        <sz val="11"/>
        <rFont val="Calibri"/>
        <family val="2"/>
        <scheme val="minor"/>
      </rPr>
      <t xml:space="preserve">For policy term till age 120
</t>
    </r>
    <r>
      <rPr>
        <sz val="11"/>
        <rFont val="Calibri"/>
        <family val="2"/>
        <scheme val="minor"/>
      </rPr>
      <t xml:space="preserve">Premium Term 5 years - </t>
    </r>
    <r>
      <rPr>
        <b/>
        <sz val="11"/>
        <color rgb="FF0000CC"/>
        <rFont val="Calibri"/>
        <family val="2"/>
        <scheme val="minor"/>
      </rPr>
      <t>5.4%</t>
    </r>
    <r>
      <rPr>
        <sz val="11"/>
        <rFont val="Calibri"/>
        <family val="2"/>
        <scheme val="minor"/>
      </rPr>
      <t xml:space="preserve">
Premium Term 10 years - 4.35%
Premium Term 15 years - 3.95%
Premium Term 20 years - 3.33%
Premium Term 25 years - 3.00%
Premium Term 30 years - 2.50%
*this will differ for other policy term chosen</t>
    </r>
  </si>
  <si>
    <t>Depending on entry age, different
percentage of sum assured from 3.36% to 5.90%</t>
  </si>
  <si>
    <t>2.43% of SA</t>
  </si>
  <si>
    <r>
      <t xml:space="preserve">5Pay
</t>
    </r>
    <r>
      <rPr>
        <sz val="11"/>
        <rFont val="Calibri"/>
        <family val="2"/>
        <scheme val="minor"/>
      </rPr>
      <t xml:space="preserve">Sum Insured $23,300 - $49,999:
Policy Year 3 - Policy Year 8: 0.491% of sum insured
From Policy Year 9:  2.241% of sum insured
Sum Insured $50,000 and above:
Policy Year 3 - Policy Year 8: 1.200% of sum insured
From Policy Year 9:  2.200% of sum insured
</t>
    </r>
    <r>
      <rPr>
        <b/>
        <u/>
        <sz val="11"/>
        <rFont val="Calibri"/>
        <family val="2"/>
        <scheme val="minor"/>
      </rPr>
      <t xml:space="preserve">
10Pay (Policy Year 5)
</t>
    </r>
    <r>
      <rPr>
        <sz val="11"/>
        <rFont val="Calibri"/>
        <family val="2"/>
        <scheme val="minor"/>
      </rPr>
      <t xml:space="preserve">Sum Insured $23,300 - $49,999:
Policy Year 5 - Policy Year 14: 1.088% of sum insured
From Policy Year 9:  2.238% of sum insured
Sum Insured $50,000 and above:
Policy Year 3 - Policy Year 8: 1.750% of sum insured
From Policy Year 9:  2.200% of sum insured
</t>
    </r>
    <r>
      <rPr>
        <b/>
        <u/>
        <sz val="11"/>
        <rFont val="Calibri"/>
        <family val="2"/>
        <scheme val="minor"/>
      </rPr>
      <t xml:space="preserve">
10Pay (Policy Year 10)
</t>
    </r>
    <r>
      <rPr>
        <sz val="11"/>
        <rFont val="Calibri"/>
        <family val="2"/>
        <scheme val="minor"/>
      </rPr>
      <t>Sum Insured $23,300 - $49,999:
From Policy Year 10: 2.226% of sum insured
Sum Insured $50,000 and above:
From Policy Year 10:  2.850% of sum insured</t>
    </r>
  </si>
  <si>
    <t>Maturity Benefit</t>
  </si>
  <si>
    <t>NA</t>
  </si>
  <si>
    <t>Yes, at end of policy term. 
Pays a Centennial Benefit of 105% of the Total Premiums Paid and non-guaranteed terminal bonus (if any), less any amount owing to Singlife. 
Any accumulated Guaranteed Income and Cash Bonus will also be paid out together with the Centennial Benefit.</t>
  </si>
  <si>
    <t>Yes, policy maturity at age 120</t>
  </si>
  <si>
    <t>Yes, at policy maturity at age 125.
The sum of:
(a)Guaranteed Maturity Value; 
(b)last monthly income
(c) Any performance bonus
(d) Any monthly income deposited with Etiqa with non-guaranteed interest,
Less any amounts owing to Etiqa</t>
  </si>
  <si>
    <t xml:space="preserve">Yes, policy maturity at age 120 of the original life insured
The sum of:
a) The guaranteed surrender value as at maturity date;
b) The non-guaranteed maturity bonus (if any); and
c) Any accumulated cash benefits and cash bonus which have built up (if any).
</t>
  </si>
  <si>
    <t>Yes, at policy maturity at age 120
The sum of:
a) The guaranteed surrender value as at maturity date;
b) The non-guaranteed maturity bonus (if any); and
c) Any accumulated monthly income which has built up with interest (if any).</t>
  </si>
  <si>
    <t>Non-guaranteed Accumulation Interest Rate</t>
  </si>
  <si>
    <t>3.00% p.a.</t>
  </si>
  <si>
    <t>2.75% p.a.</t>
  </si>
  <si>
    <t>1.20% p.a.</t>
  </si>
  <si>
    <t>3.00% p.a</t>
  </si>
  <si>
    <t xml:space="preserve">100% Capital Guaranteed  </t>
  </si>
  <si>
    <r>
      <rPr>
        <b/>
        <sz val="11"/>
        <color rgb="FF0000CC"/>
        <rFont val="Calibri"/>
        <family val="2"/>
        <scheme val="minor"/>
      </rPr>
      <t>Yes, at the end of accumulation period or earlier,</t>
    </r>
    <r>
      <rPr>
        <sz val="11"/>
        <rFont val="Calibri"/>
        <family val="2"/>
        <scheme val="minor"/>
      </rPr>
      <t xml:space="preserve"> depending on the choice of premium payment term
(a) End of 13th Policy Year for Policy with 3 years premium payment term; 
(b) End of 15th Policy Year for Policy with 5, 10 or 15 years premium payment term; or
(c) End of 25th Policy Year for Policy with 20 or 25 years premium payment term;
whichever is earliest.</t>
    </r>
  </si>
  <si>
    <t>Yes, before end of policy maturity</t>
  </si>
  <si>
    <t xml:space="preserve">Yes.
At the end of accumulation period or end of:
(i) 10th policy year for policies with premium payment term of 5, 10 years
(ii) 15th, 20th or 25th policy year for policies with a premium payment term of 15, 20 or 25 years respectively
Whichever is earliest
</t>
  </si>
  <si>
    <t>Yes.
At the end of premium payment term</t>
  </si>
  <si>
    <t>Yes. At the end of premium payment term.</t>
  </si>
  <si>
    <t>Yes. At the end of premium payment term</t>
  </si>
  <si>
    <t xml:space="preserve">Guaranteed Cash Surrender Value </t>
  </si>
  <si>
    <t>Increase at 0.25% per annum (compounded) starting from the 5th policy year after the end of the Accumulation Period.</t>
  </si>
  <si>
    <t>For 3-Pay: Policy will acquire a Guaranteed Cash Surrender Value starting from the beginning of 2nd Policy Year as long as premiums are paid up to date.
For 5-Pay &amp; 10-Pay: Policy will acquire a Guaranteed Cash Surrender Value starting from the beginning of 3rd Policy Year as long as premiums are paid up to date. 
The policy will acquire a Guaranteed Cash Surrender Value of 80% of total premiums paid after the premium payment term.</t>
  </si>
  <si>
    <t>From the end of 2nd policy year, as long as premiums are paid-to-date</t>
  </si>
  <si>
    <r>
      <rPr>
        <b/>
        <u/>
        <sz val="11"/>
        <rFont val="Calibri"/>
        <family val="2"/>
        <scheme val="minor"/>
      </rPr>
      <t>3Pay</t>
    </r>
    <r>
      <rPr>
        <sz val="11"/>
        <rFont val="Calibri"/>
        <family val="2"/>
        <scheme val="minor"/>
      </rPr>
      <t xml:space="preserve">
Policy will acquire a Cash Value from the end of the 2nd Policy Year onwards, upon receipt of the 2nd year annual premium are paid, as long as premiums are paid up to date.
</t>
    </r>
    <r>
      <rPr>
        <b/>
        <u/>
        <sz val="11"/>
        <rFont val="Calibri"/>
        <family val="2"/>
        <scheme val="minor"/>
      </rPr>
      <t xml:space="preserve">5/10/15 &amp; 20Pay 
</t>
    </r>
    <r>
      <rPr>
        <sz val="11"/>
        <rFont val="Calibri"/>
        <family val="2"/>
        <scheme val="minor"/>
      </rPr>
      <t>Policy will acquire a Cash Value from the end of the 3rd Policy Year onwards, upon receipt of the 3rd year annual premium are paid, as long as premiums are paid up to date.</t>
    </r>
  </si>
  <si>
    <t>Equivalent to total premiums paid, excluding premiums paid on riders at the end of premium term.</t>
  </si>
  <si>
    <t>There is a surrender value on this policy after premiums have been paid for at least 2 years.</t>
  </si>
  <si>
    <t>Policy will acquire a Guaranteed Cash Surrender Value starting from the beginning of 2nd Policy Year as long as premiums are paid up to date.</t>
  </si>
  <si>
    <t>Applicable from the start of the third policy year onwards, as long as the premiums are paid up to date</t>
  </si>
  <si>
    <t>Minimum Sum Insured/Yearly Income</t>
  </si>
  <si>
    <t>SI: $25000</t>
  </si>
  <si>
    <t>SI: $25,000</t>
  </si>
  <si>
    <t>SI: $75,000</t>
  </si>
  <si>
    <r>
      <rPr>
        <b/>
        <u/>
        <sz val="11"/>
        <rFont val="Calibri"/>
        <family val="2"/>
        <scheme val="minor"/>
      </rPr>
      <t>Min. annual premium</t>
    </r>
    <r>
      <rPr>
        <sz val="11"/>
        <rFont val="Calibri"/>
        <family val="2"/>
        <scheme val="minor"/>
      </rPr>
      <t xml:space="preserve">
3Pay: $10,000
5Pay: $8,000
10Pay: $4,000
15Pay: $3,000
20Pay: $2,000</t>
    </r>
  </si>
  <si>
    <t>SI: $12,000</t>
  </si>
  <si>
    <r>
      <rPr>
        <b/>
        <u/>
        <sz val="11"/>
        <color rgb="FF0000CC"/>
        <rFont val="Calibri"/>
        <family val="2"/>
        <scheme val="minor"/>
      </rPr>
      <t xml:space="preserve">For Policy Term till age 120
</t>
    </r>
    <r>
      <rPr>
        <b/>
        <sz val="11"/>
        <color rgb="FF0000CC"/>
        <rFont val="Calibri"/>
        <family val="2"/>
        <scheme val="minor"/>
      </rPr>
      <t>SI: $10,000</t>
    </r>
  </si>
  <si>
    <r>
      <rPr>
        <b/>
        <u/>
        <sz val="11"/>
        <rFont val="Calibri"/>
        <family val="2"/>
        <scheme val="minor"/>
      </rPr>
      <t>SI</t>
    </r>
    <r>
      <rPr>
        <sz val="11"/>
        <rFont val="Calibri"/>
        <family val="2"/>
        <scheme val="minor"/>
      </rPr>
      <t xml:space="preserve">
3Pay: $150,000
5Pay: $90,000</t>
    </r>
  </si>
  <si>
    <r>
      <rPr>
        <b/>
        <u/>
        <sz val="11"/>
        <color theme="1"/>
        <rFont val="Calibri"/>
        <family val="2"/>
        <scheme val="minor"/>
      </rPr>
      <t>SI</t>
    </r>
    <r>
      <rPr>
        <sz val="11"/>
        <color theme="1"/>
        <rFont val="Calibri"/>
        <family val="2"/>
        <scheme val="minor"/>
      </rPr>
      <t xml:space="preserve">
5Pay (Y3 Income Payout): $23,300 
10 Pay (Y5 Income Payout): $34,900 
10 Pay (Y10 Income Payout): $23,300</t>
    </r>
  </si>
  <si>
    <t>Maximum Sum Insured/Yearly Income</t>
  </si>
  <si>
    <r>
      <rPr>
        <b/>
        <u/>
        <sz val="11"/>
        <rFont val="Calibri"/>
        <family val="2"/>
        <scheme val="minor"/>
      </rPr>
      <t>SI</t>
    </r>
    <r>
      <rPr>
        <sz val="11"/>
        <rFont val="Calibri"/>
        <family val="2"/>
        <scheme val="minor"/>
      </rPr>
      <t xml:space="preserve">
3Pay: $17,000,000
5Pay: $25,000,000
10Pay: $58,000,000</t>
    </r>
  </si>
  <si>
    <t>Subject to financial underwriting</t>
  </si>
  <si>
    <t>Subject to Etiqa’s approval</t>
  </si>
  <si>
    <t>SI: $3,500,000</t>
  </si>
  <si>
    <r>
      <rPr>
        <b/>
        <u/>
        <sz val="11"/>
        <color theme="1"/>
        <rFont val="Calibri"/>
        <family val="2"/>
        <scheme val="minor"/>
      </rPr>
      <t>For Policy Term till age 120</t>
    </r>
    <r>
      <rPr>
        <u/>
        <sz val="11"/>
        <color theme="1"/>
        <rFont val="Calibri"/>
        <family val="2"/>
        <scheme val="minor"/>
      </rPr>
      <t xml:space="preserve">
</t>
    </r>
    <r>
      <rPr>
        <sz val="11"/>
        <color theme="1"/>
        <rFont val="Calibri"/>
        <family val="2"/>
        <scheme val="minor"/>
      </rPr>
      <t>SI: $3,500,000</t>
    </r>
  </si>
  <si>
    <t>SI: $2,000,000</t>
  </si>
  <si>
    <t>Coverage</t>
  </si>
  <si>
    <t>Death, TI</t>
  </si>
  <si>
    <r>
      <t>Death</t>
    </r>
    <r>
      <rPr>
        <b/>
        <sz val="11"/>
        <color rgb="FF0000CC"/>
        <rFont val="Calibri"/>
        <family val="2"/>
        <scheme val="minor"/>
      </rPr>
      <t xml:space="preserve">, Refund of premium if death due to any causes other than Accident within 1 year from the issue date </t>
    </r>
  </si>
  <si>
    <t>Death, TI, Waiver of premium on TPD  (Embedded, GIO), Terminal Cancer Benefit</t>
  </si>
  <si>
    <t>Death, TI, Waiver of premium on TPD (Embedded, GIO)</t>
  </si>
  <si>
    <t>Death Benefit</t>
  </si>
  <si>
    <t>The higher of:
(i)101% of total premiums paid for the basic plan up to the date of death (excluding advance premiums and premiums for supplementary benefits (if any) attached to the policy); or
(ii) The guaranteed cash surrender value;
Plus
(i) Terminal Bonus (if any) and 
(ii) Any re-invested Yearly Income and Booster Bonus with non-guaranteed interest (if any and not previously withdrawn).
less any amount owing to Singlife.</t>
  </si>
  <si>
    <t>The higher of:
(i)101% of total premiums paid for the basic plan up to the date of death (excluding advance premiums and premiums for supplementary benefits (if any) attached to the policy) less
the total Guaranteed Income paid out to date; or
(ii) The guaranteed cash surrender value;
Plus
(i) Terminal Bonus (if any) and 
(ii)Any re-invested Guaranteed Income and Cash Bonus (if any) with non-guaranteed interest (if any and not previously withdrawn).
less any amount owing to Singlife</t>
  </si>
  <si>
    <t xml:space="preserve">The higher of:
(i) 101% of the total yearly premiums paid to date, or  
(ii) Guaranteed surrender value 
Plus
(i) non-guaranteed terminal bonus (if any)
(ii) accumulated guaranteed yearly income and non-guaranteed yearly income (if any); and
(iii) interest on the accumulated guaranteed yearly income and non-guaranteed yearly income (if any)
less any amounts owing (if any), outstanding premium (if any) and future instalment premiums which are required to make up the full year's premiums (if any)
</t>
  </si>
  <si>
    <t xml:space="preserve">The higher of:
(i) 101% of the total yearly premiums due to-date or the guaranteed cash value, whichever is higher;  
Plus
(i) non-guaranteed terminal bonus (if any)
(ii) accumulated guaranteed yearly income and non-guaranteed yearly income (if any); and
(iii) interest on the accumulated guaranteed yearly income and non-guaranteed yearly income (if any)
less any amounts owing (if any), outstanding premium (if any) and future instalment premiums which are required to make up the full year's premiums (if any)
</t>
  </si>
  <si>
    <r>
      <t xml:space="preserve">The sum of:
a) Higher of
i) </t>
    </r>
    <r>
      <rPr>
        <b/>
        <sz val="11"/>
        <color rgb="FF0000CC"/>
        <rFont val="Calibri"/>
        <family val="2"/>
        <scheme val="minor"/>
      </rPr>
      <t>105% of the Single Premium paid;</t>
    </r>
    <r>
      <rPr>
        <sz val="11"/>
        <rFont val="Calibri"/>
        <family val="2"/>
        <scheme val="minor"/>
      </rPr>
      <t xml:space="preserve"> or
ii) a non-guaranteed surrender value, and
b)a non-guaranteed terminal dividend
</t>
    </r>
    <r>
      <rPr>
        <b/>
        <sz val="11"/>
        <color rgb="FF0000CC"/>
        <rFont val="Calibri"/>
        <family val="2"/>
        <scheme val="minor"/>
      </rPr>
      <t>Refund of premium if death due to any causes other than Accident within 1 year from the Issue Date.</t>
    </r>
  </si>
  <si>
    <t>The higher of:
(i)101% of total regular premiums paid plus performance bonuses; or
(ii) Total surrender value and
plus any monthly income deposited with Etiqa with non-guaranteed interest
less any amounts owing to Etiqa</t>
  </si>
  <si>
    <r>
      <rPr>
        <sz val="11"/>
        <rFont val="Calibri"/>
        <family val="2"/>
        <scheme val="minor"/>
      </rPr>
      <t>The sum of:</t>
    </r>
    <r>
      <rPr>
        <sz val="11"/>
        <color rgb="FF0000CC"/>
        <rFont val="Calibri"/>
        <family val="2"/>
        <scheme val="minor"/>
      </rPr>
      <t xml:space="preserve">
</t>
    </r>
    <r>
      <rPr>
        <b/>
        <sz val="11"/>
        <color rgb="FF0000CC"/>
        <rFont val="Calibri"/>
        <family val="2"/>
        <scheme val="minor"/>
      </rPr>
      <t xml:space="preserve">
</t>
    </r>
    <r>
      <rPr>
        <sz val="11"/>
        <rFont val="Calibri"/>
        <family val="2"/>
        <scheme val="minor"/>
      </rPr>
      <t xml:space="preserve">(i)The higher of: - </t>
    </r>
    <r>
      <rPr>
        <b/>
        <sz val="11"/>
        <color rgb="FF0000CC"/>
        <rFont val="Calibri"/>
        <family val="2"/>
        <scheme val="minor"/>
      </rPr>
      <t xml:space="preserve">105% of all net premium(s) paid; </t>
    </r>
    <r>
      <rPr>
        <sz val="11"/>
        <rFont val="Calibri"/>
        <family val="2"/>
        <scheme val="minor"/>
      </rPr>
      <t>or -The guaranteed portion of the cash value, and 
(ii)A terminal bonus 
(iii) Any accumulated cash benefits &amp; cash bonuses 
less any amount owing to Income</t>
    </r>
  </si>
  <si>
    <r>
      <t xml:space="preserve">The sum of:
</t>
    </r>
    <r>
      <rPr>
        <b/>
        <sz val="11"/>
        <color rgb="FF0000CC"/>
        <rFont val="Calibri"/>
        <family val="2"/>
        <scheme val="minor"/>
      </rPr>
      <t>(i)105% of all net premiums paid</t>
    </r>
    <r>
      <rPr>
        <sz val="11"/>
        <rFont val="Calibri"/>
        <family val="2"/>
        <scheme val="minor"/>
      </rPr>
      <t xml:space="preserve">
(ii)Terminal Bonus
(iii)Any accumulated cash benefits &amp; cash bonuses
less any amount owing to Income
</t>
    </r>
  </si>
  <si>
    <t xml:space="preserve">The higher of:
(i)101% of total premiums paid to date (excluding any advance premiums); or 
(ii) Guaranteed surrender value;
Plus
(i)Any claim bonus; and
(ii) Any monthly income which has built up with interest (if not previously withdrawn)
less any amount owing to Manulife
</t>
  </si>
  <si>
    <t xml:space="preserve">The higher of:
(i)101% of total premiums paid to date (excluding any advance premiums and any premiums paid for supplementary benefits attached to the policy); or 
(ii) Guaranteed cash-in-value;
Plus
(i)Any claim bonus; and
(ii) Any yearly income which has built up with interest (if not previously withdrawn)
less any amount owing to Manulife
</t>
  </si>
  <si>
    <t>Change of life insured option / 
Secondary life insured Option</t>
  </si>
  <si>
    <t>N.A.</t>
  </si>
  <si>
    <r>
      <rPr>
        <b/>
        <sz val="11"/>
        <color rgb="FF0000CC"/>
        <rFont val="Calibri"/>
        <family val="2"/>
        <scheme val="minor"/>
      </rPr>
      <t xml:space="preserve">Allowed for change of life assured
</t>
    </r>
    <r>
      <rPr>
        <sz val="11"/>
        <rFont val="Calibri"/>
        <family val="2"/>
        <scheme val="minor"/>
      </rPr>
      <t xml:space="preserve">
</t>
    </r>
    <r>
      <rPr>
        <u/>
        <sz val="11"/>
        <rFont val="Calibri"/>
        <family val="2"/>
        <scheme val="minor"/>
      </rPr>
      <t>For individual owned policies</t>
    </r>
    <r>
      <rPr>
        <sz val="11"/>
        <rFont val="Calibri"/>
        <family val="2"/>
        <scheme val="minor"/>
      </rPr>
      <t xml:space="preserve">
Policyowner may change the life insured up to two times during policy term after the first policy year
</t>
    </r>
    <r>
      <rPr>
        <u/>
        <sz val="11"/>
        <rFont val="Calibri"/>
        <family val="2"/>
        <scheme val="minor"/>
      </rPr>
      <t xml:space="preserve">For corporation owned policies
</t>
    </r>
    <r>
      <rPr>
        <sz val="11"/>
        <rFont val="Calibri"/>
        <family val="2"/>
        <scheme val="minor"/>
      </rPr>
      <t>- Unlimited times during the policy term</t>
    </r>
  </si>
  <si>
    <r>
      <rPr>
        <sz val="11"/>
        <color rgb="FF0000CC"/>
        <rFont val="Calibri"/>
        <family val="2"/>
        <scheme val="minor"/>
      </rPr>
      <t xml:space="preserve"> </t>
    </r>
    <r>
      <rPr>
        <b/>
        <sz val="11"/>
        <color rgb="FF0000CC"/>
        <rFont val="Calibri"/>
        <family val="2"/>
        <scheme val="minor"/>
      </rPr>
      <t>Contingent Life Insured Option</t>
    </r>
    <r>
      <rPr>
        <b/>
        <sz val="11"/>
        <rFont val="Calibri"/>
        <family val="2"/>
        <scheme val="minor"/>
      </rPr>
      <t xml:space="preserve">
</t>
    </r>
    <r>
      <rPr>
        <b/>
        <sz val="11"/>
        <color rgb="FF0000CC"/>
        <rFont val="Calibri"/>
        <family val="2"/>
        <scheme val="minor"/>
      </rPr>
      <t>Policyowner may appoint up to two contingent life insureds at application or during the policy term to ensure the continuity of the policy. Contingent life insured can be appointed an unlimited number of times.</t>
    </r>
  </si>
  <si>
    <t>Secondary life insured option is allowed up to 2 times.</t>
  </si>
  <si>
    <r>
      <t xml:space="preserve">Allowed for change of life assured after second policy year
</t>
    </r>
    <r>
      <rPr>
        <u/>
        <sz val="11"/>
        <rFont val="Calibri"/>
        <family val="2"/>
        <scheme val="minor"/>
      </rPr>
      <t xml:space="preserve">For individual owned policies </t>
    </r>
    <r>
      <rPr>
        <sz val="11"/>
        <rFont val="Calibri"/>
        <family val="2"/>
        <scheme val="minor"/>
      </rPr>
      <t xml:space="preserve">
Not more than 3 times during the policy term
</t>
    </r>
    <r>
      <rPr>
        <u/>
        <sz val="11"/>
        <rFont val="Calibri"/>
        <family val="2"/>
        <scheme val="minor"/>
      </rPr>
      <t xml:space="preserve">For corporation owned policies </t>
    </r>
    <r>
      <rPr>
        <sz val="11"/>
        <rFont val="Calibri"/>
        <family val="2"/>
        <scheme val="minor"/>
      </rPr>
      <t xml:space="preserve">
Unlimited times during policy term, after second policy year</t>
    </r>
  </si>
  <si>
    <r>
      <t xml:space="preserve">Secondary Insured Option allowed and cannot be exercised more than 3 times 
</t>
    </r>
    <r>
      <rPr>
        <sz val="11"/>
        <rFont val="Calibri"/>
        <family val="2"/>
        <scheme val="minor"/>
      </rPr>
      <t>The secondary insured may be appointed or removed before death of the insured provided certain conditions are met.</t>
    </r>
  </si>
  <si>
    <r>
      <t xml:space="preserve">Secondary Insured Option allowed and cannot be exercised more than 3 times
</t>
    </r>
    <r>
      <rPr>
        <b/>
        <sz val="11"/>
        <rFont val="Calibri"/>
        <family val="2"/>
        <scheme val="minor"/>
      </rPr>
      <t xml:space="preserve">
</t>
    </r>
    <r>
      <rPr>
        <sz val="11"/>
        <rFont val="Calibri"/>
        <family val="2"/>
        <scheme val="minor"/>
      </rPr>
      <t>The secondary insured may be appointed or removed before death of the insured provided certain conditions are met.</t>
    </r>
  </si>
  <si>
    <t>Change of life insured option allowed for corporate owned (unlimited times) and individual owned policies (not more than 2 times during the policy term)</t>
  </si>
  <si>
    <t>Premium Freeze Option/
Premium Deferment Option</t>
  </si>
  <si>
    <r>
      <rPr>
        <b/>
        <u/>
        <sz val="11"/>
        <color rgb="FF0000CC"/>
        <rFont val="Calibri"/>
        <family val="2"/>
        <scheme val="minor"/>
      </rPr>
      <t>Premium Deferment Option</t>
    </r>
    <r>
      <rPr>
        <sz val="11"/>
        <rFont val="Calibri"/>
        <family val="2"/>
        <scheme val="minor"/>
      </rPr>
      <t xml:space="preserve">
</t>
    </r>
    <r>
      <rPr>
        <b/>
        <sz val="11"/>
        <rFont val="Calibri"/>
        <family val="2"/>
        <scheme val="minor"/>
      </rPr>
      <t xml:space="preserve">3Pay: </t>
    </r>
    <r>
      <rPr>
        <sz val="11"/>
        <rFont val="Calibri"/>
        <family val="2"/>
        <scheme val="minor"/>
      </rPr>
      <t xml:space="preserve">NA
</t>
    </r>
    <r>
      <rPr>
        <b/>
        <sz val="11"/>
        <rFont val="Calibri"/>
        <family val="2"/>
        <scheme val="minor"/>
      </rPr>
      <t>5Pay:</t>
    </r>
    <r>
      <rPr>
        <sz val="11"/>
        <rFont val="Calibri"/>
        <family val="2"/>
        <scheme val="minor"/>
      </rPr>
      <t xml:space="preserve"> can be exercised once
</t>
    </r>
    <r>
      <rPr>
        <b/>
        <sz val="11"/>
        <rFont val="Calibri"/>
        <family val="2"/>
        <scheme val="minor"/>
      </rPr>
      <t>10/15/20Pay:</t>
    </r>
    <r>
      <rPr>
        <sz val="11"/>
        <rFont val="Calibri"/>
        <family val="2"/>
        <scheme val="minor"/>
      </rPr>
      <t xml:space="preserve"> can be exercised up to 2 times</t>
    </r>
  </si>
  <si>
    <t>Guarantee Insurability Option to Buy Another Life Policy</t>
  </si>
  <si>
    <t>No</t>
  </si>
  <si>
    <t>Yes</t>
  </si>
  <si>
    <t>Retrenchment Benefit</t>
  </si>
  <si>
    <t>Yes, policyholder will not have to pay the premiums for the basic policy and Savings Protector rider for six months from the next premium due date onwards.
This retrenchment benefit is offered through optional Savings Protector rider.</t>
  </si>
  <si>
    <t>Yes, policyholder will not have to pay the premiums for the basic policy and Savings Protector rider for six months from the next premium due date onwards.</t>
  </si>
  <si>
    <t>3-year average (2021 to 2023): -2.51%
5-year average (2019 to 2023): 2.52%
10-year average (2014 to 2023): 3.13%</t>
  </si>
  <si>
    <t>3-year average (2021 to 2023): -0.08%
5-year average (2019 to 2023): 4.99%
10-year average (2014 to 2023): N.A.</t>
  </si>
  <si>
    <t>3-year average (2021 to 2023): -2.48%
5-year average (2019 to 2023): 1.26%
10-year average (2014 to 2023): NA</t>
  </si>
  <si>
    <t>3-year average (2021 to 2023): -1.48%
5-year average (2019 to 2023): 2.72%
10-year average (2014 to 2023): 3.50%</t>
  </si>
  <si>
    <t>2022: -4.92%</t>
  </si>
  <si>
    <t>3-year average (2021 to 2023): 2.21%
5-year average (2019 to 2023): 2.38%
10-year average (2014 to 2023): 2.58%</t>
  </si>
  <si>
    <t>3-year average (2021 to 2023): 4.29%
5-year average (2019 to 2023): N.A.
10-year average (2014 to 2023): N.A.</t>
  </si>
  <si>
    <t>3-year average (2021 to 2023): 1.86%
5-year average (2019 to 2023): 3.02%
10-year average (2014 to 2023): N.A.</t>
  </si>
  <si>
    <t>3-year average (2021 to 2023): 1.00%
5-year average (2019 to 2023): 0.93%
10-year average (2014 to 2023): 0.88%</t>
  </si>
  <si>
    <t>3-year average (2020 to 2022): 2.98%
5-year average (2018 to 2022): 3.43%
10-year average (2013 to 2022): 3.39%</t>
  </si>
  <si>
    <t>Riders</t>
  </si>
  <si>
    <t>- Cancer Premium Waiver II
- EasyTerm
- EasyPayer Premium Waiver
- Critical Illness Premium Waiver II
- Payer Critical Illness Premium Waiver II</t>
  </si>
  <si>
    <t>- Premium Waiver Rider
- Payer Benefit Rider
- Enhanced Payer Benefit Rider</t>
  </si>
  <si>
    <t>- Extra payer waiver II rider (SIO)
- Extra secure waiver II rider (SIO)</t>
  </si>
  <si>
    <t>- Savings Protector Pro
- Cancer Premium Waiver (GIO) (for 1st and 3rd party policy)</t>
  </si>
  <si>
    <t xml:space="preserve">- Savings Protector Rider 
- Cancer Premium Waiver (GIO) (for 1st and 3rd party policy)
</t>
  </si>
  <si>
    <t>- Cancer Premium Waiver (GIO) (for 1st and 3rd party policy)</t>
  </si>
  <si>
    <t xml:space="preserve">- Waiver of Premium on TPD benefit (Embedded, GIO)
- Terminal Cancer Benefit (Embedded, GIO)
- Terminal Illness Benefit
- Cancer Care Premium Waiver Rider (GIO)
- Critical Care Waiver rider (II)
- Payor Benefit Rider (I)
- Payor Benefit Plus Rider (I)
- Payor Benefit Plus Rider (I) (Spouse)
</t>
  </si>
  <si>
    <t>USP</t>
  </si>
  <si>
    <t xml:space="preserve">- Flexible premium payment term and accumulation period from 0-20 years.
- 100% capital guaranteed at the end of the accumulation period or earlier, depending on choice of premium payment term
- Booster Bonus of 0.50% of Sum Assured (non-guaranteed) every Policy Year starting from the Policy Anniversary immediately following: 
i. the date on which the Life Assured attained age 60 at next birthday; 
or 
ii. the end of the 20th Policy Year after the Accumulation Period ends, whichever is later.
</t>
  </si>
  <si>
    <t>-Offers Single Premium option other than 3Pay, 5Pay &amp; 10Pay premium term options
-Step up guaranteed yearly income from 1.00% to 1.28% for payout year 3 to 15; to 1.37% payout year 16 onwards
-For individual owned policies, client has option to change the life insured up to 2 times; for corporation owned policies, there is no limit to the number of times for change of life insured 
-Centennial Benefit of 105% of the Total Premiums Paid and non-guaranteed terminal bonus (if any) will be paid if the policy is still in force at the end of the policy term and no claims for benefits have been made</t>
  </si>
  <si>
    <t xml:space="preserve">- Flexible premium payment term and accumulation period
- 100% capital guaranteed at the end of the premium payment term for 10, 15, 20 and 25 years premium payment term.
- 100% capital guaranteed at the end of accumulation period or end of 10th policy year for 5 years premium payment term whichever is earliest
</t>
  </si>
  <si>
    <t>- Yearly or monthly cash benefit is payable from the end of selected premium term  as long as the life insured is alive and the policy is in force.
- 100% capital guaranteed at the end of the premium payment term
 - Contingent Life Insured Option for policy benefit continuity.</t>
  </si>
  <si>
    <t>- Offers short premium option of 3 years
- Long policy term till age 125
- Premium Deferment option
- Change of life insured option for both corporate and individual owned policies
- Offer step-up guaranteed and non-guaranteed monthly payout 
- 100% capital guaranteed before end of policy maturity</t>
  </si>
  <si>
    <t>- Yearly or monthly cash benefit is payable from the end of premium payment term till the end of policy term
- Option to receive monthly cash benefit (subject to minimum sum assured of $80,000)
- Cash bonus which includes loyalty bonus of 0.6% of sum assured, if applicable, payable starts from the end of 20th policy year after premium Term
- Guaranteed Insurability Option: Choose to take up a new policy from Income with death and total and permanent disability benefits on the insured's own life, without evidence of good health (up to two times and on different life events)
- Secondary insured Option may be appointed up to 3 times during the term of the policy
- Offers optional Retrenchment Benefit which can be claimed once per policy
- Offers TPD optional Benefit</t>
  </si>
  <si>
    <t xml:space="preserve">- Yearly or monthly cash benefit is payable from end of second policy year till the end of policy year
- Option to receive monthly cash benefit (subject to minimum sum assured of $80,000)
- Guaranteed Insurability Option: Choose to take up a new policy from Income with death and total and permanent disability benefits on the insured's own life, without evidence of good health (up to two times and on different life events)
- Secondary insured Option may be appointed up to 3 times during the term of the policy
- Offers optional Retrenchment Benefit which can be claimed once per policy
- Offers TPD optional Benefit
</t>
  </si>
  <si>
    <t>- Yearly or monthly cash benefit is payable from the end of premium payment term till the end of policy term
- Option to receive monthly cash benefit (subject to minimum sum assured of $80,000)
- Guaranteed Insurability Option: Choose to take up a new policy from Income with death and total and permanent disability benefits on the insured's own life, without evidence of good health (up to two times and on different life events)
- Secondary insured Option may be appointed up to 3 times during the term of the policy</t>
  </si>
  <si>
    <t>- Short premium payment term of 3 years is available
- Monthly cash benefit is payable from 49th policy monthiversary for 3-Pay; 61st policy monthiversary for 5-Pay till the end of policy term
- Change of life insured option for both corporate and individual owned policies
- Waiver of premium on TPD before end of premium payment term 
- Offers additional Terminal Cancer Benefit (before age 75)</t>
  </si>
  <si>
    <t>- Payout from end of Policy Year 3 for 5Pay option
- Choice of payout option (5th / 10th policy anniversary) depending on premium payment term chosen
- One time step up in non-guaranteed yearly income from end of policy year 9 for 10pay option.
- Long policy term till age 120 ALB
- Change of life insured option for both Corporate and individual owned policies
-Waiver of premium on TPD coverage
- Terminal Cancer Benefit</t>
  </si>
  <si>
    <t>STRICTLY FOR PIAS' FA REPRESENTATIVES ONLY 
(NOT FOR CIRCULATION TO PROSPECTS OR CLIENTS)</t>
  </si>
  <si>
    <t>Male, non smoker  ANB11/ALB10</t>
  </si>
  <si>
    <t>$6,000 Guaranteed Yearly Income (Approximately)</t>
  </si>
  <si>
    <t xml:space="preserve">
Paid out Mode        </t>
  </si>
  <si>
    <t>Based on Guaranteed Yearly Payout</t>
  </si>
  <si>
    <t>Overview</t>
  </si>
  <si>
    <t>Flexi Life Income II</t>
  </si>
  <si>
    <t>Legacy Income</t>
  </si>
  <si>
    <t>Illustrated Investment Rate of Return</t>
  </si>
  <si>
    <t>Entry Age</t>
  </si>
  <si>
    <t>ANB11</t>
  </si>
  <si>
    <t>ALB10</t>
  </si>
  <si>
    <t>Payout commence</t>
  </si>
  <si>
    <t>End of 3rd Policy Year</t>
  </si>
  <si>
    <t>End of 37th monthiversary</t>
  </si>
  <si>
    <t>From 49th policy monthiversary
(Start of 5th Policy Year)</t>
  </si>
  <si>
    <t>From the 37th Policy month
(Start of 4th Policy Year)</t>
  </si>
  <si>
    <t xml:space="preserve">Sum Assured </t>
  </si>
  <si>
    <t>-</t>
  </si>
  <si>
    <t>Yearly Income (Guaranteed)</t>
  </si>
  <si>
    <t xml:space="preserve">Policy Year 4 &amp; 5: </t>
  </si>
  <si>
    <t>Policy Year 4 &amp; 5:</t>
  </si>
  <si>
    <t xml:space="preserve">Policy Year 6 to 18: </t>
  </si>
  <si>
    <t>Policy Year 6 onwards:</t>
  </si>
  <si>
    <t>Policy Year 19 onwards</t>
  </si>
  <si>
    <r>
      <t>Yearly Income (Guaranteed and non-guaranteed</t>
    </r>
    <r>
      <rPr>
        <sz val="12"/>
        <color rgb="FFFF0000"/>
        <rFont val="Calibri"/>
        <family val="2"/>
        <scheme val="minor"/>
      </rPr>
      <t xml:space="preserve"> </t>
    </r>
    <r>
      <rPr>
        <sz val="12"/>
        <rFont val="Calibri"/>
        <family val="2"/>
        <scheme val="minor"/>
      </rPr>
      <t>)</t>
    </r>
  </si>
  <si>
    <t xml:space="preserve">Prior to ANB 60 or 49th policy year: </t>
  </si>
  <si>
    <t>Policy Year 4:</t>
  </si>
  <si>
    <t xml:space="preserve">From ANB 60 or 49th policy year: </t>
  </si>
  <si>
    <t>Policy Year 5 onwards:</t>
  </si>
  <si>
    <t>Annual Premium</t>
  </si>
  <si>
    <t>Total Premium</t>
  </si>
  <si>
    <t>Guaranteed Yearly Income/Total Premium</t>
  </si>
  <si>
    <t>Total Yearly Income/Total Premium</t>
  </si>
  <si>
    <t>From ANB 60 or 49th policy year:</t>
  </si>
  <si>
    <t>Breakeven Year (Guaranteed Surrender Value)</t>
  </si>
  <si>
    <t>3rd</t>
  </si>
  <si>
    <t>19th</t>
  </si>
  <si>
    <t>6th</t>
  </si>
  <si>
    <t>5th</t>
  </si>
  <si>
    <t>@ End of Policy Year 5</t>
  </si>
  <si>
    <t>Guaranteed Death Benefit</t>
  </si>
  <si>
    <t xml:space="preserve">Total Death Benefit </t>
  </si>
  <si>
    <t>Guaranteed Death Benefit/Total Premium</t>
  </si>
  <si>
    <t>Total Death Benefit/Total Premium</t>
  </si>
  <si>
    <t>Guaranteed: Yearly Income + Surrender Value</t>
  </si>
  <si>
    <t>Total Guaranteed Yearly Income (A)</t>
  </si>
  <si>
    <t>Guaranteed Surrender Value (B)</t>
  </si>
  <si>
    <t>A+B/Total Premium</t>
  </si>
  <si>
    <t>Total (Including Non-Guaranteed): Yearly Income + Surrender Value</t>
  </si>
  <si>
    <t xml:space="preserve">Total Yearly Income, Including Non-guaranteed (C) </t>
  </si>
  <si>
    <t>Total Surrender Value (D)</t>
  </si>
  <si>
    <t xml:space="preserve">C+D/Total Premium </t>
  </si>
  <si>
    <t>@ Age 61 (ANB), Age 60 (ALB)</t>
  </si>
  <si>
    <t>A/Total Premium</t>
  </si>
  <si>
    <t>C/Total Premium</t>
  </si>
  <si>
    <t>@ Age 81 (ANB), Age 80 (ALB)</t>
  </si>
  <si>
    <t>Lifetime Income 
Plan Series 4</t>
  </si>
  <si>
    <t>5th Policy Year</t>
  </si>
  <si>
    <t>End of 61st monthiversary</t>
  </si>
  <si>
    <t>61st policy month 
(Start of 6th policy year)</t>
  </si>
  <si>
    <t>2nd Policy Year</t>
  </si>
  <si>
    <t>61st monthiversary 
(Start of 6th policy year)</t>
  </si>
  <si>
    <t>3rd Policy Year</t>
  </si>
  <si>
    <t xml:space="preserve">Policy Year 6 &amp; 7: </t>
  </si>
  <si>
    <t>Policy Year 6 to 10:</t>
  </si>
  <si>
    <t xml:space="preserve">Policy Year 8 to 20: </t>
  </si>
  <si>
    <t>Policy Year 11 onwards:</t>
  </si>
  <si>
    <t>Policy Year 21 onwards</t>
  </si>
  <si>
    <t xml:space="preserve">Prior to ALB35 or 25th policy year: </t>
  </si>
  <si>
    <t xml:space="preserve">Prior to ALB19 or 9th policy year: </t>
  </si>
  <si>
    <t xml:space="preserve">From ALB35 or 25th policy year: </t>
  </si>
  <si>
    <t>From ALB19 or 9th policy year:</t>
  </si>
  <si>
    <t>Breakeven Year (Guaranteed Yearly Income + Guaranteed Surrender Value)</t>
  </si>
  <si>
    <t xml:space="preserve">5th </t>
  </si>
  <si>
    <t>21st</t>
  </si>
  <si>
    <t>35th</t>
  </si>
  <si>
    <t>8th</t>
  </si>
  <si>
    <t>Lifetime Income 
Plan  Series 4</t>
  </si>
  <si>
    <t>Lifetime Income 
Supreme Plan</t>
  </si>
  <si>
    <t xml:space="preserve">Enrich income </t>
  </si>
  <si>
    <t>10th Policy Year</t>
  </si>
  <si>
    <t>End of 121st monthiversary</t>
  </si>
  <si>
    <t>11th Policy Year</t>
  </si>
  <si>
    <t xml:space="preserve">Policy Year 11 &amp; 12: </t>
  </si>
  <si>
    <t>Policy Year 11 to 15:</t>
  </si>
  <si>
    <t xml:space="preserve">Policy Year 13 to 25: </t>
  </si>
  <si>
    <t>Policy Year 16 onwards:</t>
  </si>
  <si>
    <t>Policy Year 26 onwards</t>
  </si>
  <si>
    <r>
      <t>Yearly Income 
(Guaranteed and non-guaranteed</t>
    </r>
    <r>
      <rPr>
        <sz val="12"/>
        <color rgb="FFFF0000"/>
        <rFont val="Calibri"/>
        <family val="2"/>
        <scheme val="minor"/>
      </rPr>
      <t xml:space="preserve"> </t>
    </r>
    <r>
      <rPr>
        <sz val="12"/>
        <rFont val="Calibri"/>
        <family val="2"/>
        <scheme val="minor"/>
      </rPr>
      <t>)</t>
    </r>
  </si>
  <si>
    <t>Prior to ANB 60 or 49th policy year:</t>
  </si>
  <si>
    <t xml:space="preserve">Prior to ALB40 or 30th policy year: </t>
  </si>
  <si>
    <t xml:space="preserve">From ALB40 or 30th policy year: </t>
  </si>
  <si>
    <t xml:space="preserve">
</t>
  </si>
  <si>
    <t>10th</t>
  </si>
  <si>
    <t>26th</t>
  </si>
  <si>
    <t>40th</t>
  </si>
  <si>
    <t>@ End of Policy Year 10</t>
  </si>
  <si>
    <t>ALB 10</t>
  </si>
  <si>
    <t>20th Policy Year</t>
  </si>
  <si>
    <t>21st Policy Year</t>
  </si>
  <si>
    <t>Policy Year 21 to 25:</t>
  </si>
  <si>
    <t>Policy Year 26 onwards:</t>
  </si>
  <si>
    <t xml:space="preserve">Total Yearly Income/Total Premium </t>
  </si>
  <si>
    <t>20th</t>
  </si>
  <si>
    <t>48th</t>
  </si>
  <si>
    <t>@ End of Policy Year 20</t>
  </si>
  <si>
    <t>Male, non smoker   ANB41/ALB40</t>
  </si>
  <si>
    <t>ANB41</t>
  </si>
  <si>
    <t>ALB40</t>
  </si>
  <si>
    <t>From 37th policy monthiversary
(Start of 4th Policy Year)</t>
  </si>
  <si>
    <t>Prior to ANB 64 or 23rd policy year:</t>
  </si>
  <si>
    <t>Guaranteed Yearly Income/Total Premium Paid</t>
  </si>
  <si>
    <t>Total Yearly Income/Total Premium Paid</t>
  </si>
  <si>
    <t>From ANB 64 or 23rd policy year:</t>
  </si>
  <si>
    <t>Yield upon surrender @ ANB81 / ALB80 (@4.25%)</t>
  </si>
  <si>
    <t>ALB 40</t>
  </si>
  <si>
    <t>3th Policy Year</t>
  </si>
  <si>
    <t>Prior to ANB66 or 25th policy year:</t>
  </si>
  <si>
    <t xml:space="preserve">Prior to ALB65 or 25th policy year: </t>
  </si>
  <si>
    <t xml:space="preserve">Prior to ALB49 or 9th policy year: </t>
  </si>
  <si>
    <t xml:space="preserve">From ANB66 or 25th policy year: </t>
  </si>
  <si>
    <t xml:space="preserve">From ALB65 or 25th policy year: </t>
  </si>
  <si>
    <t>Prior to ANB 66 or 25th policy year:</t>
  </si>
  <si>
    <t xml:space="preserve">From ANB 66 or 25th policy year: </t>
  </si>
  <si>
    <t>Lifetime Income Plan 
Series 4</t>
  </si>
  <si>
    <t xml:space="preserve">Prior to ANB 71 or 30th policy year: </t>
  </si>
  <si>
    <t xml:space="preserve">Prior to ALB70 or 30th policy year: </t>
  </si>
  <si>
    <t xml:space="preserve">From ANB 71 or 30th policy year: </t>
  </si>
  <si>
    <t xml:space="preserve">From ALB70 or 30th policy year: </t>
  </si>
  <si>
    <t>Prior to ANB 71 or 30th policy year:</t>
  </si>
  <si>
    <t xml:space="preserve">
From ANB 71 or 30th policy year: </t>
  </si>
  <si>
    <t>Prior to ANB 81 or 40th policy year:</t>
  </si>
  <si>
    <t xml:space="preserve">From ANB 81 or 40th policy year: </t>
  </si>
  <si>
    <t xml:space="preserve">Prior to ANB 81 or 40th policy year: </t>
  </si>
  <si>
    <t>@ Age 71 (ANB), Age 70 (ALB)</t>
  </si>
  <si>
    <t>Infinite Harvest Plus (II)</t>
  </si>
  <si>
    <t>The policy will acquire a guaranteed surrender value from the end of the 2nd policy year as long as premiums are paid to-date.
The guaranteed surrender value then increases gradually until it reaches 108% of the Total Yearly Premiums Paid at the:
(a) end of the 33rd policy year for policies with premium term of 3 years; and
(b) end of the 36th policy year for policies with premium term of 5 years,
and stays level thereafter.</t>
  </si>
  <si>
    <t>3Pay: Payable yearly at the end of every policy year from 4th Policy Anniversary
5Pay: Payable yearly at the end of every policy year from 5th Policy Anniversary</t>
  </si>
  <si>
    <r>
      <rPr>
        <sz val="11"/>
        <color theme="1"/>
        <rFont val="Calibri"/>
        <family val="2"/>
        <scheme val="minor"/>
      </rPr>
      <t>Yearly</t>
    </r>
    <r>
      <rPr>
        <sz val="11"/>
        <rFont val="Calibri"/>
        <family val="2"/>
        <scheme val="minor"/>
      </rPr>
      <t xml:space="preserve"> or Accumulated</t>
    </r>
  </si>
  <si>
    <r>
      <rPr>
        <b/>
        <u/>
        <sz val="11"/>
        <rFont val="Calibri"/>
        <family val="2"/>
        <scheme val="minor"/>
      </rPr>
      <t>Minimum Yearly Premium</t>
    </r>
    <r>
      <rPr>
        <sz val="11"/>
        <rFont val="Calibri"/>
        <family val="2"/>
        <scheme val="minor"/>
      </rPr>
      <t xml:space="preserve">
3Pay: $25,000
5Pay: $15,000</t>
    </r>
  </si>
  <si>
    <r>
      <rPr>
        <b/>
        <u/>
        <sz val="11"/>
        <rFont val="Calibri"/>
        <family val="2"/>
        <scheme val="minor"/>
      </rPr>
      <t>Maximum Yearly Premium</t>
    </r>
    <r>
      <rPr>
        <sz val="11"/>
        <rFont val="Calibri"/>
        <family val="2"/>
        <scheme val="minor"/>
      </rPr>
      <t xml:space="preserve">
3Pay: $2,400,000
5Pay: $1,400,000</t>
    </r>
  </si>
  <si>
    <r>
      <rPr>
        <b/>
        <u/>
        <sz val="11"/>
        <rFont val="Calibri"/>
        <family val="2"/>
        <scheme val="minor"/>
      </rPr>
      <t>SI</t>
    </r>
    <r>
      <rPr>
        <sz val="11"/>
        <rFont val="Calibri"/>
        <family val="2"/>
        <scheme val="minor"/>
      </rPr>
      <t xml:space="preserve">
3Pay: $16,000,000
5Pay: $25,000,000
10,15,20,25-Pay: $58,000,000</t>
    </r>
  </si>
  <si>
    <t>Par Fund Returns</t>
  </si>
  <si>
    <t>Total Expense Ratio</t>
  </si>
  <si>
    <t>2022: -4.92%
2023: 10.06%</t>
  </si>
  <si>
    <t>3-year average (2021 to 2023): 2.19%
5-year average (2019 to 2023): 2.64%
10-year average (2014 to 2023): 2.93%</t>
  </si>
  <si>
    <t>3-year average (2021 to 2023): 7.2%
5-year average (2019 to 2023): N.A.
10-year average (2014 to 2023): N.A.</t>
  </si>
  <si>
    <r>
      <rPr>
        <b/>
        <u/>
        <sz val="11"/>
        <rFont val="Calibri"/>
        <family val="2"/>
        <scheme val="minor"/>
      </rPr>
      <t>3Pay</t>
    </r>
    <r>
      <rPr>
        <sz val="11"/>
        <rFont val="Calibri"/>
        <family val="2"/>
        <scheme val="minor"/>
      </rPr>
      <t xml:space="preserve"> 
1.35% - 1.50% of sum of yearly premiums payable;
</t>
    </r>
    <r>
      <rPr>
        <b/>
        <u/>
        <sz val="11"/>
        <rFont val="Calibri"/>
        <family val="2"/>
        <scheme val="minor"/>
      </rPr>
      <t>5Pay</t>
    </r>
    <r>
      <rPr>
        <sz val="11"/>
        <rFont val="Calibri"/>
        <family val="2"/>
        <scheme val="minor"/>
      </rPr>
      <t xml:space="preserve">
1.30% - 1.40% of sum of yearly premiums payable;
depending on entry age of primary life assured </t>
    </r>
  </si>
  <si>
    <t>3, 5</t>
  </si>
  <si>
    <t>End of 5th policy year</t>
  </si>
  <si>
    <t>Policy Year 4 to 34:
$14,070
Policy Year 35 onwards 
with Booster Bonus:
$15,477</t>
  </si>
  <si>
    <t>Policy Year 4 to 24:
$14,283
Policy Year 25 onwards 
with Booster Bonus:
$15,607</t>
  </si>
  <si>
    <t>Policy Year 5 to 24:
$13,833
Policy Year 25 onwards 
with Booster Bonus:
$15,573</t>
  </si>
  <si>
    <r>
      <t xml:space="preserve">Policy Year 4 to 24:
 3.45%
Policy Year 25 onwards 
with Booster Bonus:
</t>
    </r>
    <r>
      <rPr>
        <b/>
        <sz val="12"/>
        <color rgb="FF0000CC"/>
        <rFont val="Calibri"/>
        <family val="2"/>
        <scheme val="minor"/>
      </rPr>
      <t>3.76%</t>
    </r>
  </si>
  <si>
    <t>- The payout commencement year for the respective plans are all the same, payout commences on the 20th policy year with premium term of 20 years except for Income Gro Cash Flex Pro which is the only product in this category that has a payout starting at the end of the 2nd policy year.
- Singlife Flexi Life Income II includes Booster Bonus that is 0.35% of the Sum Assured and 0.50% of the Sum Assured respectively, starting from the 21st income payout or when one turns 60, whichever is later.
- ChinaLife Lifetime Income Plan Series 4 is also 100% capital guaranteed at the end of the premium payment term for 10, 15, 20 and 25 years premium payment term.
-  Singlife Flexi Life Income II includes Booster Bonus that is 0.35% of the Sum Assured and 0.50% of the Sum Assured respectively, starting from the 21st income payout or when one turns 60, whichever is later.
- Singlife Legacy Income, China Taiping i-CashLife, China Life Lifetime Income Supreme Plan, China Taiping Infinite Harvest Plus (II), Income Gro Cash Sure, Manulife IncomeGen (II) &amp; Manulife IncomeSecure have been left out of this comparison as they do not have a 20 years premium payment term.</t>
  </si>
  <si>
    <r>
      <t>Lifetime Income Plan Series</t>
    </r>
    <r>
      <rPr>
        <b/>
        <sz val="7"/>
        <rFont val="Calibri"/>
        <family val="2"/>
        <scheme val="minor"/>
      </rPr>
      <t xml:space="preserve"> 4</t>
    </r>
  </si>
  <si>
    <r>
      <rPr>
        <b/>
        <u/>
        <sz val="11"/>
        <rFont val="Calibri"/>
        <family val="2"/>
        <scheme val="minor"/>
      </rPr>
      <t>3pay &amp; 5pay</t>
    </r>
    <r>
      <rPr>
        <sz val="11"/>
        <rFont val="Calibri"/>
        <family val="2"/>
        <scheme val="minor"/>
      </rPr>
      <t xml:space="preserve">
1.80% - 2.00% of sum of yearly premiums payable, depending on entry age of primary life assured
</t>
    </r>
    <r>
      <rPr>
        <b/>
        <u/>
        <sz val="11"/>
        <color rgb="FF0000CC"/>
        <rFont val="Calibri"/>
        <family val="2"/>
        <scheme val="minor"/>
      </rPr>
      <t>Booster Bonus payable starting from as early as the end of 20th policy year</t>
    </r>
    <r>
      <rPr>
        <b/>
        <sz val="11"/>
        <color rgb="FF0000CC"/>
        <rFont val="Calibri"/>
        <family val="2"/>
        <scheme val="minor"/>
      </rPr>
      <t xml:space="preserve">
0.27% - 0.40% of Sum of Yearly Premium Payable, depending on entry age of primary life insured and premium payment term</t>
    </r>
  </si>
  <si>
    <r>
      <t xml:space="preserve">3-year average (2021 to 2023): </t>
    </r>
    <r>
      <rPr>
        <b/>
        <sz val="11"/>
        <color rgb="FFFF0000"/>
        <rFont val="Calibri"/>
        <family val="2"/>
        <scheme val="minor"/>
      </rPr>
      <t>-3.4%</t>
    </r>
    <r>
      <rPr>
        <sz val="11"/>
        <rFont val="Calibri"/>
        <family val="2"/>
        <scheme val="minor"/>
      </rPr>
      <t xml:space="preserve">
5-year average (2019 to 2023): N.A.
10-year average (2014 to 2023): N.A.</t>
    </r>
  </si>
  <si>
    <t>- Offer short premium payment term of 3 &amp; 5 years that pay yearly cash benefit
- Single Premium option is available other than limited pay options
- Payout starts early from end of the 4th policy year
- Boosts the yearly income by providing an additional yearly booster during the policy term.
- Has a competitive non-guaranteed accumulated / re-invested interest at 3%
- Secondary Life Insured option is available
- Lump sum maturity benefit at age of 120</t>
  </si>
  <si>
    <t>https://www.fwd.com.sg/personalised-financial-advice/life-income-plus/</t>
  </si>
  <si>
    <t>FWD Life Income Plus</t>
  </si>
  <si>
    <t>Policy Year 5 to 34:
$14,620
Policy Year 35 onwards 
with Booster Bonus:
$16,340</t>
  </si>
  <si>
    <r>
      <t xml:space="preserve">Policy Year 5 to 24:
3.18%
Policy Year 25 onwards 
with Booster Bonus:
</t>
    </r>
    <r>
      <rPr>
        <b/>
        <sz val="12"/>
        <color rgb="FF0000CC"/>
        <rFont val="Calibri"/>
        <family val="2"/>
        <scheme val="minor"/>
      </rPr>
      <t>3.58%</t>
    </r>
  </si>
  <si>
    <t>End of 4th Policy Year</t>
  </si>
  <si>
    <r>
      <t xml:space="preserve">Policy Year 5 to 34:
</t>
    </r>
    <r>
      <rPr>
        <b/>
        <sz val="12"/>
        <rFont val="Calibri"/>
        <family val="2"/>
        <scheme val="minor"/>
      </rPr>
      <t>3.40%</t>
    </r>
    <r>
      <rPr>
        <sz val="12"/>
        <rFont val="Calibri"/>
        <family val="2"/>
        <scheme val="minor"/>
      </rPr>
      <t xml:space="preserve">
Policy Year 35 onwards 
with Booster Bonus:
</t>
    </r>
    <r>
      <rPr>
        <b/>
        <sz val="12"/>
        <color rgb="FF0000CC"/>
        <rFont val="Calibri"/>
        <family val="2"/>
        <scheme val="minor"/>
      </rPr>
      <t>3.80%</t>
    </r>
  </si>
  <si>
    <t xml:space="preserve">
End of 4th Policy Year</t>
  </si>
  <si>
    <r>
      <rPr>
        <sz val="12"/>
        <rFont val="Calibri"/>
        <family val="2"/>
        <scheme val="minor"/>
      </rPr>
      <t>Policy Year 4 to 34:</t>
    </r>
    <r>
      <rPr>
        <b/>
        <sz val="12"/>
        <rFont val="Calibri"/>
        <family val="2"/>
        <scheme val="minor"/>
      </rPr>
      <t xml:space="preserve">
3.50%
</t>
    </r>
    <r>
      <rPr>
        <sz val="12"/>
        <rFont val="Calibri"/>
        <family val="2"/>
        <scheme val="minor"/>
      </rPr>
      <t xml:space="preserve">Policy Year 35 onwards 
with Booster Bonus:
</t>
    </r>
    <r>
      <rPr>
        <b/>
        <sz val="12"/>
        <color rgb="FF0000CC"/>
        <rFont val="Calibri"/>
        <family val="2"/>
        <scheme val="minor"/>
      </rPr>
      <t>3.85%</t>
    </r>
  </si>
  <si>
    <r>
      <t xml:space="preserve">- Offer </t>
    </r>
    <r>
      <rPr>
        <b/>
        <sz val="11"/>
        <color rgb="FF0000CC"/>
        <rFont val="Calibri"/>
        <family val="2"/>
        <scheme val="minor"/>
      </rPr>
      <t>short premium payment term of 3 &amp; 5 years</t>
    </r>
    <r>
      <rPr>
        <sz val="11"/>
        <rFont val="Calibri"/>
        <family val="2"/>
        <scheme val="minor"/>
      </rPr>
      <t xml:space="preserve"> that pay yearly cash benefit
- Single Premium option is available other than limited pay options
- Payout starts early from end of the 4th policy year
- </t>
    </r>
    <r>
      <rPr>
        <b/>
        <sz val="11"/>
        <color rgb="FF0000CC"/>
        <rFont val="Calibri"/>
        <family val="2"/>
        <scheme val="minor"/>
      </rPr>
      <t>Boosts the yearly income by providing an additional yearly booster during the policy term.</t>
    </r>
    <r>
      <rPr>
        <sz val="11"/>
        <rFont val="Calibri"/>
        <family val="2"/>
        <scheme val="minor"/>
      </rPr>
      <t xml:space="preserve">
- Has a competitive non-guaranteed accumulated / re-invested interest at 3%
- </t>
    </r>
    <r>
      <rPr>
        <b/>
        <sz val="11"/>
        <color rgb="FF0000CC"/>
        <rFont val="Calibri"/>
        <family val="2"/>
        <scheme val="minor"/>
      </rPr>
      <t>Secondary Life Insured option</t>
    </r>
    <r>
      <rPr>
        <sz val="11"/>
        <rFont val="Calibri"/>
        <family val="2"/>
        <scheme val="minor"/>
      </rPr>
      <t xml:space="preserve"> is available for policy benefit continuity
- </t>
    </r>
    <r>
      <rPr>
        <b/>
        <sz val="11"/>
        <color rgb="FF0000CC"/>
        <rFont val="Calibri"/>
        <family val="2"/>
        <scheme val="minor"/>
      </rPr>
      <t>Refund of premium if death due to any causes other than Accident within 1 year from the Issue Date</t>
    </r>
    <r>
      <rPr>
        <sz val="11"/>
        <rFont val="Calibri"/>
        <family val="2"/>
        <scheme val="minor"/>
      </rPr>
      <t xml:space="preserve">, China Taiping will pay 100% of total premiums paid to them without any interest.
</t>
    </r>
    <r>
      <rPr>
        <b/>
        <sz val="11"/>
        <color rgb="FF0000CC"/>
        <rFont val="Calibri"/>
        <family val="2"/>
        <scheme val="minor"/>
      </rPr>
      <t xml:space="preserve">- Lump sum maturity benefit at age of 120
</t>
    </r>
    <r>
      <rPr>
        <sz val="11"/>
        <color rgb="FF000000"/>
        <rFont val="Calibri"/>
        <family val="2"/>
        <scheme val="minor"/>
      </rPr>
      <t xml:space="preserve"> - Based on our value comparison, it also has </t>
    </r>
    <r>
      <rPr>
        <b/>
        <sz val="11"/>
        <color rgb="FF0000CC"/>
        <rFont val="Calibri"/>
        <family val="2"/>
        <scheme val="minor"/>
      </rPr>
      <t>competitive total guaranteed yearly income over premiums paid, providing clients with more certainty for retirement planning.</t>
    </r>
  </si>
  <si>
    <t>- The payout commencement year for the respective plans are all the same, payout commences on the 10th policy year with premium term of 10 years except for Income Gro Cash Flex Pro which is the only product in this category that has a payout starting at the end of the 2nd policy year.
-  Singlife Flexi Life Income II provides a lifetime yearly payout with 100% capital guaranteed at the end of the accumulation period or earlier, depending on the chosen premium payment term.
- ChinaLife Lifetime Income Plan Series 4  is also 100% capital guaranteed at the end of the premium payment term for 10, 15, 20 and 25 years premium payment term.
- China Life Lifetime Income Supreme Plan is also 100% capital guaranteed at the end of the premium payment term for both 5 and 10 pay.
- Singlife Legacy Income offers monthly payout with step up guaranteed yearly income from 1.00% to 1.28% for payout year 3 to 15; to 1.37% for payout year 16 onwards.
- Singlife Flexi Life Income II includes Booster Bonus that is 0.35% of the Sum Assured and 0.50% of the Sum Assured respectively, starting from the 21st income payout or when one turns 60, whichever is later.
- Income Gro Cash Sure offers cash bonus which includes non-guaranteed loyalty bonus of 0.60% of sum assured, if applicable, payable starts from the end of 20th policy year after premium term.
- Manulife IncomeSecure provides annual income up to age 120, from the end of policy year 5 or 10 with Change of life insured option for both corporate and individual owned policies.
- China Taiping Infinite Harvest Plus (II) &amp; Manulife IncomeGen (II) have been left out of this comparison as it does not have a 10 years premium payment term.</t>
  </si>
  <si>
    <t>- Singlife Flexi Life Income II, Singlife Legacy Income,China Taiping Infinite Harvest Plus (II), Etiqa Enrich Income, Manulife IncomeGen (II) and Income Gro Cash Plus are the only six approved plans in our product suite which offer short premium payment term of 3 years. 
- In terms of payout commencement, Singlife Flexi Life Income II, Singlife Legacy Income and Income Gro Cash Plus provide the earliest payout at end of 3rd policy year and end of 37th monthiversary respectively. Etiqa Enrich Income starts payout at start of 4th policy year. For China Taiping Infinite Harvest Plus (II) &amp; Manulife IncomeGen (II) , payouts commence on the 5th policy year.
- In terms of payout frequency,  Singlife Flexi Life Income II &amp; China Taiping Infinite Harvest Plus (II) provide yearly payout while Singlife Legacy Income, Etiqa Enrich Income &amp; Manulife IncomeGen (II) provide monthly payouts. Income Gro Cash Plus also provide monthly payout if Sum Assured is at least $80,000
- For this comparison,  there is no accumulation period selected for Singlife Flexi Life Income (II), hence payout starts from end of premium payment term of 3 years
- Singlife Flexi Life Income II and Singlife Legacy Income, they provide stepped up of Yearly Income. For Singlife Flexi Income II, the stepped-up yearly income is applicable to non-guaranteed yearly income only while Singlife Legacy Income provides stepped-up yearly income for both guaranteed and non-guaranteed yearly income. For Etiqa Enrich Income, the stepped up income is also applicable to both guaranteed and non-guaranteed.
- For Singlife Flexi Life Income II, it provides 100% capital guaranteed at the end of the accumulation period or earlier, depending on the chosen premium payment term.
- For policy benefit continuity, Singlife Legacy Income, Etiqa Enrich Income &amp; Manulife IncomeGen (II) provide change of life assured option while China Taiping Infinite Harvest Plus (II) and Income Gro Cash Plus provide secondary life assured option.
- China Life Lifetime Income Plan Series 4, China Life Lifetime Income Supreme Plan, Income Gro Cash Sure, Income Gro Cash Flex Pro, Manulife IncomeSecure have been left out of this comparison as they do not have a 3 years premium payment term.</t>
  </si>
  <si>
    <t>- The payout commencement year for the respective plans are all the same, payout commences on the 5th policy year, with premium term of 5 years except for Income Gro Cash Flex Pro which is the only product in this category that has payout starting at the end of the 2nd policy year; Manulife IncomeGen (II) pays out from 61st policy monthiversary, at the start of 6th policy year (monthly paid out mode only).
-  Singlife Flexi Life Income II provides a lifetime yearly payout with 100% capital guaranteed at the end of the accumulation period or earlier, depending on the chosen premium payment term.
- This is similar to China Life lifetime Income Plan Series 4 as it is 100% capital guaranteed at the end of the accumulation period or end of the 10th policy year for 5 year premium payment term whichever is earliest
- China Life Lifetime Income Supreme Plan is also 100% capital guaranteed at the end of the premium payment term for both 5 and 10 pay.
- Singlife Legacy Income offers monthly payout with step up guaranteed yearly income from 1.00% to 1.28% for payout year 3 to 15; to 1.37% for payout year 16 onwards
- Singlife Flexi Life Income II includes Booster Bonus that is 0.35% of the Sum Assured and 0.50% of the Sum Assured respectively, starting from the 21st income payout or when one turns 60, whichever is later.
- Income Gro Cash Sure offers cash bonus which includes non-guaranteed loyalty bonus of 0.60% of sum assured, if applicable, payable starts from the end of the 20th policy year after the premium term.
- Manulife IncomeSecure provides annual income up to age 120, from the end of policy year 5 or 10 with Change of life insured option for both corporate and individual owned policies. 
- China Taiping Infinite Harvest Plus (II) has the highest Guaranteed Yearly Income and Guaranteed Surrender Value over Total Premiums paid</t>
  </si>
  <si>
    <t>- The payout commencement year for the respective plans are all the same, payout commences on the 20th policy year with premium term of 20 years except for Income Gro Cash Flex Pro which is the only product in this category that has a payout starting at the end of the 2nd policy year.
- Singlife Flexi Life Income II includes Booster Bonus that is 0.35% of the Sum Assured and 0.50% of the Sum Assured respectively, starting from the 21st income payout or when one turns 60, whichever is later.
- ChinaLife Lifetime Income Plan Series 4 is also 100% capital guaranteed at the end of the premium payment term for 10, 15, 20 and 25 years premium payment term.
- Singlife Flexi Life Income II includes Booster Bonus that is 0.35% of the Sum Assured and 0.50% of the Sum Assured respectively, starting from the 21st income payout or when one turns 60, whichever is later.
- Singlife Legacy Income, China Life Lifetime Income Supreme Plan, China Taiping Infinite Harvest Plus (II), Income Gro Cash Sure, Manulife IncomeGen (II) &amp; Manulife IncomeSecure have been left out of this comparison as they do not have a 20 years premium payment term.</t>
  </si>
  <si>
    <t>- The payout commencement year for the respective plans are all the same, payout commences on the 10th policy year with premium term of 10 years except for Income Gro Cash Flex Pro which is the only product in this category that has a payout starting at the end of the 2nd policy year.
-  Singlife Flexi Life Income II provides a lifetime yearly payout with 100% capital guaranteed at the end of the accumulation period or earlier, depending on the chosen premium payment term.
- ChinaLife Lifetime Income Plan Series 4 is also 100% capital guaranteed at the end of the premium payment term for 10, 15, 20 and 25 years premium payment term.
- China Life Lifetime Income Supreme Plan is also 100% capital guaranteed at the end of the premium payment term for both 5 and 10 pay.
- Singlife Legacy Income offers monthly payout with step up guaranteed yearly income from 1.00% to 1.28% for payout year 3 to 15; to 1.37% for payout year 16 onwards
- Singlife Flexi Life Income II includes Booster Bonus that is 0.35% of the Sum Assured and 0.50% of the Sum Assured respectively, starting from the 21st income payout or when one turns 60, whichever is later.
- Income Gro Cash Sure offers cash bonus which includes non-guaranteed loyalty bonus of 0.60% of sum assured, if applicable, payable starts from the end of 20th policy year after premium term.
- Manulife IncomeSecure provides annual income up to age 120, from as early as end of policy year 3,5 or 10 with Change of life insured option for both corporate and individual owned policies. 
- China Taiping Infinite Harvest Plus (II) &amp; Manulife IncomeGen (II) have been left out of this comparison as it does not have a 10 years premium payment term.</t>
  </si>
  <si>
    <t>- The payout commencement year for the respective plans are all the same, payout commences on the 5th policy year, with premium term of 5 years except for Income Gro Cash Flex Pro which is the only product in this category that has payout starting at the end of the 2nd policy year; Manulife IncomeGen (II) pays out from 61st policy monthiversary, at the start of 6th policy year (monthly paid out mode only).
- Singlife Flexi Life Income II provides a lifetime yearly payout with 100% capital guaranteed at the end of the accumulation period or earlier, depending on the chosen premium payment term.
- This is similar to China Life lifetime Income Plan Series 4 as it is 100% capital guaranteed at the end of the accumulation period or end of the 10th policy year for 5 year premium payment term whichever is earliest
- China Life Lifetime Income Supreme Plan is also 100% capital guaranteed at the end of the premium payment term for both 5 and 10 pay.
- Singlife Legacy Income offers monthly payout with step up guaranteed yearly income from 1.00% to 1.28% for payout year 3 to 15; to 1.37% for payout year 16 onwards.
- Singlife Flexi Life Income II includes Booster Bonus that is 0.35% of the Sum Assured and 0.50% of the Sum Assured respectively, starting from the 21st income payout or when one turns 60, whichever is later.
- Income Gro Cash Sure offers cash bonus which includes non-guaranteed loyalty bonus of 0.60% of sum assured, if applicable, payable starts from the end of the 20th policy year after the premium term.
- Manulife IncomeSecure provides annual income up to age 120, from as early as end of policy year 3,5 or 10 with Change of life insured option for both corporate and individual owned policies. 
- China Taiping Infinite Harvest Plus (II) has the highest Total Guaranteed Yearly Income and Guaranteed Surrender Value over Total Premiums Paid.</t>
  </si>
  <si>
    <t>- Singlife Flexi Life Income II, Singlife Legacy Income,China Taiping Infinite Harvest Plus (II), Etiqa Enrich Income, Manulife IncomeGen (II) and Income Gro Cash Plus are the only six approved plans in our product suite which offer short premium payment term of 3 years. 
- In terms of payout commencement, Singlife Flexi Life Income II, Singlife Legacy Income and Income Gro Cash Plus provide the earliest payout at end of 3rd policy year and end of 37th monthiversary respectively. Etiqa Enrich Income starts payout at start of 4th policy year; China Taiping Infinite Harvest Plus (II) starts payout at the end of 4th policy year &amp; Manulife IncomeGen (II) , payouts commence on the 5th policy year.
- In terms of payout frequency,  Singlife Flexi Life Income II and China Taiping Infinite Harvest Plus (II) provides yearly payout while Singlife Legacy Income, Etiqa Enrich Income &amp; Manulife IncomeGen (II) provide monthly payouts. Income Gro Cash Plus also provide monthly payout if Sum Assured is at least $80,000
- For this comparison,  there is no accumulation period selected for Singlife Flexi Life Income (II), hence payout starts from end of premium payment term of 3 years
- Singlife Flexi Life Income II, Singlife Legacy Income and China Taiping Infinite Harvest Plus (II), they provide stepped up of Yearly Income. For Singlife Flexi Income II and China Taiping Infinite Harvest Plus (II), the stepped-up yearly income is applicable to non-guaranteed yearly income only while Singlife Legacy Income provides stepped-up yearly income for both guaranteed and non-guaranteed yearly income. For Etiqa Enrich Income, the stepped up income is also applicable to both guaranteed and non-guaranteed.
- For Singlife Flexi Life Income II, it provides 100% capital guaranteed at the end of the accumulation period or earlier, depending on the chosen premium payment term.
- For policy benefit continuity, Singlife Legacy Income, Etiqa Enrich Income &amp; Manulife IncomeGen (II) provide change of life assured option while China Taiping Infinite Harvest Plus (II) and Income Gro Cash Plus provide secondary life assured option.
- China Life Lifetime Income Plan Series 4, China Life Lifetime Income Supreme Plan, Income Gro Cash Sure, Income Gro Cash Flex Pro, Manulife IncomeSecure have been left out of this comparison as they do not have a 3 years premium payment term.</t>
  </si>
  <si>
    <r>
      <t>Source: This information is from all providers of PIAS and is accurate as of</t>
    </r>
    <r>
      <rPr>
        <b/>
        <sz val="12"/>
        <rFont val="Arial"/>
        <family val="2"/>
      </rPr>
      <t xml:space="preserve"> </t>
    </r>
    <r>
      <rPr>
        <b/>
        <sz val="12"/>
        <color rgb="FF0000CC"/>
        <rFont val="Arial"/>
        <family val="2"/>
      </rPr>
      <t>07 March 2025</t>
    </r>
  </si>
  <si>
    <t>Summary</t>
  </si>
  <si>
    <t xml:space="preserve">1. This insurance product comparsion has been produced by Propel Product Management on behalf of PIAS, and is solely meant for FA Representatives of PIAS as a quick reference and not meant to be reproduced in any manner.
2. The product comparison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product comparison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
</t>
  </si>
  <si>
    <t>Non-providers Products</t>
  </si>
  <si>
    <r>
      <t xml:space="preserve">This information is accurate as at </t>
    </r>
    <r>
      <rPr>
        <sz val="11"/>
        <color rgb="FF0000CC"/>
        <rFont val="Aptos Narrow"/>
        <family val="2"/>
      </rPr>
      <t>07/03/2025</t>
    </r>
  </si>
  <si>
    <t>Provider</t>
  </si>
  <si>
    <t>Plan</t>
  </si>
  <si>
    <t>Product Info</t>
  </si>
  <si>
    <t>AIA</t>
  </si>
  <si>
    <t>Great Eastern</t>
  </si>
  <si>
    <t>HSBC Life</t>
  </si>
  <si>
    <t>Prudential</t>
  </si>
  <si>
    <t xml:space="preserve">The above are similar products from non-providers of PIAS. We have included them for your reference to facilitate your comparisons against similar products from PIAS approved suite. </t>
  </si>
  <si>
    <t>FWD</t>
  </si>
  <si>
    <t>PIASpm1234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</si>
</sst>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quot;$&quot;#,##0"/>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u/>
      <sz val="11"/>
      <color indexed="12"/>
      <name val="Calibri"/>
      <family val="2"/>
    </font>
    <font>
      <u/>
      <sz val="12"/>
      <color indexed="12"/>
      <name val="Calibri"/>
      <family val="2"/>
    </font>
    <font>
      <sz val="12"/>
      <color indexed="8"/>
      <name val="Arial"/>
      <family val="2"/>
    </font>
    <font>
      <sz val="11"/>
      <name val="Calibri"/>
      <family val="2"/>
      <scheme val="minor"/>
    </font>
    <font>
      <b/>
      <sz val="12"/>
      <color theme="1" tint="0.499984740745262"/>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2"/>
      <color rgb="FFFF0000"/>
      <name val="Calibri"/>
      <family val="2"/>
      <scheme val="minor"/>
    </font>
    <font>
      <b/>
      <sz val="12"/>
      <color rgb="FF0000CC"/>
      <name val="Calibri"/>
      <family val="2"/>
      <scheme val="minor"/>
    </font>
    <font>
      <b/>
      <sz val="12"/>
      <name val="Arial"/>
      <family val="2"/>
    </font>
    <font>
      <b/>
      <sz val="11"/>
      <color rgb="FF0000CC"/>
      <name val="Calibri"/>
      <family val="2"/>
      <scheme val="minor"/>
    </font>
    <font>
      <sz val="11"/>
      <color rgb="FF0000CC"/>
      <name val="Calibri"/>
      <family val="2"/>
      <scheme val="minor"/>
    </font>
    <font>
      <sz val="11"/>
      <color rgb="FFFF0000"/>
      <name val="Calibri"/>
      <family val="2"/>
      <scheme val="minor"/>
    </font>
    <font>
      <b/>
      <sz val="13"/>
      <color rgb="FF0000CC"/>
      <name val="Calibri"/>
      <family val="2"/>
      <scheme val="minor"/>
    </font>
    <font>
      <b/>
      <sz val="11"/>
      <name val="Calibri"/>
      <family val="2"/>
      <scheme val="minor"/>
    </font>
    <font>
      <b/>
      <u/>
      <sz val="11"/>
      <name val="Calibri"/>
      <family val="2"/>
      <scheme val="minor"/>
    </font>
    <font>
      <b/>
      <u/>
      <sz val="11"/>
      <color rgb="FF0000CC"/>
      <name val="Calibri"/>
      <family val="2"/>
      <scheme val="minor"/>
    </font>
    <font>
      <b/>
      <u/>
      <sz val="11"/>
      <color theme="1"/>
      <name val="Calibri"/>
      <family val="2"/>
      <scheme val="minor"/>
    </font>
    <font>
      <u/>
      <sz val="11"/>
      <color theme="1"/>
      <name val="Calibri"/>
      <family val="2"/>
      <scheme val="minor"/>
    </font>
    <font>
      <b/>
      <sz val="12"/>
      <color rgb="FF0000CC"/>
      <name val="Arial"/>
      <family val="2"/>
    </font>
    <font>
      <u/>
      <sz val="11"/>
      <name val="Calibri"/>
      <family val="2"/>
      <scheme val="minor"/>
    </font>
    <font>
      <sz val="11"/>
      <color rgb="FF000000"/>
      <name val="Calibri"/>
      <family val="2"/>
      <scheme val="minor"/>
    </font>
    <font>
      <sz val="11"/>
      <color rgb="FFC00000"/>
      <name val="Calibri"/>
      <family val="2"/>
      <scheme val="minor"/>
    </font>
    <font>
      <sz val="10.5"/>
      <name val="Calibri"/>
      <family val="2"/>
      <scheme val="minor"/>
    </font>
    <font>
      <b/>
      <u/>
      <sz val="10.5"/>
      <name val="Calibri"/>
      <family val="2"/>
      <scheme val="minor"/>
    </font>
    <font>
      <b/>
      <sz val="7"/>
      <color theme="1"/>
      <name val="Calibri"/>
      <family val="2"/>
      <scheme val="minor"/>
    </font>
    <font>
      <b/>
      <sz val="7"/>
      <name val="Calibri"/>
      <family val="2"/>
      <scheme val="minor"/>
    </font>
    <font>
      <b/>
      <sz val="11"/>
      <color rgb="FFFF0000"/>
      <name val="Calibri"/>
      <family val="2"/>
      <scheme val="minor"/>
    </font>
    <font>
      <sz val="12"/>
      <color rgb="FF000000"/>
      <name val="Calibri"/>
      <family val="2"/>
      <scheme val="minor"/>
    </font>
    <font>
      <b/>
      <sz val="12"/>
      <color rgb="FF000000"/>
      <name val="Calibri"/>
      <family val="2"/>
      <scheme val="minor"/>
    </font>
    <font>
      <sz val="11"/>
      <color theme="1"/>
      <name val="Aptos Narrow"/>
      <family val="2"/>
    </font>
    <font>
      <b/>
      <sz val="12"/>
      <color theme="0"/>
      <name val="Aptos Narrow"/>
      <family val="2"/>
    </font>
    <font>
      <sz val="11"/>
      <color rgb="FF0000CC"/>
      <name val="Aptos Narrow"/>
      <family val="2"/>
    </font>
    <font>
      <b/>
      <sz val="11"/>
      <name val="Aptos Narrow"/>
      <family val="2"/>
    </font>
    <font>
      <sz val="12"/>
      <color theme="1"/>
      <name val="Aptos Narrow"/>
      <family val="2"/>
    </font>
    <font>
      <b/>
      <sz val="11"/>
      <color rgb="FF0000CC"/>
      <name val="Aptos Narrow"/>
      <family val="2"/>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CFFCC"/>
        <bgColor indexed="64"/>
      </patternFill>
    </fill>
    <fill>
      <patternFill patternType="solid">
        <fgColor rgb="FFFFC000"/>
        <bgColor indexed="64"/>
      </patternFill>
    </fill>
    <fill>
      <patternFill patternType="solid">
        <fgColor theme="4" tint="0.79998168889431442"/>
        <bgColor indexed="64"/>
      </patternFill>
    </fill>
    <fill>
      <patternFill patternType="solid">
        <fgColor theme="1"/>
        <bgColor indexed="64"/>
      </patternFill>
    </fill>
    <fill>
      <patternFill patternType="solid">
        <fgColor rgb="FFF2F2F2"/>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1" fillId="0" borderId="0"/>
    <xf numFmtId="0" fontId="9" fillId="0" borderId="0" applyNumberFormat="0" applyFill="0" applyBorder="0" applyAlignment="0" applyProtection="0">
      <alignment vertical="top"/>
      <protection locked="0"/>
    </xf>
    <xf numFmtId="0" fontId="3" fillId="0" borderId="0"/>
    <xf numFmtId="0" fontId="1" fillId="0" borderId="0"/>
    <xf numFmtId="9" fontId="1" fillId="0" borderId="0" applyFont="0" applyFill="0" applyBorder="0" applyAlignment="0" applyProtection="0"/>
  </cellStyleXfs>
  <cellXfs count="384">
    <xf numFmtId="0" fontId="0" fillId="0" borderId="0" xfId="0"/>
    <xf numFmtId="0" fontId="3" fillId="0" borderId="0" xfId="2"/>
    <xf numFmtId="0" fontId="7" fillId="2" borderId="0" xfId="2" applyFont="1" applyFill="1"/>
    <xf numFmtId="0" fontId="6" fillId="2" borderId="0" xfId="2" applyFont="1" applyFill="1"/>
    <xf numFmtId="0" fontId="10" fillId="2" borderId="0" xfId="4" applyFont="1" applyFill="1" applyAlignment="1" applyProtection="1">
      <alignment horizontal="left" vertical="center" wrapText="1"/>
    </xf>
    <xf numFmtId="16" fontId="6" fillId="2" borderId="0" xfId="2" applyNumberFormat="1" applyFont="1" applyFill="1"/>
    <xf numFmtId="0" fontId="6" fillId="2" borderId="0" xfId="2" applyFont="1" applyFill="1" applyAlignment="1">
      <alignment wrapText="1"/>
    </xf>
    <xf numFmtId="0" fontId="0" fillId="2" borderId="0" xfId="0" applyFill="1"/>
    <xf numFmtId="0" fontId="0" fillId="2" borderId="9" xfId="0" applyFill="1" applyBorder="1" applyAlignment="1">
      <alignment vertical="top"/>
    </xf>
    <xf numFmtId="0" fontId="0" fillId="2" borderId="0" xfId="0" quotePrefix="1" applyFill="1" applyAlignment="1">
      <alignment vertical="top" wrapText="1"/>
    </xf>
    <xf numFmtId="0" fontId="11" fillId="2" borderId="4" xfId="2" applyFont="1" applyFill="1" applyBorder="1" applyAlignment="1">
      <alignment horizontal="left" vertical="top" wrapText="1"/>
    </xf>
    <xf numFmtId="0" fontId="11" fillId="2" borderId="0" xfId="2" applyFont="1" applyFill="1" applyAlignment="1">
      <alignment horizontal="left" vertical="top" wrapText="1"/>
    </xf>
    <xf numFmtId="0" fontId="11" fillId="2" borderId="5" xfId="2" applyFont="1" applyFill="1" applyBorder="1" applyAlignment="1">
      <alignment horizontal="left" vertical="top" wrapText="1"/>
    </xf>
    <xf numFmtId="0" fontId="2" fillId="0" borderId="9" xfId="0" applyFont="1" applyBorder="1" applyAlignment="1">
      <alignment vertical="top"/>
    </xf>
    <xf numFmtId="0" fontId="0" fillId="0" borderId="9" xfId="0" applyBorder="1" applyAlignment="1">
      <alignment vertical="top"/>
    </xf>
    <xf numFmtId="0" fontId="12" fillId="0" borderId="9" xfId="0" quotePrefix="1" applyFont="1" applyBorder="1" applyAlignment="1">
      <alignment vertical="top" wrapText="1"/>
    </xf>
    <xf numFmtId="0" fontId="15" fillId="0" borderId="0" xfId="0" applyFont="1" applyAlignment="1">
      <alignment vertical="center" wrapText="1"/>
    </xf>
    <xf numFmtId="0" fontId="14" fillId="0" borderId="0" xfId="0" applyFont="1"/>
    <xf numFmtId="0" fontId="14" fillId="0" borderId="0" xfId="0" applyFont="1" applyAlignment="1">
      <alignment wrapText="1"/>
    </xf>
    <xf numFmtId="0" fontId="14" fillId="0" borderId="0" xfId="0" applyFont="1" applyAlignment="1">
      <alignment horizontal="center"/>
    </xf>
    <xf numFmtId="0" fontId="15" fillId="3" borderId="10" xfId="0" applyFont="1" applyFill="1" applyBorder="1" applyAlignment="1">
      <alignment horizontal="center"/>
    </xf>
    <xf numFmtId="0" fontId="15" fillId="0" borderId="0" xfId="0" applyFont="1" applyAlignment="1">
      <alignment horizontal="center" vertical="center"/>
    </xf>
    <xf numFmtId="0" fontId="14" fillId="0" borderId="0" xfId="0" applyFont="1" applyAlignment="1">
      <alignment vertical="center"/>
    </xf>
    <xf numFmtId="0" fontId="14" fillId="0" borderId="0" xfId="0" quotePrefix="1" applyFont="1" applyAlignment="1">
      <alignment wrapText="1"/>
    </xf>
    <xf numFmtId="0" fontId="16" fillId="0" borderId="11" xfId="0" applyFont="1" applyBorder="1" applyAlignment="1">
      <alignment horizontal="left" vertical="center" wrapText="1"/>
    </xf>
    <xf numFmtId="10" fontId="14" fillId="0" borderId="11" xfId="0" applyNumberFormat="1" applyFont="1" applyBorder="1" applyAlignment="1">
      <alignment horizontal="center" vertical="center"/>
    </xf>
    <xf numFmtId="0" fontId="16" fillId="0" borderId="0" xfId="0" applyFont="1" applyAlignment="1">
      <alignment horizontal="center" vertical="center"/>
    </xf>
    <xf numFmtId="0" fontId="16" fillId="0" borderId="0" xfId="0" quotePrefix="1" applyFont="1" applyAlignment="1">
      <alignment horizontal="left" vertical="center" wrapText="1"/>
    </xf>
    <xf numFmtId="0" fontId="16" fillId="0" borderId="11" xfId="0" applyFont="1" applyBorder="1" applyAlignment="1">
      <alignment horizontal="left" vertical="center"/>
    </xf>
    <xf numFmtId="0" fontId="16" fillId="0" borderId="11" xfId="0" applyFont="1" applyBorder="1" applyAlignment="1">
      <alignment horizontal="center" vertical="center"/>
    </xf>
    <xf numFmtId="6" fontId="16" fillId="0" borderId="0" xfId="0" applyNumberFormat="1" applyFont="1" applyAlignment="1">
      <alignment horizontal="center" vertical="center" wrapText="1"/>
    </xf>
    <xf numFmtId="0" fontId="16" fillId="0" borderId="9" xfId="0" applyFont="1" applyBorder="1" applyAlignment="1">
      <alignment horizontal="left" vertical="center" wrapText="1"/>
    </xf>
    <xf numFmtId="0" fontId="16" fillId="0" borderId="9" xfId="0" applyFont="1" applyBorder="1" applyAlignment="1">
      <alignment horizontal="center" vertical="center" wrapText="1"/>
    </xf>
    <xf numFmtId="0" fontId="14" fillId="0" borderId="9" xfId="0" applyFont="1" applyBorder="1" applyAlignment="1">
      <alignment horizontal="center" vertical="center"/>
    </xf>
    <xf numFmtId="164" fontId="16" fillId="0" borderId="9" xfId="0" applyNumberFormat="1" applyFont="1" applyBorder="1" applyAlignment="1">
      <alignment horizontal="center" vertical="center"/>
    </xf>
    <xf numFmtId="6" fontId="14" fillId="0" borderId="9" xfId="0" applyNumberFormat="1" applyFont="1" applyBorder="1" applyAlignment="1">
      <alignment horizontal="center" vertical="center"/>
    </xf>
    <xf numFmtId="164" fontId="16" fillId="0" borderId="9" xfId="1" applyNumberFormat="1" applyFont="1" applyFill="1" applyBorder="1" applyAlignment="1">
      <alignment horizontal="center" vertical="center"/>
    </xf>
    <xf numFmtId="164" fontId="16" fillId="0" borderId="0" xfId="1" applyNumberFormat="1" applyFont="1" applyFill="1" applyBorder="1" applyAlignment="1">
      <alignment horizontal="center" vertical="center"/>
    </xf>
    <xf numFmtId="164" fontId="14" fillId="0" borderId="9" xfId="0" applyNumberFormat="1" applyFont="1" applyBorder="1" applyAlignment="1">
      <alignment horizontal="center" vertical="center"/>
    </xf>
    <xf numFmtId="0" fontId="16" fillId="0" borderId="9" xfId="0" quotePrefix="1" applyFont="1" applyBorder="1" applyAlignment="1">
      <alignment horizontal="left" vertical="center" wrapText="1"/>
    </xf>
    <xf numFmtId="6" fontId="16" fillId="0" borderId="9" xfId="0" quotePrefix="1" applyNumberFormat="1" applyFont="1" applyBorder="1" applyAlignment="1">
      <alignment horizontal="center" vertical="center" wrapText="1"/>
    </xf>
    <xf numFmtId="0" fontId="18" fillId="0" borderId="0" xfId="0" applyFont="1" applyAlignment="1">
      <alignment vertical="center" wrapText="1"/>
    </xf>
    <xf numFmtId="164" fontId="16" fillId="0" borderId="9" xfId="0" quotePrefix="1" applyNumberFormat="1" applyFont="1" applyBorder="1" applyAlignment="1">
      <alignment horizontal="center" vertical="center" wrapText="1"/>
    </xf>
    <xf numFmtId="164" fontId="17" fillId="0" borderId="0" xfId="1" applyNumberFormat="1" applyFont="1" applyFill="1" applyBorder="1" applyAlignment="1">
      <alignment horizontal="center" vertical="center"/>
    </xf>
    <xf numFmtId="0" fontId="15" fillId="0" borderId="0" xfId="0" applyFont="1"/>
    <xf numFmtId="0" fontId="17" fillId="4" borderId="17" xfId="0" applyFont="1" applyFill="1" applyBorder="1" applyAlignment="1">
      <alignment horizontal="left" vertical="center" wrapText="1"/>
    </xf>
    <xf numFmtId="6" fontId="15" fillId="4" borderId="9" xfId="0" applyNumberFormat="1" applyFont="1" applyFill="1" applyBorder="1" applyAlignment="1">
      <alignment horizontal="center" vertical="center"/>
    </xf>
    <xf numFmtId="0" fontId="17" fillId="4" borderId="9" xfId="0" quotePrefix="1" applyFont="1" applyFill="1" applyBorder="1" applyAlignment="1">
      <alignment horizontal="left" vertical="center" wrapText="1"/>
    </xf>
    <xf numFmtId="2" fontId="17" fillId="4" borderId="9" xfId="0" quotePrefix="1" applyNumberFormat="1" applyFont="1" applyFill="1" applyBorder="1" applyAlignment="1">
      <alignment horizontal="center" vertical="center" wrapText="1"/>
    </xf>
    <xf numFmtId="0" fontId="17" fillId="4" borderId="9" xfId="0" applyFont="1" applyFill="1" applyBorder="1" applyAlignment="1">
      <alignment horizontal="left" vertical="center" wrapText="1"/>
    </xf>
    <xf numFmtId="164" fontId="19" fillId="4" borderId="9" xfId="0" applyNumberFormat="1" applyFont="1" applyFill="1" applyBorder="1" applyAlignment="1">
      <alignment horizontal="center" vertical="center"/>
    </xf>
    <xf numFmtId="164" fontId="14" fillId="0" borderId="9" xfId="0" quotePrefix="1" applyNumberFormat="1" applyFont="1" applyBorder="1" applyAlignment="1">
      <alignment horizontal="center" vertical="center" wrapText="1"/>
    </xf>
    <xf numFmtId="6" fontId="14" fillId="0" borderId="11" xfId="0" applyNumberFormat="1" applyFont="1" applyBorder="1" applyAlignment="1">
      <alignment horizontal="center" vertical="center"/>
    </xf>
    <xf numFmtId="0" fontId="19" fillId="0" borderId="17" xfId="0" quotePrefix="1" applyFont="1" applyBorder="1" applyAlignment="1">
      <alignment vertical="center" wrapText="1"/>
    </xf>
    <xf numFmtId="0" fontId="19" fillId="0" borderId="18" xfId="0" quotePrefix="1" applyFont="1" applyBorder="1" applyAlignment="1">
      <alignment vertical="center" wrapText="1"/>
    </xf>
    <xf numFmtId="0" fontId="16" fillId="0" borderId="11" xfId="0" quotePrefix="1" applyFont="1" applyBorder="1" applyAlignment="1">
      <alignment horizontal="left" vertical="center" wrapText="1"/>
    </xf>
    <xf numFmtId="164" fontId="16" fillId="0" borderId="11" xfId="0" quotePrefix="1" applyNumberFormat="1" applyFont="1" applyBorder="1" applyAlignment="1">
      <alignment horizontal="center" vertical="center" wrapText="1"/>
    </xf>
    <xf numFmtId="0" fontId="15" fillId="6" borderId="17" xfId="0" quotePrefix="1" applyFont="1" applyFill="1" applyBorder="1"/>
    <xf numFmtId="0" fontId="15" fillId="6" borderId="18" xfId="0" quotePrefix="1" applyFont="1" applyFill="1" applyBorder="1"/>
    <xf numFmtId="164" fontId="16" fillId="2" borderId="11" xfId="0" quotePrefix="1" applyNumberFormat="1" applyFont="1" applyFill="1" applyBorder="1" applyAlignment="1">
      <alignment horizontal="center" vertical="center" wrapText="1"/>
    </xf>
    <xf numFmtId="40" fontId="17" fillId="4" borderId="9" xfId="0" applyNumberFormat="1" applyFont="1" applyFill="1" applyBorder="1" applyAlignment="1">
      <alignment horizontal="center" vertical="center"/>
    </xf>
    <xf numFmtId="6" fontId="19" fillId="4" borderId="9" xfId="0" applyNumberFormat="1" applyFont="1" applyFill="1" applyBorder="1" applyAlignment="1">
      <alignment horizontal="center" vertical="center"/>
    </xf>
    <xf numFmtId="0" fontId="16" fillId="0" borderId="9" xfId="0" applyFont="1" applyBorder="1" applyAlignment="1">
      <alignment horizontal="left" vertical="center"/>
    </xf>
    <xf numFmtId="0" fontId="16" fillId="0" borderId="9" xfId="0" applyFont="1" applyBorder="1" applyAlignment="1">
      <alignment horizontal="center" vertical="center"/>
    </xf>
    <xf numFmtId="0" fontId="17" fillId="4" borderId="21" xfId="0" applyFont="1" applyFill="1" applyBorder="1" applyAlignment="1">
      <alignment horizontal="left" vertical="center" wrapText="1"/>
    </xf>
    <xf numFmtId="164" fontId="19" fillId="4" borderId="12" xfId="0" applyNumberFormat="1" applyFont="1" applyFill="1" applyBorder="1" applyAlignment="1">
      <alignment horizontal="center" vertical="center"/>
    </xf>
    <xf numFmtId="6" fontId="15" fillId="4" borderId="12" xfId="0" applyNumberFormat="1" applyFont="1" applyFill="1" applyBorder="1" applyAlignment="1">
      <alignment horizontal="center" vertical="center"/>
    </xf>
    <xf numFmtId="164" fontId="16" fillId="0" borderId="9" xfId="0" applyNumberFormat="1" applyFont="1" applyBorder="1" applyAlignment="1">
      <alignment horizontal="center" vertical="center" wrapText="1"/>
    </xf>
    <xf numFmtId="2" fontId="17" fillId="4" borderId="9" xfId="0" applyNumberFormat="1" applyFont="1" applyFill="1" applyBorder="1" applyAlignment="1">
      <alignment horizontal="center" vertical="center" wrapText="1"/>
    </xf>
    <xf numFmtId="164" fontId="16" fillId="0" borderId="11" xfId="0" applyNumberFormat="1" applyFont="1" applyBorder="1" applyAlignment="1">
      <alignment horizontal="center" vertical="center" wrapText="1"/>
    </xf>
    <xf numFmtId="2" fontId="14" fillId="0" borderId="0" xfId="0" applyNumberFormat="1" applyFont="1" applyAlignment="1">
      <alignment horizontal="center"/>
    </xf>
    <xf numFmtId="164" fontId="14" fillId="0" borderId="0" xfId="0" applyNumberFormat="1" applyFont="1" applyAlignment="1">
      <alignment horizontal="center" vertical="center"/>
    </xf>
    <xf numFmtId="0" fontId="2" fillId="5" borderId="15" xfId="0" applyFont="1" applyFill="1" applyBorder="1" applyAlignment="1">
      <alignment horizontal="left" vertical="center"/>
    </xf>
    <xf numFmtId="0" fontId="2" fillId="5" borderId="16" xfId="0" applyFont="1" applyFill="1" applyBorder="1" applyAlignment="1">
      <alignment horizontal="left" vertical="center"/>
    </xf>
    <xf numFmtId="164" fontId="17" fillId="4" borderId="9" xfId="0" applyNumberFormat="1" applyFont="1" applyFill="1" applyBorder="1" applyAlignment="1">
      <alignment horizontal="center" vertical="center"/>
    </xf>
    <xf numFmtId="6" fontId="17" fillId="4" borderId="9" xfId="0" applyNumberFormat="1" applyFont="1" applyFill="1" applyBorder="1" applyAlignment="1">
      <alignment horizontal="center" vertical="center"/>
    </xf>
    <xf numFmtId="0" fontId="0" fillId="2" borderId="9" xfId="0" applyFill="1" applyBorder="1" applyAlignment="1">
      <alignment horizontal="left" vertical="top"/>
    </xf>
    <xf numFmtId="164" fontId="17" fillId="4" borderId="12" xfId="0" applyNumberFormat="1" applyFont="1" applyFill="1" applyBorder="1" applyAlignment="1">
      <alignment horizontal="center" vertical="center"/>
    </xf>
    <xf numFmtId="0" fontId="0" fillId="2" borderId="9" xfId="0" quotePrefix="1" applyFill="1" applyBorder="1" applyAlignment="1">
      <alignment vertical="top" wrapText="1"/>
    </xf>
    <xf numFmtId="0" fontId="2" fillId="0" borderId="0" xfId="0" applyFont="1" applyAlignment="1">
      <alignment vertical="top"/>
    </xf>
    <xf numFmtId="0" fontId="0" fillId="0" borderId="0" xfId="0" applyAlignment="1">
      <alignment vertical="top"/>
    </xf>
    <xf numFmtId="0" fontId="0" fillId="0" borderId="9" xfId="0" applyBorder="1" applyAlignment="1">
      <alignment horizontal="left" vertical="top"/>
    </xf>
    <xf numFmtId="0" fontId="21" fillId="0" borderId="9" xfId="0" applyFont="1" applyBorder="1" applyAlignment="1">
      <alignment vertical="top"/>
    </xf>
    <xf numFmtId="0" fontId="12" fillId="0" borderId="9" xfId="0" applyFont="1" applyBorder="1" applyAlignment="1">
      <alignment horizontal="left" vertical="top"/>
    </xf>
    <xf numFmtId="0" fontId="0" fillId="0" borderId="9" xfId="0" quotePrefix="1" applyBorder="1" applyAlignment="1">
      <alignment vertical="top" wrapText="1"/>
    </xf>
    <xf numFmtId="0" fontId="0" fillId="0" borderId="9" xfId="0" applyBorder="1" applyAlignment="1">
      <alignment horizontal="left" vertical="top" wrapText="1"/>
    </xf>
    <xf numFmtId="0" fontId="21" fillId="0" borderId="9" xfId="0" applyFont="1" applyBorder="1" applyAlignment="1">
      <alignment horizontal="left" vertical="top"/>
    </xf>
    <xf numFmtId="0" fontId="12" fillId="0" borderId="9" xfId="0" applyFont="1" applyBorder="1" applyAlignment="1">
      <alignment vertical="top"/>
    </xf>
    <xf numFmtId="0" fontId="12" fillId="0" borderId="9" xfId="0" applyFont="1" applyBorder="1" applyAlignment="1">
      <alignment vertical="top" wrapText="1"/>
    </xf>
    <xf numFmtId="0" fontId="21" fillId="0" borderId="9" xfId="0" quotePrefix="1" applyFont="1" applyBorder="1" applyAlignment="1">
      <alignment vertical="top" wrapText="1"/>
    </xf>
    <xf numFmtId="10" fontId="21" fillId="5" borderId="9" xfId="0" applyNumberFormat="1" applyFont="1" applyFill="1" applyBorder="1" applyAlignment="1">
      <alignment horizontal="left" vertical="top"/>
    </xf>
    <xf numFmtId="10" fontId="12" fillId="5" borderId="9" xfId="0" quotePrefix="1" applyNumberFormat="1" applyFont="1" applyFill="1" applyBorder="1" applyAlignment="1">
      <alignment horizontal="left" vertical="top"/>
    </xf>
    <xf numFmtId="10" fontId="12" fillId="5" borderId="9" xfId="0" applyNumberFormat="1" applyFont="1" applyFill="1" applyBorder="1" applyAlignment="1">
      <alignment horizontal="left" vertical="top"/>
    </xf>
    <xf numFmtId="10" fontId="12" fillId="5" borderId="9" xfId="0" applyNumberFormat="1" applyFont="1" applyFill="1" applyBorder="1" applyAlignment="1">
      <alignment horizontal="left" vertical="top" wrapText="1"/>
    </xf>
    <xf numFmtId="10" fontId="12" fillId="0" borderId="9" xfId="0" applyNumberFormat="1" applyFont="1" applyBorder="1" applyAlignment="1">
      <alignment horizontal="left" vertical="top"/>
    </xf>
    <xf numFmtId="10" fontId="12" fillId="0" borderId="9" xfId="0" applyNumberFormat="1" applyFont="1" applyBorder="1" applyAlignment="1">
      <alignment horizontal="left" vertical="top" wrapText="1"/>
    </xf>
    <xf numFmtId="10" fontId="12" fillId="0" borderId="9" xfId="0" applyNumberFormat="1" applyFont="1" applyBorder="1" applyAlignment="1">
      <alignment vertical="top" wrapText="1"/>
    </xf>
    <xf numFmtId="6" fontId="12" fillId="0" borderId="9" xfId="0" applyNumberFormat="1" applyFont="1" applyBorder="1" applyAlignment="1">
      <alignment horizontal="left" vertical="top"/>
    </xf>
    <xf numFmtId="6" fontId="12" fillId="0" borderId="9" xfId="0" applyNumberFormat="1" applyFont="1" applyBorder="1" applyAlignment="1">
      <alignment horizontal="left" vertical="top" wrapText="1"/>
    </xf>
    <xf numFmtId="6" fontId="21" fillId="0" borderId="9" xfId="0" applyNumberFormat="1" applyFont="1" applyBorder="1" applyAlignment="1">
      <alignment horizontal="left" vertical="top" wrapText="1"/>
    </xf>
    <xf numFmtId="6" fontId="21" fillId="0" borderId="9" xfId="0" applyNumberFormat="1" applyFont="1" applyBorder="1" applyAlignment="1">
      <alignment horizontal="left" vertical="top"/>
    </xf>
    <xf numFmtId="0" fontId="12" fillId="0" borderId="9" xfId="0" quotePrefix="1" applyFont="1" applyBorder="1" applyAlignment="1">
      <alignment horizontal="left" vertical="top" wrapText="1"/>
    </xf>
    <xf numFmtId="0" fontId="0" fillId="0" borderId="9" xfId="0" quotePrefix="1" applyBorder="1" applyAlignment="1">
      <alignment horizontal="left" vertical="top" wrapText="1"/>
    </xf>
    <xf numFmtId="0" fontId="21" fillId="0" borderId="9" xfId="0" quotePrefix="1" applyFont="1" applyBorder="1" applyAlignment="1">
      <alignment horizontal="left" vertical="top" wrapText="1"/>
    </xf>
    <xf numFmtId="0" fontId="12" fillId="0" borderId="9" xfId="0" applyFont="1" applyBorder="1" applyAlignment="1">
      <alignment horizontal="left" vertical="top" wrapText="1"/>
    </xf>
    <xf numFmtId="0" fontId="23" fillId="0" borderId="0" xfId="0" applyFont="1" applyAlignment="1">
      <alignment vertical="top"/>
    </xf>
    <xf numFmtId="40" fontId="19" fillId="4" borderId="9" xfId="0" applyNumberFormat="1" applyFont="1" applyFill="1" applyBorder="1" applyAlignment="1">
      <alignment horizontal="center" vertical="center"/>
    </xf>
    <xf numFmtId="0" fontId="25" fillId="5" borderId="9" xfId="0" applyFont="1" applyFill="1" applyBorder="1" applyAlignment="1">
      <alignment vertical="top" wrapText="1"/>
    </xf>
    <xf numFmtId="0" fontId="25" fillId="0" borderId="9" xfId="0" applyFont="1" applyBorder="1" applyAlignment="1">
      <alignment vertical="top" wrapText="1"/>
    </xf>
    <xf numFmtId="0" fontId="25" fillId="0" borderId="9" xfId="0" applyFont="1" applyBorder="1" applyAlignment="1">
      <alignment vertical="top"/>
    </xf>
    <xf numFmtId="0" fontId="19" fillId="0" borderId="18" xfId="0" quotePrefix="1" applyFont="1" applyBorder="1" applyAlignment="1">
      <alignment horizontal="left" vertical="center" wrapText="1"/>
    </xf>
    <xf numFmtId="0" fontId="15" fillId="6" borderId="18" xfId="0" quotePrefix="1" applyFont="1" applyFill="1" applyBorder="1" applyAlignment="1">
      <alignment horizontal="left"/>
    </xf>
    <xf numFmtId="0" fontId="17" fillId="6" borderId="18" xfId="0" quotePrefix="1" applyFont="1" applyFill="1" applyBorder="1" applyAlignment="1">
      <alignment horizontal="left" vertical="center" wrapText="1"/>
    </xf>
    <xf numFmtId="0" fontId="12" fillId="2" borderId="9" xfId="0" quotePrefix="1" applyFont="1" applyFill="1" applyBorder="1" applyAlignment="1">
      <alignment vertical="top" wrapText="1"/>
    </xf>
    <xf numFmtId="0" fontId="0" fillId="0" borderId="9" xfId="0" applyBorder="1" applyAlignment="1">
      <alignment vertical="top" wrapText="1"/>
    </xf>
    <xf numFmtId="6" fontId="2" fillId="0" borderId="9" xfId="0" quotePrefix="1" applyNumberFormat="1" applyFont="1" applyBorder="1" applyAlignment="1">
      <alignment horizontal="left" vertical="top" wrapText="1"/>
    </xf>
    <xf numFmtId="0" fontId="2" fillId="5" borderId="9" xfId="0" applyFont="1" applyFill="1" applyBorder="1" applyAlignment="1">
      <alignment vertical="top" wrapText="1"/>
    </xf>
    <xf numFmtId="6" fontId="12" fillId="5" borderId="9" xfId="0" quotePrefix="1" applyNumberFormat="1" applyFont="1" applyFill="1" applyBorder="1" applyAlignment="1">
      <alignment horizontal="left" vertical="top" wrapText="1"/>
    </xf>
    <xf numFmtId="6" fontId="21" fillId="0" borderId="9" xfId="0" quotePrefix="1" applyNumberFormat="1" applyFont="1" applyBorder="1" applyAlignment="1">
      <alignment horizontal="left" vertical="top" wrapText="1"/>
    </xf>
    <xf numFmtId="0" fontId="21" fillId="0" borderId="9" xfId="0" quotePrefix="1" applyFont="1" applyBorder="1" applyAlignment="1">
      <alignment horizontal="left" vertical="top"/>
    </xf>
    <xf numFmtId="0" fontId="21" fillId="0" borderId="9" xfId="0" applyFont="1" applyBorder="1" applyAlignment="1">
      <alignment horizontal="left" vertical="top" wrapText="1"/>
    </xf>
    <xf numFmtId="6" fontId="0" fillId="0" borderId="9" xfId="0" applyNumberFormat="1" applyBorder="1" applyAlignment="1">
      <alignment horizontal="left" vertical="top"/>
    </xf>
    <xf numFmtId="0" fontId="0" fillId="0" borderId="9" xfId="0" quotePrefix="1" applyBorder="1" applyAlignment="1">
      <alignment horizontal="left" vertical="top"/>
    </xf>
    <xf numFmtId="0" fontId="14" fillId="0" borderId="9" xfId="0" applyFont="1" applyBorder="1" applyAlignment="1">
      <alignment horizontal="center" vertical="center" wrapText="1"/>
    </xf>
    <xf numFmtId="10" fontId="12" fillId="5" borderId="9" xfId="0" quotePrefix="1" applyNumberFormat="1" applyFont="1" applyFill="1" applyBorder="1" applyAlignment="1">
      <alignment horizontal="left" vertical="top" wrapText="1"/>
    </xf>
    <xf numFmtId="6" fontId="14" fillId="0" borderId="9" xfId="0" quotePrefix="1" applyNumberFormat="1" applyFont="1" applyBorder="1" applyAlignment="1">
      <alignment horizontal="center" vertical="center"/>
    </xf>
    <xf numFmtId="0" fontId="15" fillId="7" borderId="9" xfId="0" applyFont="1" applyFill="1" applyBorder="1"/>
    <xf numFmtId="10" fontId="15" fillId="7" borderId="9" xfId="0" applyNumberFormat="1" applyFont="1" applyFill="1" applyBorder="1" applyAlignment="1">
      <alignment horizontal="center"/>
    </xf>
    <xf numFmtId="10" fontId="19" fillId="7" borderId="9" xfId="0" applyNumberFormat="1" applyFont="1" applyFill="1" applyBorder="1" applyAlignment="1">
      <alignment horizontal="center"/>
    </xf>
    <xf numFmtId="164" fontId="16" fillId="0" borderId="12" xfId="1" applyNumberFormat="1" applyFont="1" applyFill="1" applyBorder="1" applyAlignment="1">
      <alignment horizontal="center" vertical="center"/>
    </xf>
    <xf numFmtId="164" fontId="16" fillId="0" borderId="11" xfId="1" applyNumberFormat="1" applyFont="1" applyFill="1" applyBorder="1" applyAlignment="1">
      <alignment horizontal="center" vertical="center"/>
    </xf>
    <xf numFmtId="6" fontId="14" fillId="0" borderId="12" xfId="0" applyNumberFormat="1" applyFont="1" applyBorder="1" applyAlignment="1">
      <alignment horizontal="center" vertical="center"/>
    </xf>
    <xf numFmtId="6" fontId="14" fillId="0" borderId="11" xfId="0" applyNumberFormat="1" applyFont="1" applyBorder="1" applyAlignment="1">
      <alignment horizontal="center" vertical="center" wrapText="1"/>
    </xf>
    <xf numFmtId="164" fontId="16" fillId="0" borderId="20" xfId="1" applyNumberFormat="1" applyFont="1" applyFill="1" applyBorder="1" applyAlignment="1">
      <alignment horizontal="center" vertical="center"/>
    </xf>
    <xf numFmtId="10" fontId="16" fillId="4" borderId="12" xfId="7" applyNumberFormat="1" applyFont="1" applyFill="1" applyBorder="1" applyAlignment="1">
      <alignment horizontal="center" vertical="center" wrapText="1"/>
    </xf>
    <xf numFmtId="10" fontId="19" fillId="4" borderId="11" xfId="7" applyNumberFormat="1" applyFont="1" applyFill="1" applyBorder="1" applyAlignment="1">
      <alignment horizontal="center" vertical="center" wrapText="1"/>
    </xf>
    <xf numFmtId="164" fontId="16" fillId="0" borderId="11" xfId="0" applyNumberFormat="1" applyFont="1" applyBorder="1" applyAlignment="1">
      <alignment horizontal="center" vertical="center"/>
    </xf>
    <xf numFmtId="164" fontId="14" fillId="0" borderId="11" xfId="0" applyNumberFormat="1" applyFont="1" applyBorder="1" applyAlignment="1">
      <alignment horizontal="center" vertical="center"/>
    </xf>
    <xf numFmtId="6" fontId="16" fillId="0" borderId="9" xfId="0" applyNumberFormat="1" applyFont="1" applyBorder="1" applyAlignment="1">
      <alignment horizontal="center" vertical="center"/>
    </xf>
    <xf numFmtId="6" fontId="16" fillId="0" borderId="11" xfId="0" applyNumberFormat="1" applyFont="1" applyBorder="1" applyAlignment="1">
      <alignment horizontal="center" vertical="center"/>
    </xf>
    <xf numFmtId="10" fontId="17" fillId="4" borderId="20" xfId="7" applyNumberFormat="1" applyFont="1" applyFill="1" applyBorder="1" applyAlignment="1">
      <alignment horizontal="center" vertical="center" wrapText="1"/>
    </xf>
    <xf numFmtId="10" fontId="17" fillId="4" borderId="11" xfId="7" applyNumberFormat="1" applyFont="1" applyFill="1" applyBorder="1" applyAlignment="1">
      <alignment horizontal="center" vertical="center" wrapText="1"/>
    </xf>
    <xf numFmtId="10" fontId="16" fillId="4" borderId="12" xfId="7" applyNumberFormat="1" applyFont="1" applyFill="1" applyBorder="1" applyAlignment="1">
      <alignment horizontal="center" wrapText="1"/>
    </xf>
    <xf numFmtId="10" fontId="17" fillId="4" borderId="26" xfId="7" applyNumberFormat="1" applyFont="1" applyFill="1" applyBorder="1" applyAlignment="1">
      <alignment horizontal="center" vertical="center" wrapText="1"/>
    </xf>
    <xf numFmtId="10" fontId="19" fillId="4" borderId="20" xfId="7" applyNumberFormat="1" applyFont="1" applyFill="1" applyBorder="1" applyAlignment="1">
      <alignment horizontal="center" vertical="center" wrapText="1"/>
    </xf>
    <xf numFmtId="10" fontId="16" fillId="4" borderId="20" xfId="7" applyNumberFormat="1" applyFont="1" applyFill="1" applyBorder="1" applyAlignment="1">
      <alignment horizontal="center" vertical="center" wrapText="1"/>
    </xf>
    <xf numFmtId="164" fontId="16" fillId="0" borderId="12" xfId="0" applyNumberFormat="1" applyFont="1" applyBorder="1" applyAlignment="1">
      <alignment horizontal="center" vertical="center"/>
    </xf>
    <xf numFmtId="164" fontId="16" fillId="4" borderId="12" xfId="1" applyNumberFormat="1" applyFont="1" applyFill="1" applyBorder="1" applyAlignment="1">
      <alignment horizontal="center" vertical="center"/>
    </xf>
    <xf numFmtId="164" fontId="16" fillId="4" borderId="20" xfId="1" applyNumberFormat="1" applyFont="1" applyFill="1" applyBorder="1" applyAlignment="1">
      <alignment horizontal="center" vertical="center"/>
    </xf>
    <xf numFmtId="164" fontId="16" fillId="4" borderId="26" xfId="1" applyNumberFormat="1" applyFont="1" applyFill="1" applyBorder="1" applyAlignment="1">
      <alignment horizontal="center" vertical="center"/>
    </xf>
    <xf numFmtId="10" fontId="17" fillId="4" borderId="11" xfId="1" applyNumberFormat="1" applyFont="1" applyFill="1" applyBorder="1" applyAlignment="1">
      <alignment horizontal="center" vertical="center"/>
    </xf>
    <xf numFmtId="3" fontId="14" fillId="0" borderId="9" xfId="0" applyNumberFormat="1" applyFont="1" applyBorder="1" applyAlignment="1">
      <alignment horizontal="center" vertical="center"/>
    </xf>
    <xf numFmtId="164" fontId="16" fillId="0" borderId="9" xfId="1" quotePrefix="1" applyNumberFormat="1" applyFont="1" applyFill="1" applyBorder="1" applyAlignment="1">
      <alignment horizontal="center" vertical="center"/>
    </xf>
    <xf numFmtId="40" fontId="17" fillId="4" borderId="9" xfId="0" applyNumberFormat="1" applyFont="1" applyFill="1" applyBorder="1" applyAlignment="1">
      <alignment horizontal="center" vertical="center" wrapText="1"/>
    </xf>
    <xf numFmtId="6" fontId="14" fillId="0" borderId="20" xfId="0" applyNumberFormat="1" applyFont="1" applyBorder="1" applyAlignment="1">
      <alignment horizontal="center" vertical="center"/>
    </xf>
    <xf numFmtId="6" fontId="14" fillId="4" borderId="12" xfId="0" applyNumberFormat="1" applyFont="1" applyFill="1" applyBorder="1" applyAlignment="1">
      <alignment horizontal="center" vertical="center"/>
    </xf>
    <xf numFmtId="10" fontId="17" fillId="4" borderId="20" xfId="1" applyNumberFormat="1" applyFont="1" applyFill="1" applyBorder="1" applyAlignment="1">
      <alignment horizontal="center" vertical="center"/>
    </xf>
    <xf numFmtId="0" fontId="15" fillId="0" borderId="0" xfId="0" applyFont="1" applyAlignment="1">
      <alignment horizontal="center" vertical="center" wrapText="1"/>
    </xf>
    <xf numFmtId="10" fontId="15" fillId="7" borderId="0" xfId="0" applyNumberFormat="1" applyFont="1" applyFill="1" applyAlignment="1">
      <alignment horizontal="center"/>
    </xf>
    <xf numFmtId="164" fontId="16" fillId="0" borderId="11" xfId="1" quotePrefix="1" applyNumberFormat="1" applyFont="1" applyFill="1" applyBorder="1" applyAlignment="1">
      <alignment horizontal="center" vertical="center"/>
    </xf>
    <xf numFmtId="10" fontId="21" fillId="0" borderId="9" xfId="0" applyNumberFormat="1" applyFont="1" applyBorder="1" applyAlignment="1">
      <alignment horizontal="left" vertical="top" wrapText="1"/>
    </xf>
    <xf numFmtId="10" fontId="34" fillId="5" borderId="9" xfId="0" quotePrefix="1" applyNumberFormat="1" applyFont="1" applyFill="1" applyBorder="1" applyAlignment="1">
      <alignment horizontal="left" vertical="top" wrapText="1"/>
    </xf>
    <xf numFmtId="10" fontId="34" fillId="5" borderId="9" xfId="0" applyNumberFormat="1" applyFont="1" applyFill="1" applyBorder="1" applyAlignment="1">
      <alignment horizontal="left" vertical="top" wrapText="1"/>
    </xf>
    <xf numFmtId="6" fontId="12" fillId="0" borderId="9" xfId="0" quotePrefix="1" applyNumberFormat="1" applyFont="1" applyBorder="1" applyAlignment="1">
      <alignment horizontal="left" vertical="top" wrapText="1"/>
    </xf>
    <xf numFmtId="6" fontId="14" fillId="0" borderId="12" xfId="0" quotePrefix="1" applyNumberFormat="1" applyFont="1" applyBorder="1" applyAlignment="1">
      <alignment horizontal="center" vertical="center"/>
    </xf>
    <xf numFmtId="6" fontId="14" fillId="4" borderId="20" xfId="0" applyNumberFormat="1" applyFont="1" applyFill="1" applyBorder="1" applyAlignment="1">
      <alignment horizontal="center" vertical="center"/>
    </xf>
    <xf numFmtId="10" fontId="17" fillId="4" borderId="23" xfId="7" applyNumberFormat="1" applyFont="1" applyFill="1" applyBorder="1" applyAlignment="1">
      <alignment horizontal="center" vertical="center" wrapText="1"/>
    </xf>
    <xf numFmtId="10" fontId="15" fillId="4" borderId="11" xfId="0" applyNumberFormat="1" applyFont="1" applyFill="1" applyBorder="1" applyAlignment="1">
      <alignment horizontal="center" vertical="center"/>
    </xf>
    <xf numFmtId="10" fontId="15" fillId="4" borderId="20" xfId="7" applyNumberFormat="1" applyFont="1" applyFill="1" applyBorder="1" applyAlignment="1">
      <alignment horizontal="center" vertical="center"/>
    </xf>
    <xf numFmtId="10" fontId="15" fillId="4" borderId="11" xfId="7" applyNumberFormat="1" applyFont="1" applyFill="1" applyBorder="1" applyAlignment="1">
      <alignment horizontal="center" vertical="center"/>
    </xf>
    <xf numFmtId="10" fontId="17" fillId="4" borderId="0" xfId="7" applyNumberFormat="1" applyFont="1" applyFill="1" applyBorder="1" applyAlignment="1">
      <alignment horizontal="center" vertical="center" wrapText="1"/>
    </xf>
    <xf numFmtId="2" fontId="19" fillId="4" borderId="9" xfId="0" quotePrefix="1" applyNumberFormat="1" applyFont="1" applyFill="1" applyBorder="1" applyAlignment="1">
      <alignment horizontal="center" vertical="center" wrapText="1"/>
    </xf>
    <xf numFmtId="6" fontId="16" fillId="0" borderId="20" xfId="0" applyNumberFormat="1" applyFont="1" applyBorder="1" applyAlignment="1">
      <alignment horizontal="center" vertical="center"/>
    </xf>
    <xf numFmtId="10" fontId="19" fillId="4" borderId="20" xfId="0" applyNumberFormat="1" applyFont="1" applyFill="1" applyBorder="1" applyAlignment="1">
      <alignment horizontal="center" vertical="center"/>
    </xf>
    <xf numFmtId="10" fontId="26" fillId="5" borderId="9" xfId="0" quotePrefix="1" applyNumberFormat="1" applyFont="1" applyFill="1" applyBorder="1" applyAlignment="1">
      <alignment horizontal="left" vertical="top" wrapText="1"/>
    </xf>
    <xf numFmtId="6" fontId="0" fillId="0" borderId="9" xfId="0" applyNumberFormat="1" applyBorder="1" applyAlignment="1">
      <alignment horizontal="left" vertical="top" wrapText="1"/>
    </xf>
    <xf numFmtId="0" fontId="15" fillId="5" borderId="9" xfId="0" applyFont="1" applyFill="1" applyBorder="1" applyAlignment="1">
      <alignment horizontal="center" vertical="center"/>
    </xf>
    <xf numFmtId="0" fontId="17" fillId="5" borderId="9" xfId="0" applyFont="1" applyFill="1" applyBorder="1" applyAlignment="1">
      <alignment horizontal="center" vertical="center"/>
    </xf>
    <xf numFmtId="0" fontId="15" fillId="5" borderId="9" xfId="0" applyFont="1" applyFill="1" applyBorder="1" applyAlignment="1">
      <alignment horizontal="center" vertical="center" wrapText="1"/>
    </xf>
    <xf numFmtId="0" fontId="17" fillId="5" borderId="9" xfId="0" applyFont="1" applyFill="1" applyBorder="1" applyAlignment="1">
      <alignment horizontal="center" vertical="center" wrapText="1"/>
    </xf>
    <xf numFmtId="0" fontId="22" fillId="0" borderId="9" xfId="0" quotePrefix="1" applyFont="1" applyBorder="1" applyAlignment="1">
      <alignment vertical="top" wrapText="1"/>
    </xf>
    <xf numFmtId="0" fontId="19" fillId="0" borderId="0" xfId="0" quotePrefix="1" applyFont="1" applyAlignment="1">
      <alignment horizontal="left" vertical="center" wrapText="1"/>
    </xf>
    <xf numFmtId="0" fontId="32" fillId="0" borderId="0" xfId="0" applyFont="1"/>
    <xf numFmtId="0" fontId="0" fillId="5" borderId="9" xfId="0" applyFill="1" applyBorder="1" applyAlignment="1">
      <alignment vertical="top" wrapText="1"/>
    </xf>
    <xf numFmtId="10" fontId="17" fillId="4" borderId="20" xfId="7" applyNumberFormat="1" applyFont="1" applyFill="1" applyBorder="1" applyAlignment="1">
      <alignment vertical="center" wrapText="1"/>
    </xf>
    <xf numFmtId="10" fontId="17" fillId="4" borderId="11" xfId="7" applyNumberFormat="1" applyFont="1" applyFill="1" applyBorder="1" applyAlignment="1">
      <alignment vertical="center" wrapText="1"/>
    </xf>
    <xf numFmtId="6" fontId="14" fillId="0" borderId="20" xfId="0" applyNumberFormat="1" applyFont="1" applyBorder="1" applyAlignment="1">
      <alignment vertical="center"/>
    </xf>
    <xf numFmtId="6" fontId="14" fillId="0" borderId="11" xfId="0" applyNumberFormat="1" applyFont="1" applyBorder="1" applyAlignment="1">
      <alignment vertical="center"/>
    </xf>
    <xf numFmtId="10" fontId="16" fillId="2" borderId="12" xfId="7" applyNumberFormat="1" applyFont="1" applyFill="1" applyBorder="1" applyAlignment="1">
      <alignment horizontal="center" vertical="center" wrapText="1"/>
    </xf>
    <xf numFmtId="10" fontId="16" fillId="2" borderId="20" xfId="7" applyNumberFormat="1" applyFont="1" applyFill="1" applyBorder="1" applyAlignment="1">
      <alignment horizontal="center" vertical="center" wrapText="1"/>
    </xf>
    <xf numFmtId="164" fontId="16" fillId="2" borderId="20" xfId="7" applyNumberFormat="1" applyFont="1" applyFill="1" applyBorder="1" applyAlignment="1">
      <alignment horizontal="center" vertical="center" wrapText="1"/>
    </xf>
    <xf numFmtId="164" fontId="19" fillId="2" borderId="20" xfId="7" applyNumberFormat="1" applyFont="1" applyFill="1" applyBorder="1" applyAlignment="1">
      <alignment horizontal="center" vertical="center" wrapText="1"/>
    </xf>
    <xf numFmtId="0" fontId="14" fillId="0" borderId="0" xfId="0" applyFont="1" applyAlignment="1">
      <alignment horizontal="center" wrapText="1"/>
    </xf>
    <xf numFmtId="0" fontId="17" fillId="4" borderId="12" xfId="0" applyFont="1" applyFill="1" applyBorder="1" applyAlignment="1">
      <alignment horizontal="left" vertical="center" wrapText="1"/>
    </xf>
    <xf numFmtId="164" fontId="16" fillId="0" borderId="12" xfId="1" applyNumberFormat="1" applyFont="1" applyFill="1" applyBorder="1" applyAlignment="1">
      <alignment horizontal="center" vertical="center" wrapText="1"/>
    </xf>
    <xf numFmtId="10" fontId="17" fillId="4" borderId="27" xfId="7" applyNumberFormat="1" applyFont="1" applyFill="1" applyBorder="1" applyAlignment="1">
      <alignment horizontal="center" vertical="center" wrapText="1"/>
    </xf>
    <xf numFmtId="10" fontId="15" fillId="0" borderId="9" xfId="0" applyNumberFormat="1" applyFont="1" applyBorder="1" applyAlignment="1">
      <alignment horizontal="center"/>
    </xf>
    <xf numFmtId="164" fontId="16" fillId="4" borderId="25" xfId="1" applyNumberFormat="1" applyFont="1" applyFill="1" applyBorder="1" applyAlignment="1">
      <alignment horizontal="center" vertical="center"/>
    </xf>
    <xf numFmtId="10" fontId="17" fillId="4" borderId="26" xfId="1" applyNumberFormat="1" applyFont="1" applyFill="1" applyBorder="1" applyAlignment="1">
      <alignment horizontal="center" vertical="center"/>
    </xf>
    <xf numFmtId="10" fontId="15" fillId="4" borderId="11" xfId="7" applyNumberFormat="1" applyFont="1" applyFill="1" applyBorder="1" applyAlignment="1">
      <alignment horizontal="center" vertical="center" wrapText="1"/>
    </xf>
    <xf numFmtId="10" fontId="17" fillId="4" borderId="27" xfId="1" applyNumberFormat="1" applyFont="1" applyFill="1" applyBorder="1" applyAlignment="1">
      <alignment horizontal="center" vertical="center"/>
    </xf>
    <xf numFmtId="164" fontId="16" fillId="0" borderId="26" xfId="1" applyNumberFormat="1" applyFont="1" applyFill="1" applyBorder="1" applyAlignment="1">
      <alignment horizontal="center" vertical="center"/>
    </xf>
    <xf numFmtId="164" fontId="16" fillId="0" borderId="20" xfId="0" applyNumberFormat="1" applyFont="1" applyBorder="1" applyAlignment="1">
      <alignment horizontal="center" vertical="top" wrapText="1"/>
    </xf>
    <xf numFmtId="164" fontId="16" fillId="0" borderId="11" xfId="0" applyNumberFormat="1" applyFont="1" applyBorder="1" applyAlignment="1">
      <alignment horizontal="center" vertical="top" wrapText="1"/>
    </xf>
    <xf numFmtId="164" fontId="16" fillId="0" borderId="27" xfId="1" applyNumberFormat="1" applyFont="1" applyFill="1" applyBorder="1" applyAlignment="1">
      <alignment horizontal="center" vertical="center"/>
    </xf>
    <xf numFmtId="10" fontId="15" fillId="4" borderId="20" xfId="0" applyNumberFormat="1" applyFont="1" applyFill="1" applyBorder="1" applyAlignment="1">
      <alignment horizontal="center" vertical="center"/>
    </xf>
    <xf numFmtId="6"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wrapText="1"/>
    </xf>
    <xf numFmtId="6" fontId="16" fillId="4" borderId="20" xfId="0" applyNumberFormat="1" applyFont="1" applyFill="1" applyBorder="1" applyAlignment="1">
      <alignment horizontal="center" vertical="center"/>
    </xf>
    <xf numFmtId="10" fontId="17" fillId="4" borderId="20" xfId="0" applyNumberFormat="1" applyFont="1" applyFill="1" applyBorder="1" applyAlignment="1">
      <alignment horizontal="center" vertical="center"/>
    </xf>
    <xf numFmtId="6" fontId="19" fillId="0" borderId="11" xfId="0" applyNumberFormat="1" applyFont="1" applyBorder="1" applyAlignment="1">
      <alignment horizontal="center" vertical="center"/>
    </xf>
    <xf numFmtId="0" fontId="36" fillId="4" borderId="9" xfId="0" applyFont="1" applyFill="1" applyBorder="1" applyAlignment="1">
      <alignment horizontal="center" vertical="center" wrapText="1"/>
    </xf>
    <xf numFmtId="6" fontId="14" fillId="0" borderId="12" xfId="0" applyNumberFormat="1" applyFont="1" applyBorder="1" applyAlignment="1">
      <alignment horizontal="center" vertical="center" wrapText="1"/>
    </xf>
    <xf numFmtId="40" fontId="19" fillId="4" borderId="9" xfId="0" applyNumberFormat="1" applyFont="1" applyFill="1" applyBorder="1" applyAlignment="1">
      <alignment horizontal="center" vertical="center" wrapText="1"/>
    </xf>
    <xf numFmtId="0" fontId="39" fillId="0" borderId="9" xfId="0" applyFont="1" applyBorder="1" applyAlignment="1">
      <alignment horizontal="center" vertical="center" wrapText="1"/>
    </xf>
    <xf numFmtId="164" fontId="16" fillId="0" borderId="25" xfId="1" applyNumberFormat="1" applyFont="1" applyFill="1" applyBorder="1" applyAlignment="1">
      <alignment horizontal="center" vertical="center"/>
    </xf>
    <xf numFmtId="10" fontId="40" fillId="4" borderId="11" xfId="7" applyNumberFormat="1" applyFont="1" applyFill="1" applyBorder="1" applyAlignment="1">
      <alignment horizontal="center" vertical="center" wrapText="1"/>
    </xf>
    <xf numFmtId="164" fontId="39" fillId="4" borderId="20" xfId="1" applyNumberFormat="1" applyFont="1" applyFill="1" applyBorder="1" applyAlignment="1">
      <alignment horizontal="center" vertical="center"/>
    </xf>
    <xf numFmtId="6" fontId="14" fillId="4" borderId="12" xfId="0" applyNumberFormat="1" applyFont="1" applyFill="1" applyBorder="1" applyAlignment="1">
      <alignment horizontal="center" vertical="center" wrapText="1"/>
    </xf>
    <xf numFmtId="0" fontId="39" fillId="0" borderId="9" xfId="0" applyFont="1" applyBorder="1" applyAlignment="1">
      <alignment horizontal="center" vertical="top" wrapText="1"/>
    </xf>
    <xf numFmtId="0" fontId="12" fillId="0" borderId="0" xfId="0" applyFont="1"/>
    <xf numFmtId="0" fontId="9" fillId="0" borderId="0" xfId="4" applyAlignment="1" applyProtection="1"/>
    <xf numFmtId="0" fontId="2" fillId="0" borderId="9" xfId="0" applyFont="1" applyBorder="1" applyAlignment="1">
      <alignment vertical="top" wrapText="1"/>
    </xf>
    <xf numFmtId="0" fontId="36" fillId="4" borderId="9" xfId="0" applyFont="1" applyFill="1" applyBorder="1" applyAlignment="1">
      <alignment horizontal="center" vertical="top"/>
    </xf>
    <xf numFmtId="0" fontId="41" fillId="2" borderId="0" xfId="2" applyFont="1" applyFill="1"/>
    <xf numFmtId="0" fontId="41" fillId="0" borderId="0" xfId="0" applyFont="1"/>
    <xf numFmtId="0" fontId="44" fillId="9" borderId="27" xfId="0" applyFont="1" applyFill="1" applyBorder="1"/>
    <xf numFmtId="0" fontId="44" fillId="9" borderId="11" xfId="0" applyFont="1" applyFill="1" applyBorder="1"/>
    <xf numFmtId="0" fontId="44" fillId="9" borderId="24" xfId="0" applyFont="1" applyFill="1" applyBorder="1"/>
    <xf numFmtId="0" fontId="41" fillId="0" borderId="17" xfId="0" applyFont="1" applyBorder="1" applyAlignment="1">
      <alignment vertical="center"/>
    </xf>
    <xf numFmtId="0" fontId="41" fillId="0" borderId="0" xfId="0" applyFont="1" applyAlignment="1">
      <alignment vertical="top"/>
    </xf>
    <xf numFmtId="0" fontId="45" fillId="0" borderId="0" xfId="0" applyFont="1" applyAlignment="1">
      <alignment vertical="top" wrapText="1"/>
    </xf>
    <xf numFmtId="0" fontId="4" fillId="0" borderId="0" xfId="3" applyFont="1" applyAlignment="1">
      <alignment horizontal="center"/>
    </xf>
    <xf numFmtId="0" fontId="11" fillId="2" borderId="6" xfId="2" applyFont="1" applyFill="1" applyBorder="1" applyAlignment="1">
      <alignment horizontal="left" vertical="top"/>
    </xf>
    <xf numFmtId="0" fontId="11" fillId="2" borderId="7" xfId="2" applyFont="1" applyFill="1" applyBorder="1" applyAlignment="1">
      <alignment horizontal="left" vertical="top"/>
    </xf>
    <xf numFmtId="0" fontId="11" fillId="2" borderId="8" xfId="2" applyFont="1" applyFill="1" applyBorder="1" applyAlignment="1">
      <alignment horizontal="left" vertical="top"/>
    </xf>
    <xf numFmtId="0" fontId="5" fillId="2" borderId="0" xfId="2" applyFont="1" applyFill="1" applyAlignment="1">
      <alignment horizontal="center" vertical="center" wrapText="1"/>
    </xf>
    <xf numFmtId="0" fontId="6" fillId="2" borderId="0" xfId="2" applyFont="1" applyFill="1" applyAlignment="1">
      <alignment horizontal="center" vertical="center" wrapText="1"/>
    </xf>
    <xf numFmtId="0" fontId="3" fillId="2" borderId="0" xfId="2" applyFill="1"/>
    <xf numFmtId="0" fontId="8" fillId="2" borderId="0" xfId="2" applyFont="1" applyFill="1" applyAlignment="1">
      <alignment horizontal="center" vertical="center"/>
    </xf>
    <xf numFmtId="0" fontId="5" fillId="2" borderId="0" xfId="2" applyFont="1" applyFill="1" applyAlignment="1">
      <alignment horizontal="left" vertical="center"/>
    </xf>
    <xf numFmtId="0" fontId="11" fillId="2" borderId="1" xfId="2" applyFont="1" applyFill="1" applyBorder="1" applyAlignment="1">
      <alignment horizontal="left" vertical="top" wrapText="1"/>
    </xf>
    <xf numFmtId="0" fontId="11" fillId="2" borderId="2" xfId="2" applyFont="1" applyFill="1" applyBorder="1" applyAlignment="1">
      <alignment horizontal="left" vertical="top" wrapText="1"/>
    </xf>
    <xf numFmtId="0" fontId="11" fillId="2" borderId="3" xfId="2" applyFont="1" applyFill="1" applyBorder="1" applyAlignment="1">
      <alignment horizontal="left" vertical="top" wrapText="1"/>
    </xf>
    <xf numFmtId="0" fontId="11" fillId="2" borderId="4" xfId="2" applyFont="1" applyFill="1" applyBorder="1" applyAlignment="1">
      <alignment horizontal="left" vertical="top" wrapText="1"/>
    </xf>
    <xf numFmtId="0" fontId="11" fillId="2" borderId="0" xfId="2" applyFont="1" applyFill="1" applyAlignment="1">
      <alignment horizontal="left" vertical="top" wrapText="1"/>
    </xf>
    <xf numFmtId="0" fontId="11" fillId="2" borderId="5" xfId="2" applyFont="1" applyFill="1" applyBorder="1" applyAlignment="1">
      <alignment horizontal="left" vertical="top" wrapText="1"/>
    </xf>
    <xf numFmtId="0" fontId="46" fillId="2" borderId="0" xfId="2" applyFont="1" applyFill="1" applyAlignment="1">
      <alignment horizontal="left" vertical="top"/>
    </xf>
    <xf numFmtId="0" fontId="42" fillId="8" borderId="0" xfId="0" applyFont="1" applyFill="1" applyAlignment="1">
      <alignment horizontal="center" vertical="center"/>
    </xf>
    <xf numFmtId="0" fontId="2" fillId="2" borderId="12" xfId="0" applyFont="1" applyFill="1" applyBorder="1" applyAlignment="1">
      <alignment vertical="top" wrapText="1"/>
    </xf>
    <xf numFmtId="0" fontId="0" fillId="0" borderId="11" xfId="0" applyBorder="1" applyAlignment="1">
      <alignment vertical="top" wrapText="1"/>
    </xf>
    <xf numFmtId="0" fontId="2" fillId="2" borderId="20" xfId="0" applyFont="1" applyFill="1" applyBorder="1" applyAlignment="1">
      <alignment vertical="top" wrapText="1"/>
    </xf>
    <xf numFmtId="0" fontId="2" fillId="2" borderId="11" xfId="0" applyFont="1" applyFill="1" applyBorder="1" applyAlignment="1">
      <alignment vertical="top" wrapText="1"/>
    </xf>
    <xf numFmtId="0" fontId="13" fillId="2" borderId="7" xfId="0" applyFont="1" applyFill="1" applyBorder="1" applyAlignment="1">
      <alignment horizontal="center"/>
    </xf>
    <xf numFmtId="0" fontId="2" fillId="0" borderId="20" xfId="0" applyFont="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wrapText="1"/>
    </xf>
    <xf numFmtId="0" fontId="0" fillId="0" borderId="11" xfId="0" applyBorder="1" applyAlignment="1">
      <alignment horizontal="left" vertical="top" wrapText="1"/>
    </xf>
    <xf numFmtId="0" fontId="2" fillId="0" borderId="22" xfId="0" applyFont="1" applyBorder="1" applyAlignment="1">
      <alignment horizontal="center" vertical="center" wrapText="1"/>
    </xf>
    <xf numFmtId="0" fontId="39" fillId="0" borderId="10" xfId="0" quotePrefix="1" applyFont="1" applyBorder="1" applyAlignment="1">
      <alignment horizontal="left" vertical="top" wrapText="1"/>
    </xf>
    <xf numFmtId="0" fontId="39" fillId="0" borderId="14" xfId="0" quotePrefix="1" applyFont="1" applyBorder="1" applyAlignment="1">
      <alignment horizontal="left" vertical="top" wrapText="1"/>
    </xf>
    <xf numFmtId="0" fontId="39" fillId="0" borderId="13" xfId="0" quotePrefix="1" applyFont="1" applyBorder="1" applyAlignment="1">
      <alignment horizontal="left" vertical="top" wrapText="1"/>
    </xf>
    <xf numFmtId="6" fontId="14" fillId="0" borderId="12" xfId="0" applyNumberFormat="1" applyFont="1" applyBorder="1" applyAlignment="1">
      <alignment horizontal="center" vertical="center"/>
    </xf>
    <xf numFmtId="6" fontId="14" fillId="0" borderId="20" xfId="0" applyNumberFormat="1" applyFont="1" applyBorder="1" applyAlignment="1">
      <alignment horizontal="center" vertical="center"/>
    </xf>
    <xf numFmtId="6" fontId="14" fillId="0" borderId="11" xfId="0" applyNumberFormat="1" applyFont="1" applyBorder="1" applyAlignment="1">
      <alignment horizontal="center" vertical="center"/>
    </xf>
    <xf numFmtId="6" fontId="14" fillId="0" borderId="26" xfId="0" applyNumberFormat="1" applyFont="1" applyBorder="1" applyAlignment="1">
      <alignment horizontal="center" vertical="center"/>
    </xf>
    <xf numFmtId="10" fontId="17" fillId="4" borderId="12" xfId="7" applyNumberFormat="1" applyFont="1" applyFill="1" applyBorder="1" applyAlignment="1">
      <alignment horizontal="center" vertical="center" wrapText="1"/>
    </xf>
    <xf numFmtId="10" fontId="17" fillId="4" borderId="20" xfId="7" applyNumberFormat="1" applyFont="1" applyFill="1" applyBorder="1" applyAlignment="1">
      <alignment horizontal="center" vertical="center" wrapText="1"/>
    </xf>
    <xf numFmtId="10" fontId="17" fillId="4" borderId="11" xfId="7" applyNumberFormat="1" applyFont="1" applyFill="1" applyBorder="1" applyAlignment="1">
      <alignment horizontal="center" vertical="center" wrapText="1"/>
    </xf>
    <xf numFmtId="0" fontId="19" fillId="0" borderId="9" xfId="0" quotePrefix="1" applyFont="1" applyBorder="1" applyAlignment="1">
      <alignment horizontal="left" vertical="center" wrapText="1"/>
    </xf>
    <xf numFmtId="0" fontId="17" fillId="6" borderId="9" xfId="0" quotePrefix="1" applyFont="1" applyFill="1" applyBorder="1" applyAlignment="1">
      <alignment horizontal="left" vertical="center" wrapText="1"/>
    </xf>
    <xf numFmtId="0" fontId="15" fillId="6" borderId="9" xfId="0" quotePrefix="1" applyFont="1" applyFill="1" applyBorder="1" applyAlignment="1">
      <alignment horizontal="left"/>
    </xf>
    <xf numFmtId="2" fontId="19" fillId="0" borderId="9" xfId="0" quotePrefix="1" applyNumberFormat="1" applyFont="1" applyBorder="1" applyAlignment="1">
      <alignment horizontal="left" vertical="center" wrapText="1"/>
    </xf>
    <xf numFmtId="0" fontId="15" fillId="0" borderId="0" xfId="0" applyFont="1" applyAlignment="1">
      <alignment horizontal="center" vertical="center" wrapText="1"/>
    </xf>
    <xf numFmtId="0" fontId="24" fillId="5" borderId="9" xfId="0" applyFont="1" applyFill="1" applyBorder="1" applyAlignment="1">
      <alignment horizontal="left" vertical="center" wrapText="1"/>
    </xf>
    <xf numFmtId="0" fontId="17" fillId="4" borderId="21" xfId="0" applyFont="1" applyFill="1" applyBorder="1" applyAlignment="1">
      <alignment horizontal="left" vertical="center" wrapText="1"/>
    </xf>
    <xf numFmtId="0" fontId="17" fillId="4" borderId="23" xfId="0" applyFont="1" applyFill="1" applyBorder="1" applyAlignment="1">
      <alignment horizontal="left" vertical="center" wrapText="1"/>
    </xf>
    <xf numFmtId="0" fontId="17" fillId="4" borderId="24" xfId="0" applyFont="1" applyFill="1" applyBorder="1" applyAlignment="1">
      <alignment horizontal="left" vertical="center" wrapText="1"/>
    </xf>
    <xf numFmtId="0" fontId="16" fillId="0" borderId="21" xfId="0" applyFont="1" applyBorder="1" applyAlignment="1">
      <alignment horizontal="left" vertical="center" wrapText="1"/>
    </xf>
    <xf numFmtId="0" fontId="16" fillId="0" borderId="23" xfId="0" applyFont="1" applyBorder="1" applyAlignment="1">
      <alignment horizontal="left" vertical="center" wrapText="1"/>
    </xf>
    <xf numFmtId="0" fontId="16" fillId="0" borderId="24" xfId="0" applyFont="1" applyBorder="1" applyAlignment="1">
      <alignment horizontal="left" vertical="center" wrapText="1"/>
    </xf>
    <xf numFmtId="0" fontId="16" fillId="0" borderId="12" xfId="0" applyFont="1" applyBorder="1" applyAlignment="1">
      <alignment horizontal="left" vertical="center" wrapText="1"/>
    </xf>
    <xf numFmtId="0" fontId="16" fillId="0" borderId="20" xfId="0" applyFont="1" applyBorder="1" applyAlignment="1">
      <alignment horizontal="left" vertical="center" wrapText="1"/>
    </xf>
    <xf numFmtId="0" fontId="17" fillId="4" borderId="12"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11" xfId="0" applyFont="1" applyFill="1" applyBorder="1" applyAlignment="1">
      <alignment horizontal="left" vertical="center" wrapText="1"/>
    </xf>
    <xf numFmtId="164" fontId="16" fillId="0" borderId="21" xfId="1" applyNumberFormat="1" applyFont="1" applyFill="1" applyBorder="1" applyAlignment="1">
      <alignment horizontal="center" vertical="center"/>
    </xf>
    <xf numFmtId="164" fontId="16" fillId="0" borderId="23" xfId="1" applyNumberFormat="1" applyFont="1" applyFill="1" applyBorder="1" applyAlignment="1">
      <alignment horizontal="center" vertical="center"/>
    </xf>
    <xf numFmtId="10" fontId="17" fillId="4" borderId="23" xfId="7" applyNumberFormat="1" applyFont="1" applyFill="1" applyBorder="1" applyAlignment="1">
      <alignment horizontal="center" vertical="center" wrapText="1"/>
    </xf>
    <xf numFmtId="6" fontId="14" fillId="0" borderId="12" xfId="0" applyNumberFormat="1" applyFont="1" applyBorder="1" applyAlignment="1">
      <alignment horizontal="center" vertical="center" wrapText="1"/>
    </xf>
    <xf numFmtId="6" fontId="14" fillId="0" borderId="23" xfId="0" applyNumberFormat="1" applyFont="1" applyBorder="1" applyAlignment="1">
      <alignment horizontal="center" vertical="center"/>
    </xf>
    <xf numFmtId="10" fontId="17" fillId="4" borderId="12" xfId="7" applyNumberFormat="1" applyFont="1" applyFill="1" applyBorder="1" applyAlignment="1">
      <alignment horizontal="center" vertical="top" wrapText="1"/>
    </xf>
    <xf numFmtId="10" fontId="17" fillId="4" borderId="20" xfId="7" applyNumberFormat="1" applyFont="1" applyFill="1" applyBorder="1" applyAlignment="1">
      <alignment horizontal="center" vertical="top" wrapText="1"/>
    </xf>
    <xf numFmtId="10" fontId="17" fillId="4" borderId="11" xfId="7" applyNumberFormat="1" applyFont="1" applyFill="1" applyBorder="1" applyAlignment="1">
      <alignment horizontal="center" vertical="top" wrapText="1"/>
    </xf>
    <xf numFmtId="164" fontId="16" fillId="4" borderId="12" xfId="0" applyNumberFormat="1" applyFont="1" applyFill="1" applyBorder="1" applyAlignment="1">
      <alignment horizontal="center" vertical="center" wrapText="1"/>
    </xf>
    <xf numFmtId="164" fontId="16" fillId="4" borderId="20" xfId="0" applyNumberFormat="1" applyFont="1" applyFill="1" applyBorder="1" applyAlignment="1">
      <alignment horizontal="center" vertical="center" wrapText="1"/>
    </xf>
    <xf numFmtId="164" fontId="16" fillId="4" borderId="11" xfId="0" applyNumberFormat="1" applyFont="1" applyFill="1" applyBorder="1" applyAlignment="1">
      <alignment horizontal="center" vertical="center" wrapText="1"/>
    </xf>
    <xf numFmtId="0" fontId="19" fillId="0" borderId="17" xfId="0" quotePrefix="1" applyFont="1" applyBorder="1" applyAlignment="1">
      <alignment horizontal="left" vertical="center" wrapText="1"/>
    </xf>
    <xf numFmtId="0" fontId="19" fillId="0" borderId="18" xfId="0" quotePrefix="1" applyFont="1" applyBorder="1" applyAlignment="1">
      <alignment horizontal="left" vertical="center" wrapText="1"/>
    </xf>
    <xf numFmtId="0" fontId="19" fillId="0" borderId="19" xfId="0" quotePrefix="1" applyFont="1" applyBorder="1" applyAlignment="1">
      <alignment horizontal="left" vertical="center" wrapText="1"/>
    </xf>
    <xf numFmtId="2" fontId="19" fillId="0" borderId="17" xfId="0" quotePrefix="1" applyNumberFormat="1" applyFont="1" applyBorder="1" applyAlignment="1">
      <alignment horizontal="left" vertical="center" wrapText="1"/>
    </xf>
    <xf numFmtId="2" fontId="19" fillId="0" borderId="18" xfId="0" quotePrefix="1" applyNumberFormat="1" applyFont="1" applyBorder="1" applyAlignment="1">
      <alignment horizontal="left" vertical="center" wrapText="1"/>
    </xf>
    <xf numFmtId="2" fontId="19" fillId="0" borderId="19" xfId="0" quotePrefix="1" applyNumberFormat="1" applyFont="1" applyBorder="1" applyAlignment="1">
      <alignment horizontal="left" vertical="center" wrapText="1"/>
    </xf>
    <xf numFmtId="6" fontId="14" fillId="0" borderId="21" xfId="0" applyNumberFormat="1" applyFont="1" applyBorder="1" applyAlignment="1">
      <alignment horizontal="center" vertical="center"/>
    </xf>
    <xf numFmtId="6" fontId="14" fillId="0" borderId="24" xfId="0" applyNumberFormat="1" applyFont="1" applyBorder="1" applyAlignment="1">
      <alignment horizontal="center" vertical="center"/>
    </xf>
    <xf numFmtId="9" fontId="17" fillId="4" borderId="12" xfId="7" applyFont="1" applyFill="1" applyBorder="1" applyAlignment="1">
      <alignment horizontal="center" vertical="center" wrapText="1"/>
    </xf>
    <xf numFmtId="9" fontId="17" fillId="4" borderId="20" xfId="7" applyFont="1" applyFill="1" applyBorder="1" applyAlignment="1">
      <alignment horizontal="center" vertical="center" wrapText="1"/>
    </xf>
    <xf numFmtId="9" fontId="17" fillId="4" borderId="11" xfId="7" applyFont="1" applyFill="1" applyBorder="1" applyAlignment="1">
      <alignment horizontal="center" vertical="center" wrapText="1"/>
    </xf>
    <xf numFmtId="6" fontId="14" fillId="0" borderId="27" xfId="0" applyNumberFormat="1" applyFont="1" applyBorder="1" applyAlignment="1">
      <alignment horizontal="center" vertical="center"/>
    </xf>
    <xf numFmtId="164" fontId="16" fillId="0" borderId="20" xfId="1" applyNumberFormat="1" applyFont="1" applyFill="1" applyBorder="1" applyAlignment="1">
      <alignment horizontal="center" vertical="top"/>
    </xf>
    <xf numFmtId="164" fontId="16" fillId="0" borderId="11" xfId="1" applyNumberFormat="1" applyFont="1" applyFill="1" applyBorder="1" applyAlignment="1">
      <alignment horizontal="center" vertical="top"/>
    </xf>
    <xf numFmtId="0" fontId="17" fillId="6" borderId="17" xfId="0" quotePrefix="1" applyFont="1" applyFill="1" applyBorder="1" applyAlignment="1">
      <alignment horizontal="left" vertical="center" wrapText="1"/>
    </xf>
    <xf numFmtId="0" fontId="17" fillId="6" borderId="18" xfId="0" quotePrefix="1" applyFont="1" applyFill="1" applyBorder="1" applyAlignment="1">
      <alignment horizontal="left" vertical="center" wrapText="1"/>
    </xf>
    <xf numFmtId="0" fontId="17" fillId="6" borderId="19" xfId="0" quotePrefix="1" applyFont="1" applyFill="1" applyBorder="1" applyAlignment="1">
      <alignment horizontal="left" vertical="center" wrapText="1"/>
    </xf>
    <xf numFmtId="10" fontId="17" fillId="4" borderId="21" xfId="7" applyNumberFormat="1" applyFont="1" applyFill="1" applyBorder="1" applyAlignment="1">
      <alignment horizontal="center" vertical="center" wrapText="1"/>
    </xf>
    <xf numFmtId="10" fontId="17" fillId="4" borderId="24" xfId="7" applyNumberFormat="1" applyFont="1" applyFill="1" applyBorder="1" applyAlignment="1">
      <alignment horizontal="center" vertical="center" wrapText="1"/>
    </xf>
    <xf numFmtId="0" fontId="16" fillId="0" borderId="11" xfId="0" applyFont="1" applyBorder="1" applyAlignment="1">
      <alignment horizontal="left" vertical="center" wrapText="1"/>
    </xf>
    <xf numFmtId="164" fontId="16" fillId="0" borderId="12" xfId="0" applyNumberFormat="1" applyFont="1" applyBorder="1" applyAlignment="1">
      <alignment horizontal="center" vertical="center" wrapText="1"/>
    </xf>
    <xf numFmtId="164" fontId="16" fillId="0" borderId="20" xfId="0" applyNumberFormat="1" applyFont="1" applyBorder="1" applyAlignment="1">
      <alignment horizontal="center" vertical="center" wrapText="1"/>
    </xf>
    <xf numFmtId="164" fontId="16" fillId="0" borderId="11" xfId="0" applyNumberFormat="1" applyFont="1" applyBorder="1" applyAlignment="1">
      <alignment horizontal="center" vertical="center" wrapText="1"/>
    </xf>
    <xf numFmtId="10" fontId="19" fillId="4" borderId="12" xfId="7" applyNumberFormat="1" applyFont="1" applyFill="1" applyBorder="1" applyAlignment="1">
      <alignment horizontal="center" vertical="center" wrapText="1"/>
    </xf>
    <xf numFmtId="10" fontId="19" fillId="4" borderId="20" xfId="7" applyNumberFormat="1" applyFont="1" applyFill="1" applyBorder="1" applyAlignment="1">
      <alignment horizontal="center" vertical="center" wrapText="1"/>
    </xf>
    <xf numFmtId="10" fontId="19" fillId="4" borderId="11" xfId="7" applyNumberFormat="1" applyFont="1" applyFill="1" applyBorder="1" applyAlignment="1">
      <alignment horizontal="center" vertical="center" wrapText="1"/>
    </xf>
    <xf numFmtId="0" fontId="16" fillId="0" borderId="10" xfId="0" quotePrefix="1" applyFont="1" applyBorder="1" applyAlignment="1">
      <alignment horizontal="left" vertical="top" wrapText="1"/>
    </xf>
    <xf numFmtId="0" fontId="16" fillId="0" borderId="14" xfId="0" quotePrefix="1" applyFont="1" applyBorder="1" applyAlignment="1">
      <alignment horizontal="left" vertical="top" wrapText="1"/>
    </xf>
    <xf numFmtId="0" fontId="16" fillId="0" borderId="13" xfId="0" quotePrefix="1" applyFont="1" applyBorder="1" applyAlignment="1">
      <alignment horizontal="left" vertical="top" wrapText="1"/>
    </xf>
    <xf numFmtId="10" fontId="15" fillId="4" borderId="20" xfId="7" applyNumberFormat="1" applyFont="1" applyFill="1" applyBorder="1" applyAlignment="1">
      <alignment horizontal="center" vertical="top" wrapText="1"/>
    </xf>
    <xf numFmtId="10" fontId="15" fillId="4" borderId="11" xfId="7" applyNumberFormat="1" applyFont="1" applyFill="1" applyBorder="1" applyAlignment="1">
      <alignment horizontal="center" vertical="top" wrapText="1"/>
    </xf>
    <xf numFmtId="6" fontId="14" fillId="0" borderId="20" xfId="0" applyNumberFormat="1" applyFont="1" applyBorder="1" applyAlignment="1">
      <alignment horizontal="center" vertical="center" wrapText="1"/>
    </xf>
    <xf numFmtId="6" fontId="14" fillId="0" borderId="11" xfId="0" applyNumberFormat="1" applyFont="1" applyBorder="1" applyAlignment="1">
      <alignment horizontal="center" vertical="center" wrapText="1"/>
    </xf>
    <xf numFmtId="164" fontId="16" fillId="0" borderId="12" xfId="1" applyNumberFormat="1" applyFont="1" applyFill="1" applyBorder="1" applyAlignment="1">
      <alignment horizontal="center" vertical="center"/>
    </xf>
    <xf numFmtId="164" fontId="16" fillId="0" borderId="20" xfId="1" applyNumberFormat="1" applyFont="1" applyFill="1" applyBorder="1" applyAlignment="1">
      <alignment horizontal="center" vertical="center"/>
    </xf>
    <xf numFmtId="164" fontId="16" fillId="0" borderId="11" xfId="1" applyNumberFormat="1" applyFont="1" applyFill="1" applyBorder="1" applyAlignment="1">
      <alignment horizontal="center" vertical="center"/>
    </xf>
    <xf numFmtId="0" fontId="15" fillId="6" borderId="17" xfId="0" quotePrefix="1" applyFont="1" applyFill="1" applyBorder="1" applyAlignment="1">
      <alignment horizontal="left" vertical="center"/>
    </xf>
    <xf numFmtId="0" fontId="15" fillId="6" borderId="18" xfId="0" quotePrefix="1" applyFont="1" applyFill="1" applyBorder="1" applyAlignment="1">
      <alignment horizontal="left" vertical="center"/>
    </xf>
    <xf numFmtId="0" fontId="15" fillId="6" borderId="19" xfId="0" quotePrefix="1" applyFont="1" applyFill="1" applyBorder="1" applyAlignment="1">
      <alignment horizontal="left" vertical="center"/>
    </xf>
    <xf numFmtId="0" fontId="15" fillId="6" borderId="17" xfId="0" quotePrefix="1" applyFont="1" applyFill="1" applyBorder="1" applyAlignment="1">
      <alignment vertical="center"/>
    </xf>
    <xf numFmtId="0" fontId="15" fillId="6" borderId="18" xfId="0" quotePrefix="1" applyFont="1" applyFill="1" applyBorder="1" applyAlignment="1">
      <alignment vertical="center"/>
    </xf>
    <xf numFmtId="0" fontId="15" fillId="6" borderId="19" xfId="0" quotePrefix="1" applyFont="1" applyFill="1" applyBorder="1" applyAlignment="1">
      <alignment vertical="center"/>
    </xf>
    <xf numFmtId="164" fontId="16" fillId="0" borderId="12" xfId="1" applyNumberFormat="1" applyFont="1" applyFill="1" applyBorder="1" applyAlignment="1">
      <alignment horizontal="center" vertical="center" wrapText="1"/>
    </xf>
    <xf numFmtId="164" fontId="16" fillId="0" borderId="20" xfId="1" applyNumberFormat="1" applyFont="1" applyFill="1" applyBorder="1" applyAlignment="1">
      <alignment horizontal="center" vertical="center" wrapText="1"/>
    </xf>
    <xf numFmtId="164" fontId="16" fillId="0" borderId="11" xfId="1" applyNumberFormat="1" applyFont="1" applyFill="1" applyBorder="1" applyAlignment="1">
      <alignment horizontal="center" vertical="center" wrapText="1"/>
    </xf>
    <xf numFmtId="6" fontId="14" fillId="0" borderId="28" xfId="0" applyNumberFormat="1" applyFont="1" applyBorder="1" applyAlignment="1">
      <alignment horizontal="center" vertical="center"/>
    </xf>
    <xf numFmtId="6" fontId="14" fillId="0" borderId="0" xfId="0" applyNumberFormat="1" applyFont="1" applyAlignment="1">
      <alignment horizontal="center" vertical="center"/>
    </xf>
    <xf numFmtId="6" fontId="14" fillId="0" borderId="22" xfId="0" applyNumberFormat="1" applyFont="1" applyBorder="1" applyAlignment="1">
      <alignment horizontal="center" vertical="center"/>
    </xf>
    <xf numFmtId="10" fontId="17" fillId="4" borderId="26" xfId="7" applyNumberFormat="1" applyFont="1" applyFill="1" applyBorder="1" applyAlignment="1">
      <alignment horizontal="center" vertical="center" wrapText="1"/>
    </xf>
    <xf numFmtId="10" fontId="17" fillId="4" borderId="27" xfId="7" applyNumberFormat="1" applyFont="1" applyFill="1" applyBorder="1" applyAlignment="1">
      <alignment horizontal="center" vertical="center" wrapText="1"/>
    </xf>
    <xf numFmtId="164" fontId="16" fillId="0" borderId="25" xfId="0" applyNumberFormat="1" applyFont="1" applyBorder="1" applyAlignment="1">
      <alignment horizontal="center" vertical="center" wrapText="1"/>
    </xf>
    <xf numFmtId="164" fontId="16" fillId="0" borderId="26" xfId="0" applyNumberFormat="1" applyFont="1" applyBorder="1" applyAlignment="1">
      <alignment horizontal="center" vertical="center" wrapText="1"/>
    </xf>
    <xf numFmtId="164" fontId="16" fillId="0" borderId="21" xfId="0" applyNumberFormat="1" applyFont="1" applyBorder="1" applyAlignment="1">
      <alignment horizontal="center" vertical="center" wrapText="1"/>
    </xf>
    <xf numFmtId="164" fontId="16" fillId="0" borderId="23" xfId="0" applyNumberFormat="1" applyFont="1" applyBorder="1" applyAlignment="1">
      <alignment horizontal="center" vertical="center" wrapText="1"/>
    </xf>
    <xf numFmtId="164" fontId="16" fillId="0" borderId="24" xfId="0" applyNumberFormat="1" applyFont="1" applyBorder="1" applyAlignment="1">
      <alignment horizontal="center" vertical="center" wrapText="1"/>
    </xf>
    <xf numFmtId="6" fontId="14" fillId="0" borderId="19" xfId="0" applyNumberFormat="1" applyFont="1" applyBorder="1" applyAlignment="1">
      <alignment horizontal="center" vertical="center"/>
    </xf>
    <xf numFmtId="164" fontId="16" fillId="0" borderId="20" xfId="0" applyNumberFormat="1" applyFont="1" applyBorder="1" applyAlignment="1">
      <alignment horizontal="center" vertical="top" wrapText="1"/>
    </xf>
    <xf numFmtId="164" fontId="16" fillId="0" borderId="11" xfId="0" applyNumberFormat="1" applyFont="1" applyBorder="1" applyAlignment="1">
      <alignment horizontal="center" vertical="top" wrapText="1"/>
    </xf>
    <xf numFmtId="0" fontId="15" fillId="6" borderId="17" xfId="0" quotePrefix="1" applyFont="1" applyFill="1" applyBorder="1" applyAlignment="1">
      <alignment horizontal="left"/>
    </xf>
    <xf numFmtId="0" fontId="15" fillId="6" borderId="18" xfId="0" quotePrefix="1" applyFont="1" applyFill="1" applyBorder="1" applyAlignment="1">
      <alignment horizontal="left"/>
    </xf>
    <xf numFmtId="6" fontId="14" fillId="0" borderId="18" xfId="0" applyNumberFormat="1" applyFont="1" applyBorder="1" applyAlignment="1">
      <alignment horizontal="center" vertical="center" wrapText="1"/>
    </xf>
    <xf numFmtId="6" fontId="14" fillId="0" borderId="18" xfId="0" applyNumberFormat="1" applyFont="1" applyBorder="1" applyAlignment="1">
      <alignment horizontal="center" vertical="center"/>
    </xf>
    <xf numFmtId="0" fontId="15" fillId="6" borderId="21" xfId="0" quotePrefix="1" applyFont="1" applyFill="1" applyBorder="1" applyAlignment="1">
      <alignment horizontal="left"/>
    </xf>
    <xf numFmtId="0" fontId="15" fillId="6" borderId="28" xfId="0" quotePrefix="1" applyFont="1" applyFill="1" applyBorder="1" applyAlignment="1">
      <alignment horizontal="left"/>
    </xf>
    <xf numFmtId="0" fontId="16" fillId="0" borderId="17" xfId="0" applyFont="1" applyBorder="1" applyAlignment="1">
      <alignment horizontal="left" vertical="center" wrapText="1"/>
    </xf>
    <xf numFmtId="164" fontId="16" fillId="0" borderId="20" xfId="1" applyNumberFormat="1" applyFont="1" applyFill="1" applyBorder="1" applyAlignment="1">
      <alignment horizontal="center" vertical="top" wrapText="1"/>
    </xf>
    <xf numFmtId="164" fontId="16" fillId="0" borderId="11" xfId="1" applyNumberFormat="1" applyFont="1" applyFill="1" applyBorder="1" applyAlignment="1">
      <alignment horizontal="center" vertical="top" wrapText="1"/>
    </xf>
    <xf numFmtId="6" fontId="14" fillId="0" borderId="9" xfId="0" applyNumberFormat="1" applyFont="1" applyBorder="1" applyAlignment="1">
      <alignment horizontal="center" vertical="center" wrapText="1"/>
    </xf>
    <xf numFmtId="6" fontId="14" fillId="0" borderId="9" xfId="0" applyNumberFormat="1" applyFont="1" applyBorder="1" applyAlignment="1">
      <alignment horizontal="center" vertical="center"/>
    </xf>
    <xf numFmtId="0" fontId="19" fillId="0" borderId="17" xfId="0" quotePrefix="1" applyFont="1" applyBorder="1" applyAlignment="1">
      <alignment horizontal="left" vertical="center"/>
    </xf>
    <xf numFmtId="0" fontId="19" fillId="0" borderId="18" xfId="0" quotePrefix="1" applyFont="1" applyBorder="1" applyAlignment="1">
      <alignment horizontal="left" vertical="center"/>
    </xf>
    <xf numFmtId="0" fontId="19" fillId="0" borderId="17" xfId="0" quotePrefix="1" applyFont="1" applyBorder="1"/>
    <xf numFmtId="0" fontId="19" fillId="0" borderId="18" xfId="0" quotePrefix="1" applyFont="1" applyBorder="1"/>
    <xf numFmtId="6" fontId="14" fillId="0" borderId="25" xfId="0" applyNumberFormat="1" applyFont="1" applyBorder="1" applyAlignment="1">
      <alignment horizontal="center" vertical="center"/>
    </xf>
    <xf numFmtId="6" fontId="14" fillId="0" borderId="20" xfId="0" applyNumberFormat="1" applyFont="1" applyBorder="1" applyAlignment="1">
      <alignment horizontal="center" vertical="top" wrapText="1"/>
    </xf>
    <xf numFmtId="6" fontId="14" fillId="0" borderId="11" xfId="0" applyNumberFormat="1" applyFont="1" applyBorder="1" applyAlignment="1">
      <alignment horizontal="center" vertical="top" wrapText="1"/>
    </xf>
    <xf numFmtId="10" fontId="17" fillId="4" borderId="28" xfId="7" applyNumberFormat="1" applyFont="1" applyFill="1" applyBorder="1" applyAlignment="1">
      <alignment horizontal="center" vertical="center" wrapText="1"/>
    </xf>
    <xf numFmtId="10" fontId="17" fillId="4" borderId="0" xfId="7" applyNumberFormat="1" applyFont="1" applyFill="1" applyBorder="1" applyAlignment="1">
      <alignment horizontal="center" vertical="center" wrapText="1"/>
    </xf>
    <xf numFmtId="10" fontId="17" fillId="4" borderId="22" xfId="7" applyNumberFormat="1" applyFont="1" applyFill="1" applyBorder="1" applyAlignment="1">
      <alignment horizontal="center" vertical="center" wrapText="1"/>
    </xf>
    <xf numFmtId="2" fontId="15" fillId="6" borderId="17" xfId="0" quotePrefix="1" applyNumberFormat="1" applyFont="1" applyFill="1" applyBorder="1" applyAlignment="1">
      <alignment horizontal="left"/>
    </xf>
    <xf numFmtId="2" fontId="15" fillId="6" borderId="18" xfId="0" quotePrefix="1" applyNumberFormat="1" applyFont="1" applyFill="1" applyBorder="1" applyAlignment="1">
      <alignment horizontal="left"/>
    </xf>
    <xf numFmtId="2" fontId="15" fillId="6" borderId="19" xfId="0" quotePrefix="1" applyNumberFormat="1" applyFont="1" applyFill="1" applyBorder="1" applyAlignment="1">
      <alignment horizontal="left"/>
    </xf>
    <xf numFmtId="10" fontId="17" fillId="4" borderId="25" xfId="7" applyNumberFormat="1" applyFont="1" applyFill="1" applyBorder="1" applyAlignment="1">
      <alignment horizontal="center" vertical="center" wrapText="1"/>
    </xf>
    <xf numFmtId="164" fontId="16" fillId="0" borderId="27" xfId="0" applyNumberFormat="1" applyFont="1" applyBorder="1" applyAlignment="1">
      <alignment horizontal="center" vertical="center" wrapText="1"/>
    </xf>
    <xf numFmtId="10" fontId="19" fillId="4" borderId="21" xfId="7" applyNumberFormat="1" applyFont="1" applyFill="1" applyBorder="1" applyAlignment="1">
      <alignment horizontal="center" vertical="center" wrapText="1"/>
    </xf>
    <xf numFmtId="10" fontId="19" fillId="4" borderId="23" xfId="7" applyNumberFormat="1" applyFont="1" applyFill="1" applyBorder="1" applyAlignment="1">
      <alignment horizontal="center" vertical="center" wrapText="1"/>
    </xf>
    <xf numFmtId="10" fontId="19" fillId="4" borderId="24" xfId="7" applyNumberFormat="1" applyFont="1" applyFill="1" applyBorder="1" applyAlignment="1">
      <alignment horizontal="center" vertical="center" wrapText="1"/>
    </xf>
  </cellXfs>
  <cellStyles count="8">
    <cellStyle name="Comma" xfId="1" builtinId="3"/>
    <cellStyle name="Hyperlink" xfId="4" builtinId="8"/>
    <cellStyle name="Normal" xfId="0" builtinId="0"/>
    <cellStyle name="Normal 3 2" xfId="2" xr:uid="{00000000-0005-0000-0000-000003000000}"/>
    <cellStyle name="Normal 4" xfId="6" xr:uid="{00000000-0005-0000-0000-000004000000}"/>
    <cellStyle name="Normal 4 2" xfId="3" xr:uid="{00000000-0005-0000-0000-000005000000}"/>
    <cellStyle name="Normal 5" xfId="5" xr:uid="{00000000-0005-0000-0000-000006000000}"/>
    <cellStyle name="Percent" xfId="7" builtinId="5"/>
  </cellStyles>
  <dxfs count="145">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strike val="0"/>
        <outline val="0"/>
        <shadow val="0"/>
        <u val="none"/>
        <vertAlign val="baseline"/>
        <sz val="12"/>
        <name val="Aptos Narrow"/>
        <family val="2"/>
        <scheme val="none"/>
      </font>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Aptos Narrow"/>
        <family val="2"/>
        <scheme val="none"/>
      </font>
      <fill>
        <patternFill patternType="solid">
          <fgColor indexed="64"/>
          <bgColor rgb="FFF2F2F2"/>
        </patternFill>
      </fill>
      <border diagonalUp="0" diagonalDown="0" outline="0">
        <left style="thin">
          <color indexed="64"/>
        </left>
        <right style="thin">
          <color indexed="64"/>
        </right>
        <top/>
        <bottom/>
      </border>
    </dxf>
  </dxfs>
  <tableStyles count="0" defaultTableStyle="TableStyleMedium2" defaultPivotStyle="PivotStyleLight16"/>
  <colors>
    <mruColors>
      <color rgb="FF0000CC"/>
      <color rgb="FF000000"/>
      <color rgb="FFCCFFCC"/>
      <color rgb="FF0066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803172"/>
          <a:ext cx="4876800" cy="1871570"/>
        </a:xfrm>
        <a:prstGeom prst="rect">
          <a:avLst/>
        </a:prstGeom>
      </xdr:spPr>
    </xdr:pic>
    <xdr:clientData/>
  </xdr:twoCellAnchor>
  <xdr:twoCellAnchor>
    <xdr:from>
      <xdr:col>0</xdr:col>
      <xdr:colOff>194757</xdr:colOff>
      <xdr:row>26</xdr:row>
      <xdr:rowOff>71212</xdr:rowOff>
    </xdr:from>
    <xdr:to>
      <xdr:col>10</xdr:col>
      <xdr:colOff>182788</xdr:colOff>
      <xdr:row>41</xdr:row>
      <xdr:rowOff>80736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94757" y="4879069"/>
          <a:ext cx="6065888" cy="2730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baseline="0">
              <a:solidFill>
                <a:schemeClr val="dk1"/>
              </a:solidFill>
              <a:latin typeface="Arial" pitchFamily="34" charset="0"/>
              <a:ea typeface="+mn-ea"/>
              <a:cs typeface="Arial" pitchFamily="34" charset="0"/>
            </a:rPr>
            <a:t>Limited Premium Whole Life  </a:t>
          </a:r>
        </a:p>
        <a:p>
          <a:pPr algn="ctr"/>
          <a:r>
            <a:rPr lang="en-US" sz="2800" b="1" baseline="0">
              <a:solidFill>
                <a:schemeClr val="dk1"/>
              </a:solidFill>
              <a:latin typeface="Arial" pitchFamily="34" charset="0"/>
              <a:ea typeface="+mn-ea"/>
              <a:cs typeface="Arial" pitchFamily="34" charset="0"/>
            </a:rPr>
            <a:t>with Payout</a:t>
          </a:r>
          <a:endParaRPr lang="en-US" sz="2800" b="1">
            <a:solidFill>
              <a:schemeClr val="dk1"/>
            </a:solidFill>
            <a:latin typeface="Arial" pitchFamily="34" charset="0"/>
            <a:ea typeface="+mn-ea"/>
            <a:cs typeface="Arial"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10</xdr:col>
      <xdr:colOff>2124075</xdr:colOff>
      <xdr:row>0</xdr:row>
      <xdr:rowOff>31750</xdr:rowOff>
    </xdr:from>
    <xdr:ext cx="1828462" cy="704850"/>
    <xdr:pic>
      <xdr:nvPicPr>
        <xdr:cNvPr id="2" name="Picture 1" descr="PIAS.p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12439650" y="31750"/>
          <a:ext cx="1828462" cy="704850"/>
        </a:xfrm>
        <a:prstGeom prst="rect">
          <a:avLst/>
        </a:prstGeom>
      </xdr:spPr>
    </xdr:pic>
    <xdr:clientData/>
  </xdr:oneCellAnchor>
  <xdr:oneCellAnchor>
    <xdr:from>
      <xdr:col>10</xdr:col>
      <xdr:colOff>2124075</xdr:colOff>
      <xdr:row>0</xdr:row>
      <xdr:rowOff>31750</xdr:rowOff>
    </xdr:from>
    <xdr:ext cx="1828462" cy="704850"/>
    <xdr:pic>
      <xdr:nvPicPr>
        <xdr:cNvPr id="3" name="Picture 2" descr="PIAS.p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stretch>
          <a:fillRect/>
        </a:stretch>
      </xdr:blipFill>
      <xdr:spPr>
        <a:xfrm>
          <a:off x="12439650" y="31750"/>
          <a:ext cx="1828462" cy="7048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2124075</xdr:colOff>
      <xdr:row>0</xdr:row>
      <xdr:rowOff>31750</xdr:rowOff>
    </xdr:from>
    <xdr:ext cx="1828462" cy="704850"/>
    <xdr:pic>
      <xdr:nvPicPr>
        <xdr:cNvPr id="2" name="Picture 1" descr="PIAS.pn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12439650" y="31750"/>
          <a:ext cx="1828462" cy="704850"/>
        </a:xfrm>
        <a:prstGeom prst="rect">
          <a:avLst/>
        </a:prstGeom>
      </xdr:spPr>
    </xdr:pic>
    <xdr:clientData/>
  </xdr:oneCellAnchor>
  <xdr:oneCellAnchor>
    <xdr:from>
      <xdr:col>6</xdr:col>
      <xdr:colOff>2124075</xdr:colOff>
      <xdr:row>0</xdr:row>
      <xdr:rowOff>31750</xdr:rowOff>
    </xdr:from>
    <xdr:ext cx="1828462" cy="704850"/>
    <xdr:pic>
      <xdr:nvPicPr>
        <xdr:cNvPr id="3" name="Picture 2" descr="PIAS.png">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stretch>
          <a:fillRect/>
        </a:stretch>
      </xdr:blipFill>
      <xdr:spPr>
        <a:xfrm>
          <a:off x="12439650" y="31750"/>
          <a:ext cx="1828462" cy="7048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351459</xdr:colOff>
      <xdr:row>0</xdr:row>
      <xdr:rowOff>38100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104684" y="3810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11</xdr:col>
      <xdr:colOff>684959</xdr:colOff>
      <xdr:row>0</xdr:row>
      <xdr:rowOff>0</xdr:rowOff>
    </xdr:from>
    <xdr:ext cx="1828462" cy="704850"/>
    <xdr:pic>
      <xdr:nvPicPr>
        <xdr:cNvPr id="2" name="Picture 1" descr="PIAS.png">
          <a:extLst>
            <a:ext uri="{FF2B5EF4-FFF2-40B4-BE49-F238E27FC236}">
              <a16:creationId xmlns:a16="http://schemas.microsoft.com/office/drawing/2014/main" id="{2901B961-7BB0-41D5-AE93-FDF3169AF53C}"/>
            </a:ext>
          </a:extLst>
        </xdr:cNvPr>
        <xdr:cNvPicPr>
          <a:picLocks noChangeAspect="1"/>
        </xdr:cNvPicPr>
      </xdr:nvPicPr>
      <xdr:blipFill>
        <a:blip xmlns:r="http://schemas.openxmlformats.org/officeDocument/2006/relationships" r:embed="rId1" cstate="print"/>
        <a:stretch>
          <a:fillRect/>
        </a:stretch>
      </xdr:blipFill>
      <xdr:spPr>
        <a:xfrm>
          <a:off x="34884245" y="0"/>
          <a:ext cx="1828462" cy="7048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2124075</xdr:colOff>
      <xdr:row>0</xdr:row>
      <xdr:rowOff>31750</xdr:rowOff>
    </xdr:from>
    <xdr:ext cx="1828462" cy="704850"/>
    <xdr:pic>
      <xdr:nvPicPr>
        <xdr:cNvPr id="2" name="Picture 1" descr="PIAS.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10725150" y="31750"/>
          <a:ext cx="1828462" cy="704850"/>
        </a:xfrm>
        <a:prstGeom prst="rect">
          <a:avLst/>
        </a:prstGeom>
      </xdr:spPr>
    </xdr:pic>
    <xdr:clientData/>
  </xdr:oneCellAnchor>
  <xdr:oneCellAnchor>
    <xdr:from>
      <xdr:col>8</xdr:col>
      <xdr:colOff>2124075</xdr:colOff>
      <xdr:row>0</xdr:row>
      <xdr:rowOff>31750</xdr:rowOff>
    </xdr:from>
    <xdr:ext cx="1828462" cy="704850"/>
    <xdr:pic>
      <xdr:nvPicPr>
        <xdr:cNvPr id="3" name="Picture 2" descr="PIAS.pn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10725150" y="31750"/>
          <a:ext cx="1828462" cy="7048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12</xdr:col>
      <xdr:colOff>2124075</xdr:colOff>
      <xdr:row>0</xdr:row>
      <xdr:rowOff>31750</xdr:rowOff>
    </xdr:from>
    <xdr:ext cx="1828462" cy="704850"/>
    <xdr:pic>
      <xdr:nvPicPr>
        <xdr:cNvPr id="2" name="Picture 1" descr="PIAS.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13916025" y="31750"/>
          <a:ext cx="1828462" cy="704850"/>
        </a:xfrm>
        <a:prstGeom prst="rect">
          <a:avLst/>
        </a:prstGeom>
      </xdr:spPr>
    </xdr:pic>
    <xdr:clientData/>
  </xdr:oneCellAnchor>
  <xdr:oneCellAnchor>
    <xdr:from>
      <xdr:col>12</xdr:col>
      <xdr:colOff>2124075</xdr:colOff>
      <xdr:row>0</xdr:row>
      <xdr:rowOff>31750</xdr:rowOff>
    </xdr:from>
    <xdr:ext cx="1828462" cy="704850"/>
    <xdr:pic>
      <xdr:nvPicPr>
        <xdr:cNvPr id="3" name="Picture 2" descr="PIAS.png">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13916025" y="31750"/>
          <a:ext cx="1828462" cy="7048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10</xdr:col>
      <xdr:colOff>2124075</xdr:colOff>
      <xdr:row>0</xdr:row>
      <xdr:rowOff>31750</xdr:rowOff>
    </xdr:from>
    <xdr:ext cx="1828462" cy="704850"/>
    <xdr:pic>
      <xdr:nvPicPr>
        <xdr:cNvPr id="2" name="Picture 1" descr="PIAS.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11447992" y="31750"/>
          <a:ext cx="1828462" cy="704850"/>
        </a:xfrm>
        <a:prstGeom prst="rect">
          <a:avLst/>
        </a:prstGeom>
      </xdr:spPr>
    </xdr:pic>
    <xdr:clientData/>
  </xdr:oneCellAnchor>
  <xdr:oneCellAnchor>
    <xdr:from>
      <xdr:col>10</xdr:col>
      <xdr:colOff>2124075</xdr:colOff>
      <xdr:row>0</xdr:row>
      <xdr:rowOff>31750</xdr:rowOff>
    </xdr:from>
    <xdr:ext cx="1828462" cy="704850"/>
    <xdr:pic>
      <xdr:nvPicPr>
        <xdr:cNvPr id="3" name="Picture 2" descr="PIAS.p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16087725" y="31750"/>
          <a:ext cx="1828462" cy="7048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6</xdr:col>
      <xdr:colOff>2124075</xdr:colOff>
      <xdr:row>0</xdr:row>
      <xdr:rowOff>31750</xdr:rowOff>
    </xdr:from>
    <xdr:ext cx="1828462" cy="704850"/>
    <xdr:pic>
      <xdr:nvPicPr>
        <xdr:cNvPr id="2" name="Picture 1" descr="PIAS.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2706350" y="31750"/>
          <a:ext cx="1828462" cy="704850"/>
        </a:xfrm>
        <a:prstGeom prst="rect">
          <a:avLst/>
        </a:prstGeom>
      </xdr:spPr>
    </xdr:pic>
    <xdr:clientData/>
  </xdr:oneCellAnchor>
  <xdr:oneCellAnchor>
    <xdr:from>
      <xdr:col>6</xdr:col>
      <xdr:colOff>2124075</xdr:colOff>
      <xdr:row>0</xdr:row>
      <xdr:rowOff>31750</xdr:rowOff>
    </xdr:from>
    <xdr:ext cx="1828462" cy="704850"/>
    <xdr:pic>
      <xdr:nvPicPr>
        <xdr:cNvPr id="3" name="Picture 2" descr="PIAS.p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12706350" y="31750"/>
          <a:ext cx="1828462" cy="7048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8</xdr:col>
      <xdr:colOff>2124075</xdr:colOff>
      <xdr:row>0</xdr:row>
      <xdr:rowOff>31750</xdr:rowOff>
    </xdr:from>
    <xdr:ext cx="1828462" cy="704850"/>
    <xdr:pic>
      <xdr:nvPicPr>
        <xdr:cNvPr id="2" name="Picture 1" descr="PIAS.pn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14135100" y="31750"/>
          <a:ext cx="1828462" cy="70485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12</xdr:col>
      <xdr:colOff>2124075</xdr:colOff>
      <xdr:row>0</xdr:row>
      <xdr:rowOff>31750</xdr:rowOff>
    </xdr:from>
    <xdr:ext cx="1828462" cy="704850"/>
    <xdr:pic>
      <xdr:nvPicPr>
        <xdr:cNvPr id="2" name="Picture 1" descr="PIAS.pn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12439650" y="31750"/>
          <a:ext cx="1828462" cy="7048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B975C3-F2C0-4537-87C8-13ED4716C2C1}" name="Table23" displayName="Table23" ref="B3:D8" totalsRowShown="0" headerRowDxfId="144" dataDxfId="142" headerRowBorderDxfId="143" tableBorderDxfId="141" totalsRowBorderDxfId="140">
  <autoFilter ref="B3:D8" xr:uid="{D5B975C3-F2C0-4537-87C8-13ED4716C2C1}"/>
  <tableColumns count="3">
    <tableColumn id="2" xr3:uid="{5899D969-1582-4076-82BD-A6DF6E49F779}" name="Provider" dataDxfId="139"/>
    <tableColumn id="4" xr3:uid="{EA81ED46-4E2A-489C-925D-149A8EF921AD}" name="Plan" dataDxfId="138"/>
    <tableColumn id="6" xr3:uid="{A6A9820B-988B-4D8A-96A7-41ABB02AEC1B}" name="Product Info" dataDxfId="137"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fwd.com.sg/personalised-financial-advice/life-income-plus/" TargetMode="External"/><Relationship Id="rId2" Type="http://schemas.openxmlformats.org/officeDocument/2006/relationships/hyperlink" Target="https://www.greateasternlife.com/sg/en/personal-insurance/our-products/retirement-income/great-lifetime-payout.html" TargetMode="External"/><Relationship Id="rId1" Type="http://schemas.openxmlformats.org/officeDocument/2006/relationships/hyperlink" Target="https://www.aia.com.sg/en/our-products/platinum/wealth-accumulation/aia-platinum-gift-for-life-series" TargetMode="External"/><Relationship Id="rId5" Type="http://schemas.openxmlformats.org/officeDocument/2006/relationships/table" Target="../tables/table1.xml"/><Relationship Id="rId4" Type="http://schemas.openxmlformats.org/officeDocument/2006/relationships/hyperlink" Target="https://www.hsbc.com.sg/insurance/products/life/sapphire-prestige-incom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
  <sheetViews>
    <sheetView showGridLines="0" zoomScale="70" zoomScaleNormal="70" workbookViewId="0">
      <selection activeCell="I47" sqref="I47"/>
    </sheetView>
  </sheetViews>
  <sheetFormatPr defaultRowHeight="14.5" x14ac:dyDescent="0.35"/>
  <sheetData>
    <row r="1" spans="1:10" x14ac:dyDescent="0.35">
      <c r="A1" s="1"/>
      <c r="B1" s="1"/>
      <c r="C1" s="1"/>
      <c r="D1" s="1"/>
      <c r="E1" s="1"/>
      <c r="F1" s="1"/>
      <c r="G1" s="1"/>
      <c r="H1" s="1"/>
      <c r="I1" s="1"/>
      <c r="J1" s="1"/>
    </row>
    <row r="2" spans="1:10" x14ac:dyDescent="0.35">
      <c r="A2" s="1"/>
      <c r="B2" s="1"/>
      <c r="C2" s="1"/>
      <c r="D2" s="1"/>
      <c r="E2" s="1"/>
      <c r="F2" s="1"/>
      <c r="G2" s="1"/>
      <c r="H2" s="1"/>
      <c r="I2" s="1"/>
      <c r="J2" s="1"/>
    </row>
    <row r="3" spans="1:10" ht="17.5" x14ac:dyDescent="0.35">
      <c r="A3" s="232" t="s">
        <v>0</v>
      </c>
      <c r="B3" s="232"/>
      <c r="C3" s="232"/>
      <c r="D3" s="232"/>
      <c r="E3" s="232"/>
      <c r="F3" s="232"/>
      <c r="G3" s="232"/>
      <c r="H3" s="232"/>
      <c r="I3" s="232"/>
      <c r="J3" s="232"/>
    </row>
    <row r="4" spans="1:10" ht="17.5" x14ac:dyDescent="0.35">
      <c r="A4" s="232" t="s">
        <v>1</v>
      </c>
      <c r="B4" s="232"/>
      <c r="C4" s="232"/>
      <c r="D4" s="232"/>
      <c r="E4" s="232"/>
      <c r="F4" s="232"/>
      <c r="G4" s="232"/>
      <c r="H4" s="232"/>
      <c r="I4" s="232"/>
      <c r="J4" s="232"/>
    </row>
    <row r="5" spans="1:10" x14ac:dyDescent="0.35">
      <c r="A5" s="1"/>
      <c r="B5" s="1"/>
      <c r="C5" s="1"/>
      <c r="D5" s="1"/>
      <c r="E5" s="1"/>
      <c r="F5" s="1"/>
      <c r="G5" s="1"/>
      <c r="H5" s="1"/>
      <c r="I5" s="1"/>
      <c r="J5" s="1"/>
    </row>
    <row r="6" spans="1:10" x14ac:dyDescent="0.35">
      <c r="A6" s="1"/>
      <c r="B6" s="1"/>
      <c r="C6" s="1"/>
      <c r="D6" s="1"/>
      <c r="E6" s="1"/>
      <c r="F6" s="1"/>
      <c r="G6" s="1"/>
      <c r="H6" s="1"/>
      <c r="I6" s="1"/>
      <c r="J6" s="1"/>
    </row>
    <row r="7" spans="1:10" x14ac:dyDescent="0.35">
      <c r="A7" s="1"/>
      <c r="B7" s="1"/>
      <c r="C7" s="1"/>
      <c r="D7" s="1"/>
      <c r="E7" s="1"/>
      <c r="F7" s="1"/>
      <c r="G7" s="1"/>
      <c r="H7" s="1"/>
      <c r="I7" s="1"/>
      <c r="J7" s="1"/>
    </row>
    <row r="8" spans="1:10" x14ac:dyDescent="0.35">
      <c r="A8" s="1"/>
      <c r="B8" s="1"/>
      <c r="C8" s="1"/>
      <c r="D8" s="1"/>
      <c r="E8" s="1"/>
      <c r="F8" s="1"/>
      <c r="G8" s="1"/>
      <c r="H8" s="1"/>
      <c r="I8" s="1"/>
      <c r="J8" s="1"/>
    </row>
    <row r="9" spans="1:10" x14ac:dyDescent="0.35">
      <c r="A9" s="1"/>
      <c r="B9" s="1"/>
      <c r="C9" s="1"/>
      <c r="D9" s="1"/>
      <c r="E9" s="1"/>
      <c r="F9" s="1"/>
      <c r="G9" s="1"/>
      <c r="H9" s="1"/>
      <c r="I9" s="1"/>
      <c r="J9" s="1"/>
    </row>
    <row r="10" spans="1:10" x14ac:dyDescent="0.35">
      <c r="A10" s="1"/>
      <c r="B10" s="1"/>
      <c r="C10" s="1"/>
      <c r="D10" s="1"/>
      <c r="E10" s="1"/>
      <c r="F10" s="1"/>
      <c r="G10" s="1"/>
      <c r="H10" s="1"/>
      <c r="I10" s="1"/>
      <c r="J10" s="1"/>
    </row>
    <row r="11" spans="1:10" x14ac:dyDescent="0.35">
      <c r="A11" s="1"/>
      <c r="B11" s="1"/>
      <c r="C11" s="1"/>
      <c r="D11" s="1"/>
      <c r="E11" s="1"/>
      <c r="F11" s="1"/>
      <c r="G11" s="1"/>
      <c r="H11" s="1"/>
      <c r="I11" s="1"/>
      <c r="J11" s="1"/>
    </row>
    <row r="12" spans="1:10" x14ac:dyDescent="0.35">
      <c r="A12" s="1"/>
      <c r="B12" s="1"/>
      <c r="C12" s="1"/>
      <c r="D12" s="1"/>
      <c r="E12" s="1"/>
      <c r="F12" s="1"/>
      <c r="G12" s="1"/>
      <c r="H12" s="1"/>
      <c r="I12" s="1"/>
      <c r="J12" s="1"/>
    </row>
    <row r="13" spans="1:10" x14ac:dyDescent="0.35">
      <c r="A13" s="1"/>
      <c r="B13" s="1"/>
      <c r="C13" s="1"/>
      <c r="D13" s="1"/>
      <c r="E13" s="1"/>
      <c r="F13" s="1"/>
      <c r="G13" s="1"/>
      <c r="H13" s="1"/>
      <c r="I13" s="1"/>
      <c r="J13" s="1"/>
    </row>
    <row r="14" spans="1:10" x14ac:dyDescent="0.35">
      <c r="A14" s="1"/>
      <c r="B14" s="1"/>
      <c r="C14" s="1"/>
      <c r="D14" s="1"/>
      <c r="E14" s="1"/>
      <c r="F14" s="1"/>
      <c r="G14" s="1"/>
      <c r="H14" s="1"/>
      <c r="I14" s="1"/>
      <c r="J14" s="1"/>
    </row>
    <row r="15" spans="1:10" x14ac:dyDescent="0.35">
      <c r="A15" s="1"/>
      <c r="B15" s="1"/>
      <c r="C15" s="1"/>
      <c r="D15" s="1"/>
      <c r="E15" s="1"/>
      <c r="F15" s="1"/>
      <c r="G15" s="1"/>
      <c r="H15" s="1"/>
      <c r="I15" s="1"/>
      <c r="J15" s="1"/>
    </row>
    <row r="16" spans="1:10" x14ac:dyDescent="0.35">
      <c r="A16" s="1"/>
      <c r="B16" s="1"/>
      <c r="C16" s="1"/>
      <c r="D16" s="1"/>
      <c r="E16" s="1"/>
      <c r="F16" s="1"/>
      <c r="G16" s="1"/>
      <c r="H16" s="1"/>
      <c r="I16" s="1"/>
      <c r="J16" s="1"/>
    </row>
    <row r="17" spans="1:10" x14ac:dyDescent="0.35">
      <c r="A17" s="1"/>
      <c r="B17" s="1"/>
      <c r="C17" s="1"/>
      <c r="D17" s="1"/>
      <c r="E17" s="1"/>
      <c r="F17" s="1"/>
      <c r="G17" s="1"/>
      <c r="H17" s="1"/>
      <c r="I17" s="1"/>
      <c r="J17" s="1"/>
    </row>
    <row r="18" spans="1:10" x14ac:dyDescent="0.35">
      <c r="A18" s="1"/>
      <c r="B18" s="1"/>
      <c r="C18" s="1"/>
      <c r="D18" s="1"/>
      <c r="E18" s="1"/>
      <c r="F18" s="1"/>
      <c r="G18" s="1"/>
      <c r="H18" s="1"/>
      <c r="I18" s="1"/>
      <c r="J18" s="1"/>
    </row>
    <row r="19" spans="1:10" x14ac:dyDescent="0.35">
      <c r="A19" s="1"/>
      <c r="B19" s="1"/>
      <c r="C19" s="1"/>
      <c r="D19" s="1"/>
      <c r="E19" s="1"/>
      <c r="F19" s="1"/>
      <c r="G19" s="1"/>
      <c r="H19" s="1"/>
      <c r="I19" s="1"/>
      <c r="J19" s="1"/>
    </row>
    <row r="20" spans="1:10" x14ac:dyDescent="0.35">
      <c r="A20" s="1"/>
      <c r="B20" s="1"/>
      <c r="C20" s="1"/>
      <c r="D20" s="1"/>
      <c r="E20" s="1"/>
      <c r="F20" s="1"/>
      <c r="G20" s="1"/>
      <c r="H20" s="1"/>
      <c r="I20" s="1"/>
      <c r="J20" s="1"/>
    </row>
    <row r="21" spans="1:10" x14ac:dyDescent="0.35">
      <c r="A21" s="1"/>
      <c r="B21" s="1"/>
      <c r="C21" s="1"/>
      <c r="D21" s="1"/>
      <c r="E21" s="1"/>
      <c r="F21" s="1"/>
      <c r="G21" s="1"/>
      <c r="H21" s="1"/>
      <c r="I21" s="1"/>
      <c r="J21" s="1"/>
    </row>
    <row r="22" spans="1:10" x14ac:dyDescent="0.35">
      <c r="A22" s="1"/>
      <c r="B22" s="1"/>
      <c r="C22" s="1"/>
      <c r="D22" s="1"/>
      <c r="E22" s="1"/>
      <c r="F22" s="1"/>
      <c r="G22" s="1"/>
      <c r="H22" s="1"/>
      <c r="I22" s="1"/>
      <c r="J22" s="1"/>
    </row>
    <row r="23" spans="1:10" x14ac:dyDescent="0.35">
      <c r="A23" s="1"/>
      <c r="B23" s="1"/>
      <c r="C23" s="1"/>
      <c r="D23" s="1"/>
      <c r="E23" s="1"/>
      <c r="F23" s="1"/>
      <c r="G23" s="1"/>
      <c r="H23" s="1"/>
      <c r="I23" s="1"/>
      <c r="J23" s="1"/>
    </row>
    <row r="24" spans="1:10" x14ac:dyDescent="0.35">
      <c r="A24" s="1"/>
      <c r="B24" s="1"/>
      <c r="C24" s="1"/>
      <c r="D24" s="1"/>
      <c r="E24" s="1"/>
      <c r="F24" s="1"/>
      <c r="G24" s="1"/>
      <c r="H24" s="1"/>
      <c r="I24" s="1"/>
      <c r="J24" s="1"/>
    </row>
    <row r="25" spans="1:10" x14ac:dyDescent="0.35">
      <c r="A25" s="1"/>
      <c r="B25" s="1"/>
      <c r="C25" s="1"/>
      <c r="D25" s="1"/>
      <c r="E25" s="1"/>
      <c r="F25" s="1"/>
      <c r="G25" s="1"/>
      <c r="H25" s="1"/>
      <c r="I25" s="1"/>
      <c r="J25" s="1"/>
    </row>
    <row r="26" spans="1:10" x14ac:dyDescent="0.35">
      <c r="A26" s="1"/>
      <c r="B26" s="1"/>
      <c r="C26" s="1"/>
      <c r="D26" s="1"/>
      <c r="E26" s="1"/>
      <c r="F26" s="1"/>
      <c r="G26" s="1"/>
      <c r="H26" s="1"/>
      <c r="I26" s="1"/>
      <c r="J26" s="1"/>
    </row>
    <row r="27" spans="1:10" x14ac:dyDescent="0.35">
      <c r="A27" s="1"/>
      <c r="B27" s="1"/>
      <c r="C27" s="1"/>
      <c r="D27" s="1"/>
      <c r="E27" s="1"/>
      <c r="F27" s="1"/>
      <c r="G27" s="1"/>
      <c r="H27" s="1"/>
      <c r="I27" s="1"/>
      <c r="J27" s="1"/>
    </row>
    <row r="28" spans="1:10" x14ac:dyDescent="0.35">
      <c r="A28" s="1"/>
      <c r="B28" s="1"/>
      <c r="C28" s="1"/>
      <c r="D28" s="1"/>
      <c r="E28" s="1"/>
      <c r="F28" s="1"/>
      <c r="G28" s="1"/>
      <c r="H28" s="1"/>
      <c r="I28" s="1"/>
      <c r="J28" s="1"/>
    </row>
    <row r="29" spans="1:10" x14ac:dyDescent="0.35">
      <c r="A29" s="1"/>
      <c r="B29" s="1"/>
      <c r="C29" s="1"/>
      <c r="D29" s="1"/>
      <c r="E29" s="1"/>
      <c r="F29" s="1"/>
      <c r="G29" s="1"/>
      <c r="H29" s="1"/>
      <c r="I29" s="1"/>
      <c r="J29" s="1"/>
    </row>
    <row r="30" spans="1:10" x14ac:dyDescent="0.35">
      <c r="A30" s="1"/>
      <c r="B30" s="1"/>
      <c r="C30" s="1"/>
      <c r="D30" s="1"/>
      <c r="E30" s="1"/>
      <c r="F30" s="1"/>
      <c r="G30" s="1"/>
      <c r="H30" s="1"/>
      <c r="I30" s="1"/>
      <c r="J30" s="1"/>
    </row>
    <row r="31" spans="1:10" x14ac:dyDescent="0.35">
      <c r="A31" s="1"/>
      <c r="B31" s="1"/>
      <c r="C31" s="1"/>
      <c r="D31" s="1"/>
      <c r="E31" s="1"/>
      <c r="F31" s="1"/>
      <c r="G31" s="1"/>
      <c r="H31" s="1"/>
      <c r="I31" s="1"/>
      <c r="J31" s="1"/>
    </row>
    <row r="32" spans="1:10" x14ac:dyDescent="0.35">
      <c r="A32" s="1"/>
      <c r="B32" s="1"/>
      <c r="C32" s="1"/>
      <c r="D32" s="1"/>
      <c r="E32" s="1"/>
      <c r="F32" s="1"/>
      <c r="G32" s="1"/>
      <c r="H32" s="1"/>
      <c r="I32" s="1"/>
      <c r="J32" s="1"/>
    </row>
    <row r="33" spans="1:10" x14ac:dyDescent="0.35">
      <c r="A33" s="1"/>
      <c r="B33" s="1"/>
      <c r="C33" s="1"/>
      <c r="D33" s="1"/>
      <c r="E33" s="1"/>
      <c r="F33" s="1"/>
      <c r="G33" s="1"/>
      <c r="H33" s="1"/>
      <c r="I33" s="1"/>
      <c r="J33" s="1"/>
    </row>
    <row r="34" spans="1:10" x14ac:dyDescent="0.35">
      <c r="A34" s="1"/>
      <c r="B34" s="1"/>
      <c r="C34" s="1"/>
      <c r="D34" s="1"/>
      <c r="E34" s="1"/>
      <c r="F34" s="1"/>
      <c r="G34" s="1"/>
      <c r="H34" s="1"/>
      <c r="I34" s="1"/>
      <c r="J34" s="1"/>
    </row>
    <row r="35" spans="1:10" x14ac:dyDescent="0.35">
      <c r="A35" s="1"/>
      <c r="B35" s="1"/>
      <c r="C35" s="1"/>
      <c r="D35" s="1"/>
      <c r="E35" s="1"/>
      <c r="F35" s="1"/>
      <c r="G35" s="1"/>
      <c r="H35" s="1"/>
      <c r="I35" s="1"/>
      <c r="J35" s="1"/>
    </row>
    <row r="36" spans="1:10" x14ac:dyDescent="0.35">
      <c r="A36" s="1"/>
      <c r="B36" s="1"/>
      <c r="C36" s="1"/>
      <c r="D36" s="1"/>
      <c r="E36" s="1"/>
      <c r="F36" s="1"/>
      <c r="G36" s="1"/>
      <c r="H36" s="1"/>
      <c r="I36" s="1"/>
      <c r="J36" s="1"/>
    </row>
    <row r="37" spans="1:10" x14ac:dyDescent="0.35">
      <c r="A37" s="1"/>
      <c r="B37" s="1"/>
      <c r="C37" s="1"/>
      <c r="D37" s="1"/>
      <c r="E37" s="1"/>
      <c r="F37" s="1"/>
      <c r="G37" s="1"/>
      <c r="H37" s="1"/>
      <c r="I37" s="1"/>
      <c r="J37" s="1"/>
    </row>
    <row r="38" spans="1:10" x14ac:dyDescent="0.35">
      <c r="A38" s="1"/>
      <c r="B38" s="1"/>
      <c r="C38" s="1"/>
      <c r="D38" s="1"/>
      <c r="E38" s="1"/>
      <c r="F38" s="1"/>
      <c r="G38" s="1"/>
      <c r="H38" s="1"/>
      <c r="I38" s="1"/>
      <c r="J38" s="1"/>
    </row>
    <row r="39" spans="1:10" x14ac:dyDescent="0.35">
      <c r="A39" s="1"/>
      <c r="B39" s="1"/>
      <c r="C39" s="1"/>
      <c r="D39" s="1"/>
      <c r="E39" s="1"/>
      <c r="F39" s="1"/>
      <c r="G39" s="1"/>
      <c r="H39" s="1"/>
      <c r="I39" s="1"/>
      <c r="J39" s="1"/>
    </row>
    <row r="40" spans="1:10" x14ac:dyDescent="0.35">
      <c r="A40" s="1"/>
      <c r="B40" s="1"/>
      <c r="C40" s="1"/>
      <c r="D40" s="1"/>
      <c r="E40" s="1"/>
      <c r="F40" s="1"/>
      <c r="G40" s="1"/>
      <c r="H40" s="1"/>
      <c r="I40" s="1"/>
      <c r="J40" s="1"/>
    </row>
    <row r="41" spans="1:10" x14ac:dyDescent="0.35">
      <c r="A41" s="1"/>
      <c r="B41" s="1"/>
      <c r="C41" s="1"/>
      <c r="D41" s="1"/>
      <c r="E41" s="1"/>
      <c r="F41" s="1"/>
      <c r="G41" s="1"/>
      <c r="H41" s="1"/>
      <c r="I41" s="1"/>
      <c r="J41" s="1"/>
    </row>
    <row r="42" spans="1:10" x14ac:dyDescent="0.35">
      <c r="A42" s="1"/>
      <c r="B42" s="1"/>
      <c r="C42" s="1"/>
      <c r="D42" s="1"/>
      <c r="E42" s="1"/>
      <c r="F42" s="1"/>
      <c r="G42" s="1"/>
      <c r="H42" s="1"/>
      <c r="I42" s="1"/>
      <c r="J42" s="1"/>
    </row>
    <row r="43" spans="1:10" x14ac:dyDescent="0.35">
      <c r="A43" s="1"/>
      <c r="B43" s="1"/>
      <c r="C43" s="1"/>
      <c r="D43" s="1"/>
      <c r="E43" s="1"/>
      <c r="F43" s="1"/>
      <c r="G43" s="1"/>
      <c r="H43" s="1"/>
      <c r="I43" s="1"/>
      <c r="J43" s="1"/>
    </row>
    <row r="44" spans="1:10" x14ac:dyDescent="0.35">
      <c r="A44" s="1"/>
      <c r="B44" s="1"/>
      <c r="C44" s="1"/>
      <c r="D44" s="1"/>
      <c r="E44" s="1"/>
      <c r="F44" s="1"/>
      <c r="G44" s="1"/>
      <c r="H44" s="1"/>
      <c r="I44" s="1"/>
      <c r="J44" s="1"/>
    </row>
    <row r="45" spans="1:10" x14ac:dyDescent="0.35">
      <c r="A45" s="1"/>
      <c r="B45" s="1"/>
      <c r="C45" s="1"/>
      <c r="D45" s="1"/>
      <c r="E45" s="1"/>
      <c r="F45" s="1"/>
      <c r="G45" s="1"/>
      <c r="H45" s="1"/>
      <c r="I45" s="1"/>
      <c r="J45" s="1"/>
    </row>
    <row r="46" spans="1:10" x14ac:dyDescent="0.35">
      <c r="A46" s="1"/>
      <c r="B46" s="1"/>
      <c r="C46" s="1"/>
      <c r="D46" s="1"/>
      <c r="E46" s="1"/>
      <c r="F46" s="1"/>
      <c r="G46" s="1"/>
      <c r="H46" s="1"/>
      <c r="I46" s="1"/>
      <c r="J46" s="1"/>
    </row>
    <row r="47" spans="1:10" x14ac:dyDescent="0.35">
      <c r="A47" s="1"/>
      <c r="B47" s="1"/>
      <c r="C47" s="1"/>
      <c r="D47" s="1"/>
      <c r="E47" s="1"/>
      <c r="F47" s="1"/>
      <c r="G47" s="1"/>
      <c r="H47" s="1"/>
      <c r="I47" s="1"/>
      <c r="J47" s="1"/>
    </row>
    <row r="48" spans="1:10" x14ac:dyDescent="0.35">
      <c r="A48" s="1"/>
      <c r="B48" s="1"/>
      <c r="C48" s="1"/>
      <c r="D48" s="1"/>
      <c r="E48" s="1"/>
      <c r="F48" s="1"/>
      <c r="G48" s="1"/>
      <c r="H48" s="1"/>
      <c r="I48" s="1"/>
      <c r="J48" s="1"/>
    </row>
  </sheetData>
  <sheetProtection algorithmName="SHA-512" hashValue="8TrpJ7/n1C88IeDbkPbF4WzzKpcGDqZQAbwJ63XHfonJBoZZTlnvrcOzfOPMjpS8DcvvFbylk+IwX5iJtmWMUw==" saltValue="YGLUf2yfzCuzX5dSYlVZsw==" spinCount="100000" sheet="1" objects="1" scenarios="1"/>
  <mergeCells count="2">
    <mergeCell ref="A3:J3"/>
    <mergeCell ref="A4:J4"/>
  </mergeCells>
  <printOptions horizontalCentered="1" verticalCentered="1"/>
  <pageMargins left="0" right="0" top="0" bottom="0" header="0" footer="0"/>
  <pageSetup paperSize="9" scale="96" orientation="landscape"/>
  <headerFooter>
    <oddFooter>&amp;L_x000D_&amp;1#&amp;"Calibri"&amp;8&amp;K008000 Public</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94"/>
  <sheetViews>
    <sheetView showGridLines="0" zoomScale="70" zoomScaleNormal="70" zoomScaleSheetLayoutView="70" workbookViewId="0">
      <pane xSplit="1" ySplit="7" topLeftCell="B8" activePane="bottomRight" state="frozen"/>
      <selection pane="topRight" activeCell="B1" sqref="B1"/>
      <selection pane="bottomLeft" activeCell="A8" sqref="A8"/>
      <selection pane="bottomRight" activeCell="D13" sqref="D13:D18"/>
    </sheetView>
  </sheetViews>
  <sheetFormatPr defaultColWidth="9.1796875" defaultRowHeight="15.5" x14ac:dyDescent="0.35"/>
  <cols>
    <col min="1" max="1" width="67.1796875" style="17" customWidth="1"/>
    <col min="2" max="3" width="44.81640625" style="17" customWidth="1"/>
    <col min="4" max="4" width="43.26953125" style="17" customWidth="1"/>
    <col min="5" max="7" width="44.81640625" style="17" customWidth="1"/>
    <col min="8" max="8" width="7.1796875" style="17" customWidth="1"/>
    <col min="9" max="9" width="79.81640625" style="17" customWidth="1"/>
    <col min="10" max="16384" width="9.1796875" style="17"/>
  </cols>
  <sheetData>
    <row r="1" spans="1:12" ht="15" customHeight="1" x14ac:dyDescent="0.35">
      <c r="A1" s="273" t="s">
        <v>234</v>
      </c>
      <c r="B1" s="273"/>
      <c r="C1" s="273"/>
      <c r="D1" s="157"/>
      <c r="E1" s="157"/>
      <c r="F1" s="157"/>
      <c r="G1" s="157"/>
      <c r="H1" s="16"/>
      <c r="I1" s="16"/>
      <c r="J1" s="16"/>
      <c r="K1" s="16"/>
      <c r="L1" s="16"/>
    </row>
    <row r="2" spans="1:12" x14ac:dyDescent="0.35">
      <c r="A2" s="273"/>
      <c r="B2" s="273"/>
      <c r="C2" s="273"/>
      <c r="D2" s="157"/>
      <c r="E2" s="157"/>
      <c r="F2" s="157"/>
      <c r="G2" s="157"/>
      <c r="H2" s="16"/>
      <c r="I2" s="16"/>
      <c r="J2" s="16"/>
      <c r="K2" s="16"/>
      <c r="L2" s="16"/>
    </row>
    <row r="3" spans="1:12" x14ac:dyDescent="0.35">
      <c r="A3" s="18" t="s">
        <v>341</v>
      </c>
      <c r="B3" s="18"/>
      <c r="C3" s="18"/>
    </row>
    <row r="4" spans="1:12" x14ac:dyDescent="0.35">
      <c r="A4" s="17" t="s">
        <v>236</v>
      </c>
      <c r="B4" s="18"/>
      <c r="C4" s="18"/>
    </row>
    <row r="5" spans="1:12" ht="20.25" customHeight="1" thickBot="1" x14ac:dyDescent="0.4">
      <c r="A5" s="18" t="s">
        <v>237</v>
      </c>
      <c r="B5" s="18"/>
      <c r="C5" s="18"/>
    </row>
    <row r="6" spans="1:12" ht="16" customHeight="1" thickBot="1" x14ac:dyDescent="0.4">
      <c r="A6" s="274" t="s">
        <v>238</v>
      </c>
      <c r="B6" s="178" t="s">
        <v>16</v>
      </c>
      <c r="C6" s="178" t="s">
        <v>16</v>
      </c>
      <c r="D6" s="178" t="s">
        <v>26</v>
      </c>
      <c r="E6" s="178" t="s">
        <v>27</v>
      </c>
      <c r="F6" s="178" t="s">
        <v>37</v>
      </c>
      <c r="G6" s="178" t="s">
        <v>30</v>
      </c>
      <c r="H6" s="19"/>
      <c r="I6" s="20" t="s">
        <v>239</v>
      </c>
      <c r="J6" s="19"/>
      <c r="L6" s="21"/>
    </row>
    <row r="7" spans="1:12" ht="38.15" customHeight="1" x14ac:dyDescent="0.35">
      <c r="A7" s="274"/>
      <c r="B7" s="178" t="s">
        <v>240</v>
      </c>
      <c r="C7" s="178" t="s">
        <v>241</v>
      </c>
      <c r="D7" s="178" t="s">
        <v>370</v>
      </c>
      <c r="E7" s="178" t="s">
        <v>28</v>
      </c>
      <c r="F7" s="178" t="s">
        <v>40</v>
      </c>
      <c r="G7" s="178" t="s">
        <v>35</v>
      </c>
      <c r="H7" s="22"/>
      <c r="I7" s="323" t="s">
        <v>404</v>
      </c>
      <c r="J7" s="22"/>
      <c r="L7" s="23"/>
    </row>
    <row r="8" spans="1:12" x14ac:dyDescent="0.35">
      <c r="A8" s="24" t="s">
        <v>242</v>
      </c>
      <c r="B8" s="25">
        <v>4.2500000000000003E-2</v>
      </c>
      <c r="C8" s="25">
        <v>4.2500000000000003E-2</v>
      </c>
      <c r="D8" s="25">
        <v>4.2500000000000003E-2</v>
      </c>
      <c r="E8" s="25">
        <v>4.2500000000000003E-2</v>
      </c>
      <c r="F8" s="25">
        <v>4.2500000000000003E-2</v>
      </c>
      <c r="G8" s="25">
        <v>4.2500000000000003E-2</v>
      </c>
      <c r="H8" s="26"/>
      <c r="I8" s="324"/>
      <c r="J8" s="26"/>
      <c r="L8" s="27"/>
    </row>
    <row r="9" spans="1:12" ht="21" customHeight="1" x14ac:dyDescent="0.35">
      <c r="A9" s="62" t="s">
        <v>243</v>
      </c>
      <c r="B9" s="63" t="s">
        <v>342</v>
      </c>
      <c r="C9" s="63" t="s">
        <v>342</v>
      </c>
      <c r="D9" s="63" t="s">
        <v>342</v>
      </c>
      <c r="E9" s="63" t="s">
        <v>342</v>
      </c>
      <c r="F9" s="29" t="s">
        <v>343</v>
      </c>
      <c r="G9" s="29" t="s">
        <v>343</v>
      </c>
      <c r="H9" s="30"/>
      <c r="I9" s="324"/>
      <c r="J9" s="30"/>
    </row>
    <row r="10" spans="1:12" x14ac:dyDescent="0.35">
      <c r="A10" s="31" t="s">
        <v>57</v>
      </c>
      <c r="B10" s="32">
        <v>3</v>
      </c>
      <c r="C10" s="32">
        <v>3</v>
      </c>
      <c r="D10" s="32">
        <v>3</v>
      </c>
      <c r="E10" s="32">
        <v>3</v>
      </c>
      <c r="F10" s="32">
        <v>3</v>
      </c>
      <c r="G10" s="32">
        <v>3</v>
      </c>
      <c r="H10" s="30"/>
      <c r="I10" s="324"/>
      <c r="J10" s="30"/>
    </row>
    <row r="11" spans="1:12" ht="36.75" customHeight="1" x14ac:dyDescent="0.35">
      <c r="A11" s="31" t="s">
        <v>246</v>
      </c>
      <c r="B11" s="33" t="s">
        <v>247</v>
      </c>
      <c r="C11" s="33" t="s">
        <v>248</v>
      </c>
      <c r="D11" s="214" t="s">
        <v>398</v>
      </c>
      <c r="E11" s="123" t="s">
        <v>344</v>
      </c>
      <c r="F11" s="123" t="s">
        <v>249</v>
      </c>
      <c r="G11" s="33" t="s">
        <v>247</v>
      </c>
      <c r="H11" s="30"/>
      <c r="I11" s="324"/>
      <c r="J11" s="30"/>
    </row>
    <row r="12" spans="1:12" ht="23.25" customHeight="1" x14ac:dyDescent="0.35">
      <c r="A12" s="31" t="s">
        <v>251</v>
      </c>
      <c r="B12" s="34">
        <v>273000</v>
      </c>
      <c r="C12" s="34">
        <v>600000</v>
      </c>
      <c r="D12" s="125" t="s">
        <v>252</v>
      </c>
      <c r="E12" s="164">
        <f>E26</f>
        <v>900000</v>
      </c>
      <c r="F12" s="146">
        <v>740800</v>
      </c>
      <c r="G12" s="146">
        <v>324324.3</v>
      </c>
      <c r="H12" s="30"/>
      <c r="I12" s="324"/>
      <c r="J12" s="30"/>
    </row>
    <row r="13" spans="1:12" x14ac:dyDescent="0.35">
      <c r="A13" s="281" t="s">
        <v>253</v>
      </c>
      <c r="B13" s="330">
        <v>6006</v>
      </c>
      <c r="C13" s="129" t="s">
        <v>254</v>
      </c>
      <c r="D13" s="262">
        <v>6003</v>
      </c>
      <c r="E13" s="131" t="s">
        <v>255</v>
      </c>
      <c r="F13" s="262">
        <v>6000</v>
      </c>
      <c r="G13" s="262">
        <v>6000</v>
      </c>
      <c r="H13" s="37"/>
      <c r="I13" s="324"/>
      <c r="J13" s="37"/>
    </row>
    <row r="14" spans="1:12" x14ac:dyDescent="0.35">
      <c r="A14" s="282"/>
      <c r="B14" s="331"/>
      <c r="C14" s="133">
        <v>6000</v>
      </c>
      <c r="D14" s="263"/>
      <c r="E14" s="52">
        <f>E25*0.02</f>
        <v>6000</v>
      </c>
      <c r="F14" s="263"/>
      <c r="G14" s="263"/>
      <c r="H14" s="37"/>
      <c r="I14" s="324"/>
      <c r="J14" s="37"/>
    </row>
    <row r="15" spans="1:12" x14ac:dyDescent="0.35">
      <c r="A15" s="282"/>
      <c r="B15" s="331"/>
      <c r="C15" s="129" t="s">
        <v>256</v>
      </c>
      <c r="D15" s="263"/>
      <c r="E15" s="154" t="s">
        <v>257</v>
      </c>
      <c r="F15" s="263"/>
      <c r="G15" s="263"/>
      <c r="H15" s="37"/>
      <c r="I15" s="324"/>
      <c r="J15" s="37"/>
    </row>
    <row r="16" spans="1:12" x14ac:dyDescent="0.35">
      <c r="A16" s="282"/>
      <c r="B16" s="331"/>
      <c r="C16" s="130">
        <v>7680</v>
      </c>
      <c r="D16" s="263"/>
      <c r="E16" s="154">
        <f>E25*0.03</f>
        <v>9000</v>
      </c>
      <c r="F16" s="263"/>
      <c r="G16" s="263"/>
      <c r="H16" s="37"/>
      <c r="I16" s="324"/>
      <c r="J16" s="37"/>
    </row>
    <row r="17" spans="1:10" x14ac:dyDescent="0.35">
      <c r="A17" s="282"/>
      <c r="B17" s="331"/>
      <c r="C17" s="133" t="s">
        <v>258</v>
      </c>
      <c r="D17" s="263"/>
      <c r="E17" s="154"/>
      <c r="F17" s="263"/>
      <c r="G17" s="263"/>
      <c r="H17" s="37"/>
      <c r="I17" s="324"/>
      <c r="J17" s="37"/>
    </row>
    <row r="18" spans="1:10" x14ac:dyDescent="0.35">
      <c r="A18" s="316"/>
      <c r="B18" s="331"/>
      <c r="C18" s="130">
        <v>8220</v>
      </c>
      <c r="D18" s="264"/>
      <c r="E18" s="154"/>
      <c r="F18" s="264"/>
      <c r="G18" s="264"/>
      <c r="H18" s="37"/>
      <c r="I18" s="324"/>
      <c r="J18" s="37"/>
    </row>
    <row r="19" spans="1:10" x14ac:dyDescent="0.35">
      <c r="A19" s="361" t="s">
        <v>259</v>
      </c>
      <c r="B19" s="129" t="s">
        <v>345</v>
      </c>
      <c r="C19" s="215" t="s">
        <v>254</v>
      </c>
      <c r="D19" s="357" t="s">
        <v>386</v>
      </c>
      <c r="E19" s="131" t="s">
        <v>255</v>
      </c>
      <c r="F19" s="352">
        <v>24001</v>
      </c>
      <c r="G19" s="188" t="s">
        <v>261</v>
      </c>
      <c r="H19" s="37"/>
      <c r="I19" s="324"/>
      <c r="J19" s="37"/>
    </row>
    <row r="20" spans="1:10" x14ac:dyDescent="0.35">
      <c r="A20" s="361"/>
      <c r="B20" s="133">
        <v>14196</v>
      </c>
      <c r="C20" s="201">
        <v>13920</v>
      </c>
      <c r="D20" s="358"/>
      <c r="E20" s="154">
        <f>E25*7%</f>
        <v>21000.000000000004</v>
      </c>
      <c r="F20" s="352"/>
      <c r="G20" s="190">
        <f>6000+11157</f>
        <v>17157</v>
      </c>
      <c r="H20" s="37"/>
      <c r="I20" s="324"/>
      <c r="J20" s="37"/>
    </row>
    <row r="21" spans="1:10" x14ac:dyDescent="0.35">
      <c r="A21" s="361"/>
      <c r="B21" s="133" t="s">
        <v>345</v>
      </c>
      <c r="C21" s="201" t="s">
        <v>256</v>
      </c>
      <c r="D21" s="358"/>
      <c r="E21" s="154" t="s">
        <v>257</v>
      </c>
      <c r="F21" s="352"/>
      <c r="G21" s="189" t="s">
        <v>263</v>
      </c>
      <c r="H21" s="37"/>
      <c r="I21" s="324"/>
      <c r="J21" s="37"/>
    </row>
    <row r="22" spans="1:10" x14ac:dyDescent="0.35">
      <c r="A22" s="361"/>
      <c r="B22" s="353">
        <v>15561</v>
      </c>
      <c r="C22" s="201">
        <v>20280</v>
      </c>
      <c r="D22" s="358"/>
      <c r="E22" s="154">
        <f>E25*10.2%</f>
        <v>30599.999999999996</v>
      </c>
      <c r="F22" s="352"/>
      <c r="G22" s="191">
        <f>6000+15211</f>
        <v>21211</v>
      </c>
      <c r="H22" s="37"/>
      <c r="I22" s="324"/>
      <c r="J22" s="37"/>
    </row>
    <row r="23" spans="1:10" x14ac:dyDescent="0.35">
      <c r="A23" s="361"/>
      <c r="B23" s="353"/>
      <c r="C23" s="201" t="s">
        <v>258</v>
      </c>
      <c r="D23" s="358"/>
      <c r="E23" s="154"/>
      <c r="F23" s="352"/>
      <c r="G23" s="186"/>
      <c r="H23" s="37"/>
      <c r="I23" s="324"/>
      <c r="J23" s="37"/>
    </row>
    <row r="24" spans="1:10" x14ac:dyDescent="0.35">
      <c r="A24" s="361"/>
      <c r="B24" s="354"/>
      <c r="C24" s="204">
        <v>21720</v>
      </c>
      <c r="D24" s="358"/>
      <c r="E24" s="52"/>
      <c r="F24" s="352"/>
      <c r="G24" s="187"/>
      <c r="H24" s="37"/>
      <c r="I24" s="324"/>
      <c r="J24" s="37"/>
    </row>
    <row r="25" spans="1:10" x14ac:dyDescent="0.35">
      <c r="A25" s="24" t="s">
        <v>264</v>
      </c>
      <c r="B25" s="136">
        <v>154711.85</v>
      </c>
      <c r="C25" s="136">
        <v>199999.8</v>
      </c>
      <c r="D25" s="210">
        <v>138000</v>
      </c>
      <c r="E25" s="52">
        <v>300000</v>
      </c>
      <c r="F25" s="52">
        <v>246686</v>
      </c>
      <c r="G25" s="52">
        <v>195658.9</v>
      </c>
      <c r="H25" s="37"/>
      <c r="I25" s="324"/>
      <c r="J25" s="37"/>
    </row>
    <row r="26" spans="1:10" x14ac:dyDescent="0.35">
      <c r="A26" s="31" t="s">
        <v>265</v>
      </c>
      <c r="B26" s="67">
        <f>B25*3</f>
        <v>464135.55000000005</v>
      </c>
      <c r="C26" s="67">
        <f>3*C25</f>
        <v>599999.39999999991</v>
      </c>
      <c r="D26" s="207">
        <f>D25*3</f>
        <v>414000</v>
      </c>
      <c r="E26" s="67">
        <f>E25*E10</f>
        <v>900000</v>
      </c>
      <c r="F26" s="67">
        <v>740059</v>
      </c>
      <c r="G26" s="67">
        <f>G25*3</f>
        <v>586976.69999999995</v>
      </c>
      <c r="H26" s="37"/>
      <c r="I26" s="324"/>
      <c r="J26" s="37"/>
    </row>
    <row r="27" spans="1:10" x14ac:dyDescent="0.35">
      <c r="A27" s="283" t="s">
        <v>346</v>
      </c>
      <c r="B27" s="266">
        <f>B13/B26</f>
        <v>1.2940185254070712E-2</v>
      </c>
      <c r="C27" s="147" t="s">
        <v>254</v>
      </c>
      <c r="D27" s="320">
        <f>D13/D26</f>
        <v>1.4500000000000001E-2</v>
      </c>
      <c r="E27" s="155" t="s">
        <v>255</v>
      </c>
      <c r="F27" s="266">
        <f>F13/F26</f>
        <v>8.1074617023777842E-3</v>
      </c>
      <c r="G27" s="266">
        <f>G13/G26</f>
        <v>1.0221870817018803E-2</v>
      </c>
      <c r="H27" s="37"/>
      <c r="I27" s="324"/>
      <c r="J27" s="37"/>
    </row>
    <row r="28" spans="1:10" x14ac:dyDescent="0.35">
      <c r="A28" s="284"/>
      <c r="B28" s="267"/>
      <c r="C28" s="140">
        <f>C14/C26</f>
        <v>1.0000010000010001E-2</v>
      </c>
      <c r="D28" s="321"/>
      <c r="E28" s="169">
        <f>E14/E26</f>
        <v>6.6666666666666671E-3</v>
      </c>
      <c r="F28" s="267"/>
      <c r="G28" s="267"/>
      <c r="H28" s="37"/>
      <c r="I28" s="324"/>
      <c r="J28" s="37"/>
    </row>
    <row r="29" spans="1:10" x14ac:dyDescent="0.35">
      <c r="A29" s="284"/>
      <c r="B29" s="267"/>
      <c r="C29" s="147" t="s">
        <v>256</v>
      </c>
      <c r="D29" s="321"/>
      <c r="E29" s="165" t="s">
        <v>257</v>
      </c>
      <c r="F29" s="267"/>
      <c r="G29" s="267"/>
      <c r="H29" s="37"/>
      <c r="I29" s="324"/>
      <c r="J29" s="37"/>
    </row>
    <row r="30" spans="1:10" x14ac:dyDescent="0.35">
      <c r="A30" s="284"/>
      <c r="B30" s="267"/>
      <c r="C30" s="216">
        <f>C16/C26</f>
        <v>1.2800012800012802E-2</v>
      </c>
      <c r="D30" s="321"/>
      <c r="E30" s="168">
        <f>E16/E26</f>
        <v>0.01</v>
      </c>
      <c r="F30" s="267"/>
      <c r="G30" s="267"/>
      <c r="H30" s="37"/>
      <c r="I30" s="324"/>
      <c r="J30" s="37"/>
    </row>
    <row r="31" spans="1:10" x14ac:dyDescent="0.35">
      <c r="A31" s="284"/>
      <c r="B31" s="267"/>
      <c r="C31" s="217" t="s">
        <v>258</v>
      </c>
      <c r="D31" s="321"/>
      <c r="E31" s="140"/>
      <c r="F31" s="267"/>
      <c r="G31" s="267"/>
      <c r="H31" s="37"/>
      <c r="I31" s="324"/>
      <c r="J31" s="37"/>
    </row>
    <row r="32" spans="1:10" x14ac:dyDescent="0.35">
      <c r="A32" s="285"/>
      <c r="B32" s="268"/>
      <c r="C32" s="216">
        <f>C18/C26</f>
        <v>1.3700013700013702E-2</v>
      </c>
      <c r="D32" s="322"/>
      <c r="E32" s="141"/>
      <c r="F32" s="268"/>
      <c r="G32" s="268"/>
      <c r="H32" s="37"/>
      <c r="I32" s="324"/>
      <c r="J32" s="37"/>
    </row>
    <row r="33" spans="1:10" x14ac:dyDescent="0.35">
      <c r="A33" s="283" t="s">
        <v>347</v>
      </c>
      <c r="B33" s="134" t="s">
        <v>345</v>
      </c>
      <c r="C33" s="149" t="s">
        <v>254</v>
      </c>
      <c r="D33" s="266" t="s">
        <v>388</v>
      </c>
      <c r="E33" s="155" t="s">
        <v>255</v>
      </c>
      <c r="F33" s="266">
        <f>F19/F26</f>
        <v>3.2431198053128198E-2</v>
      </c>
      <c r="G33" s="134" t="s">
        <v>261</v>
      </c>
      <c r="H33" s="37"/>
      <c r="I33" s="324"/>
      <c r="J33" s="37"/>
    </row>
    <row r="34" spans="1:10" x14ac:dyDescent="0.35">
      <c r="A34" s="284"/>
      <c r="B34" s="141">
        <f>B20/B26</f>
        <v>3.0585892418712592E-2</v>
      </c>
      <c r="C34" s="143">
        <f>C20/C26</f>
        <v>2.3200023200023203E-2</v>
      </c>
      <c r="D34" s="267"/>
      <c r="E34" s="167">
        <f>E20/E26</f>
        <v>2.3333333333333338E-2</v>
      </c>
      <c r="F34" s="267"/>
      <c r="G34" s="140">
        <f>G20/G26</f>
        <v>2.9229439601265266E-2</v>
      </c>
      <c r="H34" s="37"/>
      <c r="I34" s="324"/>
      <c r="J34" s="37"/>
    </row>
    <row r="35" spans="1:10" x14ac:dyDescent="0.35">
      <c r="A35" s="284"/>
      <c r="B35" s="134" t="s">
        <v>348</v>
      </c>
      <c r="C35" s="147" t="s">
        <v>256</v>
      </c>
      <c r="D35" s="267"/>
      <c r="E35" s="208" t="s">
        <v>257</v>
      </c>
      <c r="F35" s="267"/>
      <c r="G35" s="145" t="s">
        <v>263</v>
      </c>
      <c r="H35" s="37"/>
      <c r="I35" s="324"/>
      <c r="J35" s="37"/>
    </row>
    <row r="36" spans="1:10" x14ac:dyDescent="0.35">
      <c r="A36" s="284"/>
      <c r="B36" s="140">
        <f>B22/B26</f>
        <v>3.3526843612819573E-2</v>
      </c>
      <c r="C36" s="141">
        <f>C22/C26</f>
        <v>3.3800033800033803E-2</v>
      </c>
      <c r="D36" s="267"/>
      <c r="E36" s="209">
        <f>E22/E26</f>
        <v>3.3999999999999996E-2</v>
      </c>
      <c r="F36" s="267"/>
      <c r="G36" s="140">
        <f>G22/G26</f>
        <v>3.6136016983297638E-2</v>
      </c>
      <c r="H36" s="37"/>
      <c r="I36" s="324"/>
      <c r="J36" s="37"/>
    </row>
    <row r="37" spans="1:10" x14ac:dyDescent="0.35">
      <c r="A37" s="284"/>
      <c r="B37" s="184"/>
      <c r="C37" s="149" t="s">
        <v>258</v>
      </c>
      <c r="D37" s="267"/>
      <c r="E37" s="140"/>
      <c r="F37" s="267"/>
      <c r="G37" s="184"/>
      <c r="H37" s="37"/>
      <c r="I37" s="324"/>
      <c r="J37" s="37"/>
    </row>
    <row r="38" spans="1:10" ht="22.5" customHeight="1" x14ac:dyDescent="0.35">
      <c r="A38" s="285"/>
      <c r="B38" s="185"/>
      <c r="C38" s="195">
        <f>C24/C26</f>
        <v>3.6200036200036208E-2</v>
      </c>
      <c r="D38" s="268"/>
      <c r="E38" s="141"/>
      <c r="F38" s="268"/>
      <c r="G38" s="185"/>
      <c r="H38" s="37"/>
      <c r="I38" s="324"/>
      <c r="J38" s="37"/>
    </row>
    <row r="39" spans="1:10" s="44" customFormat="1" ht="36" customHeight="1" x14ac:dyDescent="0.35">
      <c r="A39" s="49" t="s">
        <v>269</v>
      </c>
      <c r="B39" s="50" t="s">
        <v>270</v>
      </c>
      <c r="C39" s="74" t="s">
        <v>271</v>
      </c>
      <c r="D39" s="50" t="s">
        <v>270</v>
      </c>
      <c r="E39" s="50" t="s">
        <v>270</v>
      </c>
      <c r="F39" s="75" t="s">
        <v>273</v>
      </c>
      <c r="G39" s="50" t="s">
        <v>270</v>
      </c>
      <c r="H39" s="43"/>
      <c r="I39" s="324"/>
      <c r="J39" s="43"/>
    </row>
    <row r="40" spans="1:10" ht="22.5" customHeight="1" x14ac:dyDescent="0.35">
      <c r="A40" s="311" t="s">
        <v>274</v>
      </c>
      <c r="B40" s="312"/>
      <c r="C40" s="312"/>
      <c r="D40" s="312"/>
      <c r="E40" s="312"/>
      <c r="F40" s="312"/>
      <c r="G40" s="312"/>
      <c r="H40" s="37"/>
      <c r="I40" s="324"/>
      <c r="J40" s="37"/>
    </row>
    <row r="41" spans="1:10" ht="22.5" customHeight="1" x14ac:dyDescent="0.35">
      <c r="A41" s="39" t="s">
        <v>275</v>
      </c>
      <c r="B41" s="42">
        <v>468776</v>
      </c>
      <c r="C41" s="42">
        <v>593999</v>
      </c>
      <c r="D41" s="42">
        <v>434700</v>
      </c>
      <c r="E41" s="42">
        <v>909000</v>
      </c>
      <c r="F41" s="42">
        <v>747460</v>
      </c>
      <c r="G41" s="42">
        <v>616326</v>
      </c>
      <c r="H41" s="37"/>
      <c r="I41" s="324"/>
      <c r="J41" s="37"/>
    </row>
    <row r="42" spans="1:10" ht="22.5" customHeight="1" x14ac:dyDescent="0.35">
      <c r="A42" s="39" t="s">
        <v>276</v>
      </c>
      <c r="B42" s="42">
        <v>470075</v>
      </c>
      <c r="C42" s="42">
        <v>640258</v>
      </c>
      <c r="D42" s="42">
        <v>436024</v>
      </c>
      <c r="E42" s="42">
        <v>913500</v>
      </c>
      <c r="F42" s="42">
        <v>761535</v>
      </c>
      <c r="G42" s="42">
        <v>616844</v>
      </c>
      <c r="H42" s="37"/>
      <c r="I42" s="324"/>
      <c r="J42" s="37"/>
    </row>
    <row r="43" spans="1:10" ht="22.5" customHeight="1" x14ac:dyDescent="0.35">
      <c r="A43" s="47" t="s">
        <v>277</v>
      </c>
      <c r="B43" s="153">
        <f>B41/B26</f>
        <v>1.0099980490613141</v>
      </c>
      <c r="C43" s="153">
        <f>C41/$C$26</f>
        <v>0.98999932333265683</v>
      </c>
      <c r="D43" s="213">
        <f>D41/D26</f>
        <v>1.05</v>
      </c>
      <c r="E43" s="153">
        <f>E41/E26</f>
        <v>1.01</v>
      </c>
      <c r="F43" s="153">
        <f>F41/F26</f>
        <v>1.0100005540098831</v>
      </c>
      <c r="G43" s="153">
        <f>G41/G26</f>
        <v>1.0500007921949883</v>
      </c>
      <c r="H43" s="37"/>
      <c r="I43" s="324"/>
      <c r="J43" s="37"/>
    </row>
    <row r="44" spans="1:10" ht="22.5" customHeight="1" x14ac:dyDescent="0.35">
      <c r="A44" s="47" t="s">
        <v>278</v>
      </c>
      <c r="B44" s="153">
        <f>B42/B26</f>
        <v>1.0127968004174641</v>
      </c>
      <c r="C44" s="153">
        <f>C42/$C$26</f>
        <v>1.0670977337644005</v>
      </c>
      <c r="D44" s="153">
        <f>D42/D26</f>
        <v>1.0531980676328503</v>
      </c>
      <c r="E44" s="153">
        <f>E42/E26</f>
        <v>1.0149999999999999</v>
      </c>
      <c r="F44" s="153">
        <f>F42/F26</f>
        <v>1.0290193079200443</v>
      </c>
      <c r="G44" s="153">
        <f>G42/G26</f>
        <v>1.0508832803755244</v>
      </c>
      <c r="H44" s="37"/>
      <c r="I44" s="324"/>
      <c r="J44" s="37"/>
    </row>
    <row r="45" spans="1:10" ht="20.25" customHeight="1" x14ac:dyDescent="0.35">
      <c r="A45" s="269" t="s">
        <v>279</v>
      </c>
      <c r="B45" s="269"/>
      <c r="C45" s="269"/>
      <c r="D45" s="269"/>
      <c r="E45" s="269"/>
      <c r="F45" s="269"/>
      <c r="G45" s="181"/>
      <c r="H45" s="37"/>
      <c r="I45" s="324"/>
      <c r="J45" s="37"/>
    </row>
    <row r="46" spans="1:10" ht="22.5" customHeight="1" x14ac:dyDescent="0.35">
      <c r="A46" s="55" t="s">
        <v>280</v>
      </c>
      <c r="B46" s="130">
        <f>B13*3</f>
        <v>18018</v>
      </c>
      <c r="C46" s="159">
        <v>12000</v>
      </c>
      <c r="D46" s="52">
        <v>12006</v>
      </c>
      <c r="E46" s="52">
        <v>12000</v>
      </c>
      <c r="F46" s="42">
        <v>6000</v>
      </c>
      <c r="G46" s="42">
        <v>18000</v>
      </c>
      <c r="H46" s="37"/>
      <c r="I46" s="324"/>
      <c r="J46" s="37"/>
    </row>
    <row r="47" spans="1:10" ht="22.5" customHeight="1" x14ac:dyDescent="0.35">
      <c r="A47" s="31" t="s">
        <v>281</v>
      </c>
      <c r="B47" s="67">
        <v>464135</v>
      </c>
      <c r="C47" s="67">
        <v>479999</v>
      </c>
      <c r="D47" s="35">
        <v>414000</v>
      </c>
      <c r="E47" s="35">
        <v>909000</v>
      </c>
      <c r="F47" s="35">
        <v>740800</v>
      </c>
      <c r="G47" s="35">
        <v>586977</v>
      </c>
      <c r="H47" s="37"/>
      <c r="I47" s="324"/>
      <c r="J47" s="37"/>
    </row>
    <row r="48" spans="1:10" s="44" customFormat="1" ht="22.5" customHeight="1" x14ac:dyDescent="0.35">
      <c r="A48" s="49" t="s">
        <v>282</v>
      </c>
      <c r="B48" s="153">
        <f>(B46+B47)/B26</f>
        <v>1.0388193707635625</v>
      </c>
      <c r="C48" s="153">
        <f>(C46+C47)/$C$26</f>
        <v>0.81999915333248674</v>
      </c>
      <c r="D48" s="153">
        <f t="shared" ref="D48" si="0">(D46+D47)/D26</f>
        <v>1.0289999999999999</v>
      </c>
      <c r="E48" s="153">
        <f t="shared" ref="E48" si="1">(E46+E47)/E26</f>
        <v>1.0233333333333334</v>
      </c>
      <c r="F48" s="153">
        <f t="shared" ref="F48:G48" si="2">(F46+F47)/F26</f>
        <v>1.0091087332226214</v>
      </c>
      <c r="G48" s="153">
        <f t="shared" si="2"/>
        <v>1.0306661235445973</v>
      </c>
      <c r="H48" s="43"/>
      <c r="I48" s="324"/>
      <c r="J48" s="43"/>
    </row>
    <row r="49" spans="1:10" ht="23.25" customHeight="1" x14ac:dyDescent="0.35">
      <c r="A49" s="269" t="s">
        <v>283</v>
      </c>
      <c r="B49" s="269"/>
      <c r="C49" s="269"/>
      <c r="D49" s="269"/>
      <c r="E49" s="269"/>
      <c r="F49" s="269"/>
      <c r="G49" s="181"/>
      <c r="H49" s="37"/>
      <c r="I49" s="324"/>
      <c r="J49" s="37"/>
    </row>
    <row r="50" spans="1:10" ht="22.5" customHeight="1" x14ac:dyDescent="0.35">
      <c r="A50" s="31" t="s">
        <v>284</v>
      </c>
      <c r="B50" s="67">
        <f>B20*3</f>
        <v>42588</v>
      </c>
      <c r="C50" s="152">
        <v>27840</v>
      </c>
      <c r="D50" s="35">
        <f>28994-428</f>
        <v>28566</v>
      </c>
      <c r="E50" s="35">
        <v>42000</v>
      </c>
      <c r="F50" s="35">
        <v>24001</v>
      </c>
      <c r="G50" s="35">
        <v>44368</v>
      </c>
      <c r="H50" s="37"/>
      <c r="I50" s="324"/>
      <c r="J50" s="37"/>
    </row>
    <row r="51" spans="1:10" ht="22.5" customHeight="1" x14ac:dyDescent="0.35">
      <c r="A51" s="31" t="s">
        <v>285</v>
      </c>
      <c r="B51" s="67">
        <v>465434</v>
      </c>
      <c r="C51" s="67">
        <v>484678</v>
      </c>
      <c r="D51" s="35">
        <v>415035</v>
      </c>
      <c r="E51" s="35">
        <v>912600</v>
      </c>
      <c r="F51" s="35">
        <v>754875</v>
      </c>
      <c r="G51" s="35">
        <v>587496</v>
      </c>
      <c r="H51" s="37"/>
      <c r="I51" s="324"/>
      <c r="J51" s="37"/>
    </row>
    <row r="52" spans="1:10" s="44" customFormat="1" ht="22.5" customHeight="1" x14ac:dyDescent="0.35">
      <c r="A52" s="49" t="s">
        <v>286</v>
      </c>
      <c r="B52" s="153">
        <f>(B50+B51)/B26</f>
        <v>1.0945552436136381</v>
      </c>
      <c r="C52" s="153">
        <f t="shared" ref="C52:E52" si="3">(C50+C51)/C26</f>
        <v>0.85419752086418765</v>
      </c>
      <c r="D52" s="153">
        <f t="shared" si="3"/>
        <v>1.0714999999999999</v>
      </c>
      <c r="E52" s="153">
        <f t="shared" si="3"/>
        <v>1.0606666666666666</v>
      </c>
      <c r="F52" s="153">
        <f t="shared" ref="F52:G52" si="4">(F50+F51)/F26</f>
        <v>1.052451223483533</v>
      </c>
      <c r="G52" s="153">
        <f t="shared" si="4"/>
        <v>1.0764720303207949</v>
      </c>
      <c r="H52" s="43"/>
      <c r="I52" s="324"/>
      <c r="J52" s="43"/>
    </row>
    <row r="53" spans="1:10" ht="22.5" customHeight="1" x14ac:dyDescent="0.35">
      <c r="A53" s="359" t="s">
        <v>287</v>
      </c>
      <c r="B53" s="360"/>
      <c r="C53" s="360"/>
      <c r="D53" s="360"/>
      <c r="E53" s="360"/>
      <c r="F53" s="360"/>
      <c r="G53" s="360"/>
      <c r="H53" s="37"/>
      <c r="I53" s="324"/>
      <c r="J53" s="37"/>
    </row>
    <row r="54" spans="1:10" ht="22.5" customHeight="1" x14ac:dyDescent="0.35">
      <c r="A54" s="55" t="s">
        <v>275</v>
      </c>
      <c r="B54" s="69">
        <v>479452</v>
      </c>
      <c r="C54" s="69">
        <v>479999</v>
      </c>
      <c r="D54" s="56">
        <v>434700</v>
      </c>
      <c r="E54" s="56">
        <v>954900</v>
      </c>
      <c r="F54" s="56">
        <v>747460</v>
      </c>
      <c r="G54" s="56">
        <v>616326</v>
      </c>
      <c r="H54" s="37"/>
      <c r="I54" s="324"/>
      <c r="J54" s="37"/>
    </row>
    <row r="55" spans="1:10" ht="22.5" customHeight="1" x14ac:dyDescent="0.35">
      <c r="A55" s="39" t="s">
        <v>276</v>
      </c>
      <c r="B55" s="67">
        <v>490173</v>
      </c>
      <c r="C55" s="67">
        <v>553618</v>
      </c>
      <c r="D55" s="42">
        <v>451260</v>
      </c>
      <c r="E55" s="42">
        <v>980100</v>
      </c>
      <c r="F55" s="42">
        <v>784500</v>
      </c>
      <c r="G55" s="42">
        <v>620736</v>
      </c>
      <c r="H55" s="37"/>
      <c r="I55" s="324"/>
      <c r="J55" s="37"/>
    </row>
    <row r="56" spans="1:10" ht="22.5" customHeight="1" x14ac:dyDescent="0.35">
      <c r="A56" s="47" t="s">
        <v>277</v>
      </c>
      <c r="B56" s="153">
        <f>B54/B26</f>
        <v>1.0329999501223295</v>
      </c>
      <c r="C56" s="153">
        <f t="shared" ref="C56:E56" si="5">C54/C26</f>
        <v>0.79999913333246675</v>
      </c>
      <c r="D56" s="153">
        <f t="shared" si="5"/>
        <v>1.05</v>
      </c>
      <c r="E56" s="153">
        <f t="shared" si="5"/>
        <v>1.0609999999999999</v>
      </c>
      <c r="F56" s="153">
        <f t="shared" ref="F56:G56" si="6">F54/F26</f>
        <v>1.0100005540098831</v>
      </c>
      <c r="G56" s="153">
        <f t="shared" si="6"/>
        <v>1.0500007921949883</v>
      </c>
      <c r="H56" s="37"/>
      <c r="I56" s="324"/>
      <c r="J56" s="37"/>
    </row>
    <row r="57" spans="1:10" ht="22.5" customHeight="1" x14ac:dyDescent="0.35">
      <c r="A57" s="47" t="s">
        <v>278</v>
      </c>
      <c r="B57" s="153">
        <f>B55/B26</f>
        <v>1.0560988056183156</v>
      </c>
      <c r="C57" s="153">
        <f t="shared" ref="C57:E57" si="7">C55/C26</f>
        <v>0.92269758936425617</v>
      </c>
      <c r="D57" s="153">
        <f t="shared" si="7"/>
        <v>1.0900000000000001</v>
      </c>
      <c r="E57" s="213">
        <f t="shared" si="7"/>
        <v>1.089</v>
      </c>
      <c r="F57" s="153">
        <f t="shared" ref="F57:G57" si="8">F55/F26</f>
        <v>1.0600506175858952</v>
      </c>
      <c r="G57" s="153">
        <f t="shared" si="8"/>
        <v>1.0575138672454971</v>
      </c>
      <c r="H57" s="37"/>
      <c r="I57" s="324"/>
      <c r="J57" s="37"/>
    </row>
    <row r="58" spans="1:10" ht="22.5" customHeight="1" x14ac:dyDescent="0.35">
      <c r="A58" s="269" t="s">
        <v>279</v>
      </c>
      <c r="B58" s="269"/>
      <c r="C58" s="269"/>
      <c r="D58" s="269"/>
      <c r="E58" s="269"/>
      <c r="F58" s="269"/>
      <c r="G58" s="181"/>
      <c r="H58" s="37"/>
      <c r="I58" s="324"/>
      <c r="J58" s="37"/>
    </row>
    <row r="59" spans="1:10" ht="22.5" customHeight="1" x14ac:dyDescent="0.35">
      <c r="A59" s="55" t="s">
        <v>280</v>
      </c>
      <c r="B59" s="56">
        <f>18*B13</f>
        <v>108108</v>
      </c>
      <c r="C59" s="56">
        <v>128280</v>
      </c>
      <c r="D59" s="56">
        <v>102051</v>
      </c>
      <c r="E59" s="56">
        <v>147000</v>
      </c>
      <c r="F59" s="42">
        <v>96008</v>
      </c>
      <c r="G59" s="42">
        <v>108000</v>
      </c>
      <c r="H59" s="37"/>
      <c r="I59" s="324"/>
      <c r="J59" s="37"/>
    </row>
    <row r="60" spans="1:10" ht="22.5" customHeight="1" x14ac:dyDescent="0.35">
      <c r="A60" s="31" t="s">
        <v>281</v>
      </c>
      <c r="B60" s="42">
        <v>479452</v>
      </c>
      <c r="C60" s="42">
        <v>479999</v>
      </c>
      <c r="D60" s="42">
        <v>431056</v>
      </c>
      <c r="E60" s="56">
        <v>954900</v>
      </c>
      <c r="F60" s="56">
        <v>740800</v>
      </c>
      <c r="G60" s="56">
        <v>586977</v>
      </c>
      <c r="H60" s="37"/>
      <c r="I60" s="324"/>
      <c r="J60" s="37"/>
    </row>
    <row r="61" spans="1:10" ht="22.5" customHeight="1" x14ac:dyDescent="0.35">
      <c r="A61" s="49" t="s">
        <v>288</v>
      </c>
      <c r="B61" s="153">
        <f>B59/B26</f>
        <v>0.2329233345732728</v>
      </c>
      <c r="C61" s="153">
        <f t="shared" ref="C61:E61" si="9">C59/C26</f>
        <v>0.21380021380021383</v>
      </c>
      <c r="D61" s="153">
        <f t="shared" si="9"/>
        <v>0.2465</v>
      </c>
      <c r="E61" s="153">
        <f t="shared" si="9"/>
        <v>0.16333333333333333</v>
      </c>
      <c r="F61" s="153">
        <f t="shared" ref="F61:G61" si="10">F59/F26</f>
        <v>0.12973019718698103</v>
      </c>
      <c r="G61" s="153">
        <f t="shared" si="10"/>
        <v>0.18399367470633846</v>
      </c>
      <c r="H61" s="37"/>
      <c r="I61" s="324"/>
      <c r="J61" s="37"/>
    </row>
    <row r="62" spans="1:10" ht="22.5" customHeight="1" x14ac:dyDescent="0.35">
      <c r="A62" s="49" t="s">
        <v>282</v>
      </c>
      <c r="B62" s="153">
        <f>(B59+B60)/B26</f>
        <v>1.2659232846956023</v>
      </c>
      <c r="C62" s="153">
        <f t="shared" ref="C62:E62" si="11">(C59+C60)/C26</f>
        <v>1.0137993471326807</v>
      </c>
      <c r="D62" s="153">
        <f t="shared" si="11"/>
        <v>1.2876980676328502</v>
      </c>
      <c r="E62" s="153">
        <f t="shared" si="11"/>
        <v>1.2243333333333333</v>
      </c>
      <c r="F62" s="153">
        <f t="shared" ref="F62:G62" si="12">(F59+F60)/F26</f>
        <v>1.1307314687072247</v>
      </c>
      <c r="G62" s="153">
        <f t="shared" si="12"/>
        <v>1.1839941857998795</v>
      </c>
      <c r="H62" s="37"/>
      <c r="I62" s="324"/>
      <c r="J62" s="37"/>
    </row>
    <row r="63" spans="1:10" ht="22.5" customHeight="1" x14ac:dyDescent="0.35">
      <c r="A63" s="269" t="s">
        <v>283</v>
      </c>
      <c r="B63" s="269"/>
      <c r="C63" s="269"/>
      <c r="D63" s="269"/>
      <c r="E63" s="269"/>
      <c r="F63" s="269"/>
      <c r="G63" s="181"/>
      <c r="H63" s="37"/>
      <c r="I63" s="324"/>
      <c r="J63" s="37"/>
    </row>
    <row r="64" spans="1:10" ht="22.5" customHeight="1" x14ac:dyDescent="0.35">
      <c r="A64" s="24" t="s">
        <v>284</v>
      </c>
      <c r="B64" s="69">
        <f>18*B20</f>
        <v>255528</v>
      </c>
      <c r="C64" s="69">
        <v>334920</v>
      </c>
      <c r="D64" s="69">
        <f>310820-68009</f>
        <v>242811</v>
      </c>
      <c r="E64" s="69">
        <v>501000</v>
      </c>
      <c r="F64" s="67">
        <f>490420-106389</f>
        <v>384031</v>
      </c>
      <c r="G64" s="42">
        <v>362533</v>
      </c>
      <c r="H64" s="37"/>
      <c r="I64" s="324"/>
      <c r="J64" s="37"/>
    </row>
    <row r="65" spans="1:10" ht="22.5" customHeight="1" x14ac:dyDescent="0.35">
      <c r="A65" s="31" t="s">
        <v>285</v>
      </c>
      <c r="B65" s="67">
        <v>490173</v>
      </c>
      <c r="C65" s="67">
        <v>542578</v>
      </c>
      <c r="D65" s="38">
        <v>444304</v>
      </c>
      <c r="E65" s="38">
        <v>976950</v>
      </c>
      <c r="F65" s="42">
        <v>777840</v>
      </c>
      <c r="G65" s="42">
        <v>591388</v>
      </c>
      <c r="H65" s="37"/>
      <c r="I65" s="324"/>
      <c r="J65" s="37"/>
    </row>
    <row r="66" spans="1:10" ht="22.5" customHeight="1" x14ac:dyDescent="0.35">
      <c r="A66" s="49" t="s">
        <v>289</v>
      </c>
      <c r="B66" s="153">
        <f>B64/B26</f>
        <v>0.55054606353682667</v>
      </c>
      <c r="C66" s="153">
        <f t="shared" ref="C66:E66" si="13">C64/C26</f>
        <v>0.55820055820055825</v>
      </c>
      <c r="D66" s="153">
        <f t="shared" si="13"/>
        <v>0.58650000000000002</v>
      </c>
      <c r="E66" s="153">
        <f t="shared" si="13"/>
        <v>0.55666666666666664</v>
      </c>
      <c r="F66" s="153">
        <f t="shared" ref="F66:G66" si="14">F64/F26</f>
        <v>0.51891943750430714</v>
      </c>
      <c r="G66" s="153">
        <f t="shared" si="14"/>
        <v>0.61762758215104629</v>
      </c>
      <c r="H66" s="37"/>
      <c r="I66" s="324"/>
      <c r="J66" s="37"/>
    </row>
    <row r="67" spans="1:10" ht="22.5" customHeight="1" x14ac:dyDescent="0.35">
      <c r="A67" s="49" t="s">
        <v>286</v>
      </c>
      <c r="B67" s="153">
        <f>(B64+B65)/B26</f>
        <v>1.606644869155142</v>
      </c>
      <c r="C67" s="153">
        <f t="shared" ref="C67:E67" si="15">(C64+C65)/C26</f>
        <v>1.462498129164796</v>
      </c>
      <c r="D67" s="153">
        <f t="shared" si="15"/>
        <v>1.6596980676328503</v>
      </c>
      <c r="E67" s="153">
        <f t="shared" si="15"/>
        <v>1.6421666666666668</v>
      </c>
      <c r="F67" s="153">
        <f t="shared" ref="F67:G67" si="16">(F64+F65)/F26</f>
        <v>1.5699707726005629</v>
      </c>
      <c r="G67" s="153">
        <f t="shared" si="16"/>
        <v>1.6251428719402321</v>
      </c>
      <c r="H67" s="37"/>
      <c r="I67" s="324"/>
      <c r="J67" s="37"/>
    </row>
    <row r="68" spans="1:10" ht="22.5" customHeight="1" x14ac:dyDescent="0.35">
      <c r="A68" s="355" t="s">
        <v>290</v>
      </c>
      <c r="B68" s="356"/>
      <c r="C68" s="356"/>
      <c r="D68" s="356"/>
      <c r="E68" s="356"/>
      <c r="F68" s="356"/>
      <c r="G68" s="356"/>
      <c r="H68" s="37"/>
      <c r="I68" s="324"/>
      <c r="J68" s="37"/>
    </row>
    <row r="69" spans="1:10" ht="22.5" customHeight="1" x14ac:dyDescent="0.35">
      <c r="A69" s="55" t="s">
        <v>275</v>
      </c>
      <c r="B69" s="69">
        <v>504004</v>
      </c>
      <c r="C69" s="69">
        <v>479999</v>
      </c>
      <c r="D69" s="56">
        <v>447120</v>
      </c>
      <c r="E69" s="56">
        <v>1008900</v>
      </c>
      <c r="F69" s="42">
        <v>747460</v>
      </c>
      <c r="G69" s="42">
        <v>616326</v>
      </c>
      <c r="H69" s="37"/>
      <c r="I69" s="324"/>
      <c r="J69" s="37"/>
    </row>
    <row r="70" spans="1:10" ht="22.5" customHeight="1" x14ac:dyDescent="0.35">
      <c r="A70" s="39" t="s">
        <v>276</v>
      </c>
      <c r="B70" s="67">
        <v>522847</v>
      </c>
      <c r="C70" s="67">
        <v>575218</v>
      </c>
      <c r="D70" s="42">
        <v>466785</v>
      </c>
      <c r="E70" s="42">
        <v>1035450</v>
      </c>
      <c r="F70" s="42">
        <v>832652</v>
      </c>
      <c r="G70" s="42">
        <v>624077</v>
      </c>
      <c r="H70" s="37"/>
      <c r="I70" s="324"/>
      <c r="J70" s="37"/>
    </row>
    <row r="71" spans="1:10" ht="22.5" customHeight="1" x14ac:dyDescent="0.35">
      <c r="A71" s="47" t="s">
        <v>277</v>
      </c>
      <c r="B71" s="153">
        <f>B69/B26</f>
        <v>1.0858982898422669</v>
      </c>
      <c r="C71" s="153">
        <f t="shared" ref="C71:E71" si="17">C69/C26</f>
        <v>0.79999913333246675</v>
      </c>
      <c r="D71" s="153">
        <f t="shared" si="17"/>
        <v>1.08</v>
      </c>
      <c r="E71" s="153">
        <f t="shared" si="17"/>
        <v>1.121</v>
      </c>
      <c r="F71" s="153">
        <f t="shared" ref="F71:G71" si="18">F69/F26</f>
        <v>1.0100005540098831</v>
      </c>
      <c r="G71" s="153">
        <f t="shared" si="18"/>
        <v>1.0500007921949883</v>
      </c>
      <c r="H71" s="37"/>
      <c r="I71" s="324"/>
      <c r="J71" s="37"/>
    </row>
    <row r="72" spans="1:10" ht="22.5" customHeight="1" x14ac:dyDescent="0.35">
      <c r="A72" s="47" t="s">
        <v>278</v>
      </c>
      <c r="B72" s="153">
        <f>B70/B26</f>
        <v>1.1264963435789392</v>
      </c>
      <c r="C72" s="153">
        <f t="shared" ref="C72:E72" si="19">C70/C26</f>
        <v>0.95869762536429215</v>
      </c>
      <c r="D72" s="153">
        <f t="shared" si="19"/>
        <v>1.1274999999999999</v>
      </c>
      <c r="E72" s="153">
        <f t="shared" si="19"/>
        <v>1.1505000000000001</v>
      </c>
      <c r="F72" s="153">
        <f t="shared" ref="F72:G72" si="20">F70/F26</f>
        <v>1.125115700234711</v>
      </c>
      <c r="G72" s="153">
        <f t="shared" si="20"/>
        <v>1.0632057456454405</v>
      </c>
      <c r="H72" s="37"/>
      <c r="I72" s="324"/>
      <c r="J72" s="37"/>
    </row>
    <row r="73" spans="1:10" ht="22.5" customHeight="1" x14ac:dyDescent="0.35">
      <c r="A73" s="269" t="s">
        <v>279</v>
      </c>
      <c r="B73" s="269"/>
      <c r="C73" s="269"/>
      <c r="D73" s="269"/>
      <c r="E73" s="269"/>
      <c r="F73" s="269"/>
      <c r="G73" s="181"/>
      <c r="H73" s="37"/>
      <c r="I73" s="324"/>
      <c r="J73" s="37"/>
    </row>
    <row r="74" spans="1:10" ht="22.5" customHeight="1" x14ac:dyDescent="0.35">
      <c r="A74" s="55" t="s">
        <v>280</v>
      </c>
      <c r="B74" s="56">
        <f>38*B13</f>
        <v>228228</v>
      </c>
      <c r="C74" s="56">
        <v>292680</v>
      </c>
      <c r="D74" s="56">
        <v>222111</v>
      </c>
      <c r="E74" s="56">
        <v>327000</v>
      </c>
      <c r="F74" s="42">
        <v>216017</v>
      </c>
      <c r="G74" s="42">
        <v>228000</v>
      </c>
      <c r="H74" s="37"/>
      <c r="I74" s="324"/>
      <c r="J74" s="37"/>
    </row>
    <row r="75" spans="1:10" ht="22.5" customHeight="1" x14ac:dyDescent="0.35">
      <c r="A75" s="31" t="s">
        <v>281</v>
      </c>
      <c r="B75" s="67">
        <v>504004</v>
      </c>
      <c r="C75" s="67">
        <v>479999</v>
      </c>
      <c r="D75" s="42">
        <v>447120</v>
      </c>
      <c r="E75" s="56">
        <v>1008900</v>
      </c>
      <c r="F75" s="42">
        <v>740800</v>
      </c>
      <c r="G75" s="42">
        <v>586977</v>
      </c>
      <c r="H75" s="37"/>
      <c r="I75" s="324"/>
      <c r="J75" s="37"/>
    </row>
    <row r="76" spans="1:10" ht="22.5" customHeight="1" x14ac:dyDescent="0.35">
      <c r="A76" s="49" t="s">
        <v>288</v>
      </c>
      <c r="B76" s="153">
        <f>B74/B26</f>
        <v>0.49172703965468706</v>
      </c>
      <c r="C76" s="153">
        <f t="shared" ref="C76:E76" si="21">C74/C26</f>
        <v>0.4878004878004879</v>
      </c>
      <c r="D76" s="153">
        <f t="shared" si="21"/>
        <v>0.53649999999999998</v>
      </c>
      <c r="E76" s="153">
        <f t="shared" si="21"/>
        <v>0.36333333333333334</v>
      </c>
      <c r="F76" s="153">
        <f t="shared" ref="F76:G76" si="22">F74/F26</f>
        <v>0.29189159242709029</v>
      </c>
      <c r="G76" s="153">
        <f t="shared" si="22"/>
        <v>0.38843109104671447</v>
      </c>
      <c r="H76" s="37"/>
      <c r="I76" s="324"/>
      <c r="J76" s="37"/>
    </row>
    <row r="77" spans="1:10" ht="22.5" customHeight="1" x14ac:dyDescent="0.35">
      <c r="A77" s="49" t="s">
        <v>282</v>
      </c>
      <c r="B77" s="153">
        <f>(B74+B75)/B26</f>
        <v>1.577625329496954</v>
      </c>
      <c r="C77" s="153">
        <f t="shared" ref="C77:E77" si="23">(C74+C75)/C26</f>
        <v>1.2877996211329548</v>
      </c>
      <c r="D77" s="153">
        <f t="shared" si="23"/>
        <v>1.6165</v>
      </c>
      <c r="E77" s="153">
        <f t="shared" si="23"/>
        <v>1.4843333333333333</v>
      </c>
      <c r="F77" s="153">
        <f t="shared" ref="F77:G77" si="24">(F74+F75)/F26</f>
        <v>1.2928928639473338</v>
      </c>
      <c r="G77" s="153">
        <f t="shared" si="24"/>
        <v>1.3884316021402554</v>
      </c>
      <c r="H77" s="37"/>
      <c r="I77" s="324"/>
      <c r="J77" s="37"/>
    </row>
    <row r="78" spans="1:10" ht="22.5" customHeight="1" x14ac:dyDescent="0.35">
      <c r="A78" s="269" t="s">
        <v>283</v>
      </c>
      <c r="B78" s="269"/>
      <c r="C78" s="269"/>
      <c r="D78" s="269"/>
      <c r="E78" s="269"/>
      <c r="F78" s="269"/>
      <c r="G78" s="181"/>
      <c r="H78" s="37"/>
      <c r="I78" s="324"/>
      <c r="J78" s="37"/>
    </row>
    <row r="79" spans="1:10" ht="22.5" customHeight="1" x14ac:dyDescent="0.35">
      <c r="A79" s="24" t="s">
        <v>284</v>
      </c>
      <c r="B79" s="69">
        <f>(20*B20)+(18*B22)</f>
        <v>564018</v>
      </c>
      <c r="C79" s="69">
        <v>769320</v>
      </c>
      <c r="D79" s="69">
        <f>971869-422202</f>
        <v>549667</v>
      </c>
      <c r="E79" s="69">
        <v>1113000</v>
      </c>
      <c r="F79" s="67">
        <f>1539513-675444</f>
        <v>864069</v>
      </c>
      <c r="G79" s="42">
        <v>786753</v>
      </c>
      <c r="H79" s="37"/>
      <c r="I79" s="324"/>
      <c r="J79" s="37"/>
    </row>
    <row r="80" spans="1:10" ht="22.5" customHeight="1" x14ac:dyDescent="0.35">
      <c r="A80" s="31" t="s">
        <v>285</v>
      </c>
      <c r="B80" s="67">
        <v>522847</v>
      </c>
      <c r="C80" s="67">
        <v>570478</v>
      </c>
      <c r="D80" s="35">
        <v>462645</v>
      </c>
      <c r="E80" s="35">
        <v>1035450</v>
      </c>
      <c r="F80" s="42">
        <v>825992</v>
      </c>
      <c r="G80" s="42">
        <v>594728</v>
      </c>
      <c r="H80" s="37"/>
      <c r="I80" s="324"/>
      <c r="J80" s="37"/>
    </row>
    <row r="81" spans="1:10" ht="22.5" customHeight="1" x14ac:dyDescent="0.35">
      <c r="A81" s="49" t="s">
        <v>289</v>
      </c>
      <c r="B81" s="153">
        <f>B79/B26</f>
        <v>1.2152010334050041</v>
      </c>
      <c r="C81" s="153">
        <f t="shared" ref="C81:E81" si="25">C79/C26</f>
        <v>1.2822012822012825</v>
      </c>
      <c r="D81" s="153">
        <f t="shared" si="25"/>
        <v>1.3276980676328503</v>
      </c>
      <c r="E81" s="153">
        <f t="shared" si="25"/>
        <v>1.2366666666666666</v>
      </c>
      <c r="F81" s="153">
        <f t="shared" ref="F81:G81" si="26">F79/F26</f>
        <v>1.1675677209519781</v>
      </c>
      <c r="G81" s="153">
        <f t="shared" si="26"/>
        <v>1.3403479218169989</v>
      </c>
      <c r="H81" s="37"/>
      <c r="I81" s="324"/>
      <c r="J81" s="37"/>
    </row>
    <row r="82" spans="1:10" ht="22.5" customHeight="1" x14ac:dyDescent="0.35">
      <c r="A82" s="49" t="s">
        <v>286</v>
      </c>
      <c r="B82" s="153">
        <f>(B79+B80)/B26</f>
        <v>2.3416973769839435</v>
      </c>
      <c r="C82" s="153">
        <f t="shared" ref="C82:E82" si="27">(C79+C80)/C26</f>
        <v>2.2329988996655667</v>
      </c>
      <c r="D82" s="153">
        <f t="shared" si="27"/>
        <v>2.4451980676328504</v>
      </c>
      <c r="E82" s="153">
        <f t="shared" si="27"/>
        <v>2.3871666666666669</v>
      </c>
      <c r="F82" s="153">
        <f t="shared" ref="F82:G82" si="28">(F79+F80)/F26</f>
        <v>2.2836841386970499</v>
      </c>
      <c r="G82" s="153">
        <f t="shared" si="28"/>
        <v>2.3535533863609919</v>
      </c>
      <c r="H82" s="37"/>
      <c r="I82" s="324"/>
      <c r="J82" s="37"/>
    </row>
    <row r="83" spans="1:10" ht="20.25" hidden="1" customHeight="1" x14ac:dyDescent="0.35">
      <c r="A83" s="126" t="s">
        <v>349</v>
      </c>
      <c r="B83" s="128">
        <v>3.4099999999999998E-2</v>
      </c>
      <c r="C83" s="128"/>
      <c r="D83" s="127">
        <v>3.1199999999999999E-2</v>
      </c>
      <c r="E83" s="158"/>
      <c r="F83" s="158"/>
      <c r="G83" s="158"/>
      <c r="I83" s="324"/>
    </row>
    <row r="84" spans="1:10" x14ac:dyDescent="0.35">
      <c r="I84" s="324"/>
    </row>
    <row r="85" spans="1:10" x14ac:dyDescent="0.35">
      <c r="I85" s="324"/>
    </row>
    <row r="86" spans="1:10" x14ac:dyDescent="0.35">
      <c r="I86" s="324"/>
    </row>
    <row r="87" spans="1:10" x14ac:dyDescent="0.35">
      <c r="I87" s="324"/>
    </row>
    <row r="88" spans="1:10" x14ac:dyDescent="0.35">
      <c r="I88" s="324"/>
    </row>
    <row r="89" spans="1:10" x14ac:dyDescent="0.35">
      <c r="I89" s="324"/>
    </row>
    <row r="90" spans="1:10" x14ac:dyDescent="0.35">
      <c r="I90" s="324"/>
    </row>
    <row r="91" spans="1:10" x14ac:dyDescent="0.35">
      <c r="I91" s="324"/>
    </row>
    <row r="92" spans="1:10" x14ac:dyDescent="0.35">
      <c r="I92" s="324"/>
    </row>
    <row r="93" spans="1:10" x14ac:dyDescent="0.35">
      <c r="I93" s="324"/>
    </row>
    <row r="94" spans="1:10" ht="16" thickBot="1" x14ac:dyDescent="0.4">
      <c r="I94" s="325"/>
    </row>
  </sheetData>
  <sheetProtection algorithmName="SHA-512" hashValue="DF3xcWfSytiXstbE7m5Vgc5eQBTrBzWdvfEwdeqpn7ALImeL8YK61gKdiYq5ncFi15hbElLxxg0dopPWiAbJGw==" saltValue="k638R3Gpkwf+sGF+fvWdcQ==" spinCount="100000" sheet="1" objects="1" scenarios="1" selectLockedCells="1" autoFilter="0" selectUnlockedCells="1"/>
  <mergeCells count="29">
    <mergeCell ref="A49:F49"/>
    <mergeCell ref="A58:F58"/>
    <mergeCell ref="A63:F63"/>
    <mergeCell ref="G13:G18"/>
    <mergeCell ref="G27:G32"/>
    <mergeCell ref="A40:G40"/>
    <mergeCell ref="A53:G53"/>
    <mergeCell ref="F13:F18"/>
    <mergeCell ref="A13:A18"/>
    <mergeCell ref="A19:A24"/>
    <mergeCell ref="A27:A32"/>
    <mergeCell ref="D27:D32"/>
    <mergeCell ref="D33:D38"/>
    <mergeCell ref="I7:I94"/>
    <mergeCell ref="F19:F24"/>
    <mergeCell ref="F27:F32"/>
    <mergeCell ref="A1:C2"/>
    <mergeCell ref="A6:A7"/>
    <mergeCell ref="A33:A38"/>
    <mergeCell ref="B13:B18"/>
    <mergeCell ref="B22:B24"/>
    <mergeCell ref="B27:B32"/>
    <mergeCell ref="A73:F73"/>
    <mergeCell ref="F33:F38"/>
    <mergeCell ref="A78:F78"/>
    <mergeCell ref="A45:F45"/>
    <mergeCell ref="A68:G68"/>
    <mergeCell ref="D13:D18"/>
    <mergeCell ref="D19:D24"/>
  </mergeCells>
  <conditionalFormatting sqref="B43:G43">
    <cfRule type="top10" dxfId="67" priority="674" rank="1"/>
  </conditionalFormatting>
  <conditionalFormatting sqref="B44:G44">
    <cfRule type="top10" dxfId="66" priority="675" rank="1"/>
  </conditionalFormatting>
  <conditionalFormatting sqref="B48:G48">
    <cfRule type="top10" dxfId="65" priority="676" rank="1"/>
  </conditionalFormatting>
  <conditionalFormatting sqref="B52:G52">
    <cfRule type="top10" dxfId="64" priority="677" rank="1"/>
  </conditionalFormatting>
  <conditionalFormatting sqref="B56:G56">
    <cfRule type="top10" dxfId="63" priority="678" rank="1"/>
  </conditionalFormatting>
  <conditionalFormatting sqref="B57:G57">
    <cfRule type="top10" dxfId="62" priority="679" rank="1"/>
  </conditionalFormatting>
  <conditionalFormatting sqref="B61:G61">
    <cfRule type="top10" dxfId="61" priority="680" rank="1"/>
  </conditionalFormatting>
  <conditionalFormatting sqref="B62:G62">
    <cfRule type="top10" dxfId="60" priority="681" rank="1"/>
  </conditionalFormatting>
  <conditionalFormatting sqref="B66:G66">
    <cfRule type="top10" dxfId="59" priority="682" rank="1"/>
  </conditionalFormatting>
  <conditionalFormatting sqref="B67:G67">
    <cfRule type="top10" dxfId="58" priority="683" rank="1"/>
  </conditionalFormatting>
  <conditionalFormatting sqref="B71:G71">
    <cfRule type="top10" dxfId="57" priority="684" rank="1"/>
  </conditionalFormatting>
  <conditionalFormatting sqref="B72:G72">
    <cfRule type="top10" dxfId="56" priority="685" rank="1"/>
  </conditionalFormatting>
  <conditionalFormatting sqref="B76:G76">
    <cfRule type="top10" dxfId="55" priority="686" rank="1"/>
  </conditionalFormatting>
  <conditionalFormatting sqref="B77:G77">
    <cfRule type="top10" dxfId="54" priority="687" rank="1"/>
  </conditionalFormatting>
  <conditionalFormatting sqref="B81:G81">
    <cfRule type="top10" dxfId="53" priority="688" rank="1"/>
  </conditionalFormatting>
  <conditionalFormatting sqref="B82:G82">
    <cfRule type="top10" dxfId="52" priority="689" rank="1"/>
  </conditionalFormatting>
  <pageMargins left="0.7" right="0.7" top="0.75" bottom="0.75" header="0.3" footer="0.3"/>
  <pageSetup paperSize="9" orientation="portrait" horizontalDpi="300" verticalDpi="300" r:id="rId1"/>
  <headerFooter>
    <oddFooter>&amp;L_x000D_&amp;1#&amp;"Calibri"&amp;8&amp;K008000 Public</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P84"/>
  <sheetViews>
    <sheetView showGridLines="0" zoomScale="70" zoomScaleNormal="70" workbookViewId="0">
      <pane xSplit="1" ySplit="7" topLeftCell="G8" activePane="bottomRight" state="frozen"/>
      <selection pane="topRight" activeCell="B1" sqref="B1"/>
      <selection pane="bottomLeft" activeCell="A8" sqref="A8"/>
      <selection pane="bottomRight" activeCell="K11" sqref="K11"/>
    </sheetView>
  </sheetViews>
  <sheetFormatPr defaultColWidth="9.1796875" defaultRowHeight="15.5" x14ac:dyDescent="0.35"/>
  <cols>
    <col min="1" max="1" width="70.90625" style="17" bestFit="1" customWidth="1"/>
    <col min="2" max="2" width="37.81640625" style="17" bestFit="1" customWidth="1"/>
    <col min="3" max="3" width="28.26953125" style="17" bestFit="1" customWidth="1"/>
    <col min="4" max="5" width="22.1796875" style="17" bestFit="1" customWidth="1"/>
    <col min="6" max="6" width="25.81640625" style="17" customWidth="1"/>
    <col min="7" max="7" width="26.26953125" style="17" bestFit="1" customWidth="1"/>
    <col min="8" max="8" width="38.08984375" style="17" bestFit="1" customWidth="1"/>
    <col min="9" max="9" width="18.08984375" style="17" bestFit="1" customWidth="1"/>
    <col min="10" max="10" width="21" style="17" bestFit="1" customWidth="1"/>
    <col min="11" max="11" width="36.7265625" style="17" bestFit="1" customWidth="1"/>
    <col min="12" max="12" width="4.54296875" style="17" customWidth="1"/>
    <col min="13" max="13" width="79.81640625" style="17" customWidth="1"/>
    <col min="14" max="16384" width="9.1796875" style="17"/>
  </cols>
  <sheetData>
    <row r="1" spans="1:16" x14ac:dyDescent="0.35">
      <c r="A1" s="273" t="s">
        <v>234</v>
      </c>
      <c r="B1" s="273"/>
      <c r="C1" s="273"/>
      <c r="D1" s="273"/>
      <c r="E1" s="273"/>
      <c r="F1" s="273"/>
      <c r="G1" s="273"/>
      <c r="H1" s="273"/>
      <c r="I1" s="273"/>
      <c r="J1" s="273"/>
      <c r="K1" s="273"/>
      <c r="L1" s="16"/>
      <c r="M1" s="16"/>
      <c r="N1" s="16"/>
      <c r="O1" s="16"/>
      <c r="P1" s="16"/>
    </row>
    <row r="2" spans="1:16" x14ac:dyDescent="0.35">
      <c r="A2" s="273"/>
      <c r="B2" s="273"/>
      <c r="C2" s="273"/>
      <c r="D2" s="273"/>
      <c r="E2" s="273"/>
      <c r="F2" s="273"/>
      <c r="G2" s="273"/>
      <c r="H2" s="273"/>
      <c r="I2" s="273"/>
      <c r="J2" s="273"/>
      <c r="K2" s="273"/>
      <c r="L2" s="16"/>
      <c r="M2" s="16"/>
      <c r="N2" s="16"/>
      <c r="O2" s="16"/>
      <c r="P2" s="16"/>
    </row>
    <row r="3" spans="1:16" x14ac:dyDescent="0.35">
      <c r="A3" s="18" t="s">
        <v>341</v>
      </c>
      <c r="B3" s="18"/>
      <c r="C3" s="18"/>
    </row>
    <row r="4" spans="1:16" x14ac:dyDescent="0.35">
      <c r="A4" s="17" t="s">
        <v>236</v>
      </c>
      <c r="B4" s="18"/>
      <c r="C4" s="18"/>
    </row>
    <row r="5" spans="1:16" ht="31.5" thickBot="1" x14ac:dyDescent="0.4">
      <c r="A5" s="18" t="s">
        <v>237</v>
      </c>
      <c r="B5" s="18"/>
      <c r="C5" s="18"/>
    </row>
    <row r="6" spans="1:16" ht="16" thickBot="1" x14ac:dyDescent="0.4">
      <c r="A6" s="274" t="s">
        <v>238</v>
      </c>
      <c r="B6" s="178" t="s">
        <v>16</v>
      </c>
      <c r="C6" s="178" t="s">
        <v>16</v>
      </c>
      <c r="D6" s="178" t="s">
        <v>21</v>
      </c>
      <c r="E6" s="178" t="s">
        <v>21</v>
      </c>
      <c r="F6" s="178" t="s">
        <v>26</v>
      </c>
      <c r="G6" s="178" t="s">
        <v>27</v>
      </c>
      <c r="H6" s="178" t="s">
        <v>30</v>
      </c>
      <c r="I6" s="178" t="s">
        <v>30</v>
      </c>
      <c r="J6" s="178" t="s">
        <v>37</v>
      </c>
      <c r="K6" s="178" t="s">
        <v>37</v>
      </c>
      <c r="L6" s="19"/>
      <c r="M6" s="20" t="s">
        <v>239</v>
      </c>
      <c r="N6" s="19"/>
      <c r="P6" s="21"/>
    </row>
    <row r="7" spans="1:16" ht="31" x14ac:dyDescent="0.35">
      <c r="A7" s="274"/>
      <c r="B7" s="178" t="s">
        <v>240</v>
      </c>
      <c r="C7" s="178" t="s">
        <v>241</v>
      </c>
      <c r="D7" s="178" t="s">
        <v>291</v>
      </c>
      <c r="E7" s="178" t="s">
        <v>313</v>
      </c>
      <c r="F7" s="178" t="s">
        <v>370</v>
      </c>
      <c r="G7" s="178" t="s">
        <v>28</v>
      </c>
      <c r="H7" s="178" t="s">
        <v>33</v>
      </c>
      <c r="I7" s="178" t="s">
        <v>31</v>
      </c>
      <c r="J7" s="178" t="s">
        <v>40</v>
      </c>
      <c r="K7" s="178" t="s">
        <v>38</v>
      </c>
      <c r="L7" s="22"/>
      <c r="M7" s="323" t="s">
        <v>405</v>
      </c>
      <c r="N7" s="22"/>
      <c r="P7" s="23"/>
    </row>
    <row r="8" spans="1:16" x14ac:dyDescent="0.35">
      <c r="A8" s="24" t="s">
        <v>242</v>
      </c>
      <c r="B8" s="25">
        <v>4.2500000000000003E-2</v>
      </c>
      <c r="C8" s="25">
        <v>4.2500000000000003E-2</v>
      </c>
      <c r="D8" s="25">
        <v>4.2500000000000003E-2</v>
      </c>
      <c r="E8" s="25">
        <v>4.2500000000000003E-2</v>
      </c>
      <c r="F8" s="25">
        <v>4.2500000000000003E-2</v>
      </c>
      <c r="G8" s="25">
        <v>4.2500000000000003E-2</v>
      </c>
      <c r="H8" s="25">
        <v>4.2500000000000003E-2</v>
      </c>
      <c r="I8" s="25">
        <v>4.2500000000000003E-2</v>
      </c>
      <c r="J8" s="25">
        <v>4.2500000000000003E-2</v>
      </c>
      <c r="K8" s="25">
        <v>4.2500000000000003E-2</v>
      </c>
      <c r="L8" s="26"/>
      <c r="M8" s="324"/>
      <c r="N8" s="26"/>
      <c r="P8" s="27"/>
    </row>
    <row r="9" spans="1:16" x14ac:dyDescent="0.35">
      <c r="A9" s="28" t="s">
        <v>243</v>
      </c>
      <c r="B9" s="29" t="s">
        <v>342</v>
      </c>
      <c r="C9" s="29" t="s">
        <v>342</v>
      </c>
      <c r="D9" s="29" t="s">
        <v>343</v>
      </c>
      <c r="E9" s="29" t="s">
        <v>343</v>
      </c>
      <c r="F9" s="63" t="s">
        <v>342</v>
      </c>
      <c r="G9" s="63" t="s">
        <v>342</v>
      </c>
      <c r="H9" s="63" t="s">
        <v>343</v>
      </c>
      <c r="I9" s="29" t="s">
        <v>350</v>
      </c>
      <c r="J9" s="29" t="s">
        <v>343</v>
      </c>
      <c r="K9" s="29" t="s">
        <v>343</v>
      </c>
      <c r="L9" s="30"/>
      <c r="M9" s="324"/>
      <c r="N9" s="30"/>
    </row>
    <row r="10" spans="1:16" x14ac:dyDescent="0.35">
      <c r="A10" s="31" t="s">
        <v>57</v>
      </c>
      <c r="B10" s="32">
        <v>5</v>
      </c>
      <c r="C10" s="32">
        <v>5</v>
      </c>
      <c r="D10" s="32">
        <v>5</v>
      </c>
      <c r="E10" s="32">
        <v>5</v>
      </c>
      <c r="F10" s="32">
        <v>5</v>
      </c>
      <c r="G10" s="32">
        <v>5</v>
      </c>
      <c r="H10" s="32">
        <v>5</v>
      </c>
      <c r="I10" s="32">
        <v>5</v>
      </c>
      <c r="J10" s="32">
        <v>5</v>
      </c>
      <c r="K10" s="32">
        <v>5</v>
      </c>
      <c r="L10" s="30"/>
      <c r="M10" s="324"/>
      <c r="N10" s="30"/>
    </row>
    <row r="11" spans="1:16" ht="46.5" x14ac:dyDescent="0.35">
      <c r="A11" s="31" t="s">
        <v>246</v>
      </c>
      <c r="B11" s="33" t="s">
        <v>351</v>
      </c>
      <c r="C11" s="33" t="s">
        <v>293</v>
      </c>
      <c r="D11" s="33" t="s">
        <v>292</v>
      </c>
      <c r="E11" s="33" t="s">
        <v>292</v>
      </c>
      <c r="F11" s="214" t="s">
        <v>384</v>
      </c>
      <c r="G11" s="123" t="s">
        <v>294</v>
      </c>
      <c r="H11" s="33" t="s">
        <v>292</v>
      </c>
      <c r="I11" s="33" t="s">
        <v>295</v>
      </c>
      <c r="J11" s="123" t="s">
        <v>296</v>
      </c>
      <c r="K11" s="33" t="s">
        <v>297</v>
      </c>
      <c r="L11" s="30"/>
      <c r="M11" s="324"/>
      <c r="N11" s="30"/>
    </row>
    <row r="12" spans="1:16" x14ac:dyDescent="0.35">
      <c r="A12" s="31" t="s">
        <v>251</v>
      </c>
      <c r="B12" s="34">
        <v>273000</v>
      </c>
      <c r="C12" s="34">
        <v>600000</v>
      </c>
      <c r="D12" s="35">
        <v>600000</v>
      </c>
      <c r="E12" s="35">
        <v>333000</v>
      </c>
      <c r="F12" s="125" t="s">
        <v>252</v>
      </c>
      <c r="G12" s="35">
        <v>600000</v>
      </c>
      <c r="H12" s="35">
        <v>300000</v>
      </c>
      <c r="I12" s="35">
        <v>200000</v>
      </c>
      <c r="J12" s="35">
        <v>740800</v>
      </c>
      <c r="K12" s="35">
        <v>750000</v>
      </c>
      <c r="L12" s="30"/>
      <c r="M12" s="324"/>
      <c r="N12" s="30"/>
    </row>
    <row r="13" spans="1:16" x14ac:dyDescent="0.35">
      <c r="A13" s="281" t="s">
        <v>253</v>
      </c>
      <c r="B13" s="330">
        <v>6006</v>
      </c>
      <c r="C13" s="129" t="s">
        <v>298</v>
      </c>
      <c r="D13" s="262">
        <v>6000</v>
      </c>
      <c r="E13" s="262">
        <v>5994</v>
      </c>
      <c r="F13" s="262">
        <v>6003</v>
      </c>
      <c r="G13" s="131" t="s">
        <v>299</v>
      </c>
      <c r="H13" s="262">
        <v>6000</v>
      </c>
      <c r="I13" s="262">
        <v>6000</v>
      </c>
      <c r="J13" s="262">
        <v>6000</v>
      </c>
      <c r="K13" s="262">
        <v>6000</v>
      </c>
      <c r="L13" s="37"/>
      <c r="M13" s="324"/>
      <c r="N13" s="37"/>
    </row>
    <row r="14" spans="1:16" x14ac:dyDescent="0.35">
      <c r="A14" s="282"/>
      <c r="B14" s="331"/>
      <c r="C14" s="133">
        <v>6000</v>
      </c>
      <c r="D14" s="263"/>
      <c r="E14" s="263"/>
      <c r="F14" s="263"/>
      <c r="G14" s="52">
        <f>G25*5%</f>
        <v>6000</v>
      </c>
      <c r="H14" s="263"/>
      <c r="I14" s="263"/>
      <c r="J14" s="263"/>
      <c r="K14" s="263"/>
      <c r="L14" s="37"/>
      <c r="M14" s="324"/>
      <c r="N14" s="37"/>
    </row>
    <row r="15" spans="1:16" x14ac:dyDescent="0.35">
      <c r="A15" s="282"/>
      <c r="B15" s="331"/>
      <c r="C15" s="129" t="s">
        <v>300</v>
      </c>
      <c r="D15" s="263"/>
      <c r="E15" s="263"/>
      <c r="F15" s="263"/>
      <c r="G15" s="154" t="s">
        <v>301</v>
      </c>
      <c r="H15" s="263"/>
      <c r="I15" s="263"/>
      <c r="J15" s="263"/>
      <c r="K15" s="263"/>
      <c r="L15" s="37"/>
      <c r="M15" s="324"/>
      <c r="N15" s="37"/>
    </row>
    <row r="16" spans="1:16" x14ac:dyDescent="0.35">
      <c r="A16" s="282"/>
      <c r="B16" s="331"/>
      <c r="C16" s="130">
        <v>7680</v>
      </c>
      <c r="D16" s="263"/>
      <c r="E16" s="263"/>
      <c r="F16" s="263"/>
      <c r="G16" s="154">
        <f>G25*6.3%</f>
        <v>7560</v>
      </c>
      <c r="H16" s="263"/>
      <c r="I16" s="263"/>
      <c r="J16" s="263"/>
      <c r="K16" s="263"/>
      <c r="L16" s="37"/>
      <c r="M16" s="324"/>
      <c r="N16" s="37"/>
    </row>
    <row r="17" spans="1:14" x14ac:dyDescent="0.35">
      <c r="A17" s="282"/>
      <c r="B17" s="331"/>
      <c r="C17" s="133" t="s">
        <v>302</v>
      </c>
      <c r="D17" s="263"/>
      <c r="E17" s="263"/>
      <c r="F17" s="263"/>
      <c r="G17" s="154"/>
      <c r="H17" s="263"/>
      <c r="I17" s="263"/>
      <c r="J17" s="263"/>
      <c r="K17" s="263"/>
      <c r="L17" s="37"/>
      <c r="M17" s="324"/>
      <c r="N17" s="37"/>
    </row>
    <row r="18" spans="1:14" x14ac:dyDescent="0.35">
      <c r="A18" s="316"/>
      <c r="B18" s="332"/>
      <c r="C18" s="130">
        <v>8220</v>
      </c>
      <c r="D18" s="264"/>
      <c r="E18" s="264"/>
      <c r="F18" s="264"/>
      <c r="G18" s="52"/>
      <c r="H18" s="264"/>
      <c r="I18" s="264"/>
      <c r="J18" s="264"/>
      <c r="K18" s="264"/>
      <c r="L18" s="37"/>
      <c r="M18" s="324"/>
      <c r="N18" s="37"/>
    </row>
    <row r="19" spans="1:14" x14ac:dyDescent="0.35">
      <c r="A19" s="278" t="s">
        <v>259</v>
      </c>
      <c r="B19" s="129" t="s">
        <v>352</v>
      </c>
      <c r="C19" s="129" t="s">
        <v>298</v>
      </c>
      <c r="D19" s="342">
        <v>34200</v>
      </c>
      <c r="E19" s="289">
        <v>19980</v>
      </c>
      <c r="F19" s="364" t="s">
        <v>387</v>
      </c>
      <c r="G19" s="131" t="s">
        <v>299</v>
      </c>
      <c r="H19" s="131" t="s">
        <v>353</v>
      </c>
      <c r="I19" s="370">
        <v>16800</v>
      </c>
      <c r="J19" s="303">
        <v>24001</v>
      </c>
      <c r="K19" s="131" t="s">
        <v>354</v>
      </c>
      <c r="L19" s="37"/>
      <c r="M19" s="324"/>
      <c r="N19" s="37"/>
    </row>
    <row r="20" spans="1:14" x14ac:dyDescent="0.35">
      <c r="A20" s="279"/>
      <c r="B20" s="130">
        <v>14196</v>
      </c>
      <c r="C20" s="130">
        <v>13860</v>
      </c>
      <c r="D20" s="343"/>
      <c r="E20" s="328"/>
      <c r="F20" s="365"/>
      <c r="G20" s="52">
        <f>G14+(5%*G25)</f>
        <v>12000</v>
      </c>
      <c r="H20" s="154">
        <v>27900</v>
      </c>
      <c r="I20" s="265"/>
      <c r="J20" s="290"/>
      <c r="K20" s="52">
        <v>15000</v>
      </c>
      <c r="L20" s="37"/>
      <c r="M20" s="324"/>
      <c r="N20" s="37"/>
    </row>
    <row r="21" spans="1:14" x14ac:dyDescent="0.35">
      <c r="A21" s="279"/>
      <c r="B21" s="129" t="s">
        <v>355</v>
      </c>
      <c r="C21" s="133" t="s">
        <v>300</v>
      </c>
      <c r="D21" s="343"/>
      <c r="E21" s="328"/>
      <c r="F21" s="365"/>
      <c r="G21" s="154" t="s">
        <v>301</v>
      </c>
      <c r="H21" s="131" t="s">
        <v>356</v>
      </c>
      <c r="I21" s="265"/>
      <c r="J21" s="290"/>
      <c r="K21" s="131" t="s">
        <v>354</v>
      </c>
      <c r="L21" s="37"/>
      <c r="M21" s="324"/>
      <c r="N21" s="37"/>
    </row>
    <row r="22" spans="1:14" x14ac:dyDescent="0.35">
      <c r="A22" s="279"/>
      <c r="B22" s="362">
        <v>15561</v>
      </c>
      <c r="C22" s="130">
        <v>20160</v>
      </c>
      <c r="D22" s="343"/>
      <c r="E22" s="328"/>
      <c r="F22" s="365"/>
      <c r="G22" s="154">
        <f>G16+(12.7%*G25)</f>
        <v>22800</v>
      </c>
      <c r="H22" s="154">
        <v>29700</v>
      </c>
      <c r="I22" s="265"/>
      <c r="J22" s="290"/>
      <c r="K22" s="371">
        <v>22500</v>
      </c>
      <c r="L22" s="37"/>
      <c r="M22" s="324"/>
      <c r="N22" s="37"/>
    </row>
    <row r="23" spans="1:14" x14ac:dyDescent="0.35">
      <c r="A23" s="279"/>
      <c r="B23" s="362"/>
      <c r="C23" s="133" t="s">
        <v>302</v>
      </c>
      <c r="D23" s="343"/>
      <c r="E23" s="328"/>
      <c r="F23" s="365"/>
      <c r="G23" s="154"/>
      <c r="H23" s="154"/>
      <c r="I23" s="265"/>
      <c r="J23" s="290"/>
      <c r="K23" s="371"/>
      <c r="L23" s="37"/>
      <c r="M23" s="324"/>
      <c r="N23" s="37"/>
    </row>
    <row r="24" spans="1:14" x14ac:dyDescent="0.35">
      <c r="A24" s="280"/>
      <c r="B24" s="363"/>
      <c r="C24" s="130">
        <v>21540</v>
      </c>
      <c r="D24" s="344"/>
      <c r="E24" s="329"/>
      <c r="F24" s="365"/>
      <c r="G24" s="52"/>
      <c r="H24" s="132"/>
      <c r="I24" s="308"/>
      <c r="J24" s="304"/>
      <c r="K24" s="372"/>
      <c r="L24" s="37"/>
      <c r="M24" s="324"/>
      <c r="N24" s="37"/>
    </row>
    <row r="25" spans="1:14" x14ac:dyDescent="0.35">
      <c r="A25" s="31" t="s">
        <v>264</v>
      </c>
      <c r="B25" s="137">
        <v>93267.75</v>
      </c>
      <c r="C25" s="137">
        <v>120000</v>
      </c>
      <c r="D25" s="35">
        <v>212580</v>
      </c>
      <c r="E25" s="52">
        <v>118314</v>
      </c>
      <c r="F25" s="52">
        <v>87000</v>
      </c>
      <c r="G25" s="35">
        <v>120000</v>
      </c>
      <c r="H25" s="52">
        <v>176470.6</v>
      </c>
      <c r="I25" s="138">
        <v>120000</v>
      </c>
      <c r="J25" s="35">
        <v>148160</v>
      </c>
      <c r="K25" s="52">
        <v>150000</v>
      </c>
      <c r="L25" s="37"/>
      <c r="M25" s="324"/>
      <c r="N25" s="37"/>
    </row>
    <row r="26" spans="1:14" x14ac:dyDescent="0.35">
      <c r="A26" s="31" t="s">
        <v>265</v>
      </c>
      <c r="B26" s="38">
        <f>B25*5</f>
        <v>466338.75</v>
      </c>
      <c r="C26" s="38">
        <f>C25*5</f>
        <v>600000</v>
      </c>
      <c r="D26" s="38">
        <f t="shared" ref="D26:K26" si="0">D25*5</f>
        <v>1062900</v>
      </c>
      <c r="E26" s="38">
        <f t="shared" si="0"/>
        <v>591570</v>
      </c>
      <c r="F26" s="67">
        <f>F25*5</f>
        <v>435000</v>
      </c>
      <c r="G26" s="38">
        <f t="shared" si="0"/>
        <v>600000</v>
      </c>
      <c r="H26" s="38">
        <f t="shared" si="0"/>
        <v>882353</v>
      </c>
      <c r="I26" s="38">
        <f t="shared" si="0"/>
        <v>600000</v>
      </c>
      <c r="J26" s="38">
        <f t="shared" si="0"/>
        <v>740800</v>
      </c>
      <c r="K26" s="38">
        <f t="shared" si="0"/>
        <v>750000</v>
      </c>
      <c r="L26" s="37"/>
      <c r="M26" s="324"/>
      <c r="N26" s="37"/>
    </row>
    <row r="27" spans="1:14" x14ac:dyDescent="0.35">
      <c r="A27" s="283" t="s">
        <v>266</v>
      </c>
      <c r="B27" s="266">
        <f>B13/B26</f>
        <v>1.2879049832337544E-2</v>
      </c>
      <c r="C27" s="147" t="s">
        <v>298</v>
      </c>
      <c r="D27" s="266">
        <f>D13/D26</f>
        <v>5.6449336720293536E-3</v>
      </c>
      <c r="E27" s="266">
        <f t="shared" ref="E27" si="1">E13/E26</f>
        <v>1.0132359653126427E-2</v>
      </c>
      <c r="F27" s="320">
        <f>F13/F26</f>
        <v>1.38E-2</v>
      </c>
      <c r="G27" s="155" t="s">
        <v>299</v>
      </c>
      <c r="H27" s="266">
        <f t="shared" ref="H27" si="2">H13/H26</f>
        <v>6.7999995466666973E-3</v>
      </c>
      <c r="I27" s="266">
        <f t="shared" ref="I27" si="3">I13/I26</f>
        <v>0.01</v>
      </c>
      <c r="J27" s="266">
        <f t="shared" ref="J27" si="4">J13/J26</f>
        <v>8.099352051835854E-3</v>
      </c>
      <c r="K27" s="266">
        <f t="shared" ref="K27" si="5">K13/K26</f>
        <v>8.0000000000000002E-3</v>
      </c>
      <c r="L27" s="37"/>
      <c r="M27" s="324"/>
      <c r="N27" s="37"/>
    </row>
    <row r="28" spans="1:14" x14ac:dyDescent="0.35">
      <c r="A28" s="284"/>
      <c r="B28" s="267"/>
      <c r="C28" s="150">
        <f>C14/C26</f>
        <v>0.01</v>
      </c>
      <c r="D28" s="267"/>
      <c r="E28" s="267"/>
      <c r="F28" s="321"/>
      <c r="G28" s="169">
        <f>G14/G26</f>
        <v>0.01</v>
      </c>
      <c r="H28" s="267"/>
      <c r="I28" s="267"/>
      <c r="J28" s="267"/>
      <c r="K28" s="267"/>
      <c r="L28" s="37"/>
      <c r="M28" s="324"/>
      <c r="N28" s="37"/>
    </row>
    <row r="29" spans="1:14" x14ac:dyDescent="0.35">
      <c r="A29" s="284"/>
      <c r="B29" s="267"/>
      <c r="C29" s="147" t="s">
        <v>300</v>
      </c>
      <c r="D29" s="267"/>
      <c r="E29" s="267"/>
      <c r="F29" s="321"/>
      <c r="G29" s="165" t="s">
        <v>301</v>
      </c>
      <c r="H29" s="267"/>
      <c r="I29" s="267"/>
      <c r="J29" s="267"/>
      <c r="K29" s="267"/>
      <c r="L29" s="37"/>
      <c r="M29" s="324"/>
      <c r="N29" s="37"/>
    </row>
    <row r="30" spans="1:14" x14ac:dyDescent="0.35">
      <c r="A30" s="284"/>
      <c r="B30" s="267"/>
      <c r="C30" s="150">
        <f>C16/C26</f>
        <v>1.2800000000000001E-2</v>
      </c>
      <c r="D30" s="267"/>
      <c r="E30" s="267"/>
      <c r="F30" s="321"/>
      <c r="G30" s="168">
        <f>G16/G26</f>
        <v>1.26E-2</v>
      </c>
      <c r="H30" s="267"/>
      <c r="I30" s="267"/>
      <c r="J30" s="267"/>
      <c r="K30" s="267"/>
      <c r="L30" s="37"/>
      <c r="M30" s="324"/>
      <c r="N30" s="37"/>
    </row>
    <row r="31" spans="1:14" x14ac:dyDescent="0.35">
      <c r="A31" s="284"/>
      <c r="B31" s="267"/>
      <c r="C31" s="148" t="s">
        <v>302</v>
      </c>
      <c r="D31" s="267"/>
      <c r="E31" s="267"/>
      <c r="F31" s="321"/>
      <c r="G31" s="140"/>
      <c r="H31" s="267"/>
      <c r="I31" s="267"/>
      <c r="J31" s="267"/>
      <c r="K31" s="267"/>
      <c r="L31" s="37"/>
      <c r="M31" s="324"/>
      <c r="N31" s="37"/>
    </row>
    <row r="32" spans="1:14" x14ac:dyDescent="0.35">
      <c r="A32" s="285"/>
      <c r="B32" s="268"/>
      <c r="C32" s="150">
        <f>C18/C26</f>
        <v>1.37E-2</v>
      </c>
      <c r="D32" s="268"/>
      <c r="E32" s="268"/>
      <c r="F32" s="322"/>
      <c r="G32" s="141"/>
      <c r="H32" s="268"/>
      <c r="I32" s="268"/>
      <c r="J32" s="268"/>
      <c r="K32" s="268"/>
      <c r="L32" s="37"/>
      <c r="M32" s="324"/>
      <c r="N32" s="37"/>
    </row>
    <row r="33" spans="1:14" x14ac:dyDescent="0.35">
      <c r="A33" s="275" t="s">
        <v>267</v>
      </c>
      <c r="B33" s="134" t="s">
        <v>357</v>
      </c>
      <c r="C33" s="147" t="s">
        <v>298</v>
      </c>
      <c r="D33" s="266">
        <f>D19/D26</f>
        <v>3.2176121930567313E-2</v>
      </c>
      <c r="E33" s="266">
        <f t="shared" ref="E33" si="6">E19/E26</f>
        <v>3.377453217708809E-2</v>
      </c>
      <c r="F33" s="266" t="s">
        <v>397</v>
      </c>
      <c r="G33" s="155" t="s">
        <v>299</v>
      </c>
      <c r="H33" s="155" t="s">
        <v>353</v>
      </c>
      <c r="I33" s="266">
        <f t="shared" ref="I33:J33" si="7">I19/I26</f>
        <v>2.8000000000000001E-2</v>
      </c>
      <c r="J33" s="266">
        <f t="shared" si="7"/>
        <v>3.2398758099352054E-2</v>
      </c>
      <c r="K33" s="155" t="s">
        <v>354</v>
      </c>
      <c r="L33" s="37"/>
      <c r="M33" s="324"/>
      <c r="N33" s="37"/>
    </row>
    <row r="34" spans="1:14" x14ac:dyDescent="0.35">
      <c r="A34" s="276"/>
      <c r="B34" s="141">
        <f>B20/B26</f>
        <v>3.0441390512797831E-2</v>
      </c>
      <c r="C34" s="150">
        <f>C20/C26</f>
        <v>2.3099999999999999E-2</v>
      </c>
      <c r="D34" s="267"/>
      <c r="E34" s="267"/>
      <c r="F34" s="267"/>
      <c r="G34" s="141">
        <f>G20/G26</f>
        <v>0.02</v>
      </c>
      <c r="H34" s="141">
        <f>H20/H26</f>
        <v>3.1619997892000137E-2</v>
      </c>
      <c r="I34" s="267"/>
      <c r="J34" s="267"/>
      <c r="K34" s="141">
        <f>K20/K26</f>
        <v>0.02</v>
      </c>
      <c r="L34" s="37"/>
      <c r="M34" s="324"/>
      <c r="N34" s="37"/>
    </row>
    <row r="35" spans="1:14" x14ac:dyDescent="0.35">
      <c r="A35" s="276"/>
      <c r="B35" s="134" t="s">
        <v>358</v>
      </c>
      <c r="C35" s="147" t="s">
        <v>300</v>
      </c>
      <c r="D35" s="267"/>
      <c r="E35" s="267"/>
      <c r="F35" s="267"/>
      <c r="G35" s="165" t="s">
        <v>301</v>
      </c>
      <c r="H35" s="155" t="s">
        <v>356</v>
      </c>
      <c r="I35" s="267"/>
      <c r="J35" s="267"/>
      <c r="K35" s="155" t="s">
        <v>354</v>
      </c>
      <c r="L35" s="37"/>
      <c r="M35" s="324"/>
      <c r="N35" s="37"/>
    </row>
    <row r="36" spans="1:14" x14ac:dyDescent="0.35">
      <c r="A36" s="276"/>
      <c r="B36" s="267">
        <f>B22/B26</f>
        <v>3.3368447292874547E-2</v>
      </c>
      <c r="C36" s="150">
        <f>C22/C26</f>
        <v>3.3599999999999998E-2</v>
      </c>
      <c r="D36" s="267"/>
      <c r="E36" s="267"/>
      <c r="F36" s="267"/>
      <c r="G36" s="321">
        <f>G22/G26</f>
        <v>3.7999999999999999E-2</v>
      </c>
      <c r="H36" s="267">
        <f>H22/H26</f>
        <v>3.3659997756000148E-2</v>
      </c>
      <c r="I36" s="267"/>
      <c r="J36" s="267"/>
      <c r="K36" s="267">
        <f>K22/K26</f>
        <v>0.03</v>
      </c>
      <c r="L36" s="37"/>
      <c r="M36" s="324"/>
      <c r="N36" s="37"/>
    </row>
    <row r="37" spans="1:14" x14ac:dyDescent="0.35">
      <c r="A37" s="276"/>
      <c r="B37" s="267"/>
      <c r="C37" s="148" t="s">
        <v>302</v>
      </c>
      <c r="D37" s="267"/>
      <c r="E37" s="267"/>
      <c r="F37" s="267"/>
      <c r="G37" s="321"/>
      <c r="H37" s="267"/>
      <c r="I37" s="267"/>
      <c r="J37" s="267"/>
      <c r="K37" s="267"/>
      <c r="L37" s="37"/>
      <c r="M37" s="324"/>
      <c r="N37" s="37"/>
    </row>
    <row r="38" spans="1:14" x14ac:dyDescent="0.35">
      <c r="A38" s="277"/>
      <c r="B38" s="268"/>
      <c r="C38" s="150">
        <f>C24/C26</f>
        <v>3.5900000000000001E-2</v>
      </c>
      <c r="D38" s="268"/>
      <c r="E38" s="268"/>
      <c r="F38" s="268"/>
      <c r="G38" s="322"/>
      <c r="H38" s="268"/>
      <c r="I38" s="268"/>
      <c r="J38" s="268"/>
      <c r="K38" s="268"/>
      <c r="L38" s="37"/>
      <c r="M38" s="324"/>
      <c r="N38" s="37"/>
    </row>
    <row r="39" spans="1:14" s="44" customFormat="1" ht="31" x14ac:dyDescent="0.35">
      <c r="A39" s="64" t="s">
        <v>307</v>
      </c>
      <c r="B39" s="65" t="s">
        <v>273</v>
      </c>
      <c r="C39" s="77" t="s">
        <v>309</v>
      </c>
      <c r="D39" s="65" t="s">
        <v>273</v>
      </c>
      <c r="E39" s="65" t="s">
        <v>273</v>
      </c>
      <c r="F39" s="65" t="s">
        <v>273</v>
      </c>
      <c r="G39" s="61" t="s">
        <v>273</v>
      </c>
      <c r="H39" s="61" t="s">
        <v>273</v>
      </c>
      <c r="I39" s="77" t="s">
        <v>310</v>
      </c>
      <c r="J39" s="66" t="s">
        <v>272</v>
      </c>
      <c r="K39" s="66" t="s">
        <v>311</v>
      </c>
      <c r="L39" s="43"/>
      <c r="M39" s="324"/>
      <c r="N39" s="43"/>
    </row>
    <row r="40" spans="1:14" x14ac:dyDescent="0.35">
      <c r="A40" s="311" t="s">
        <v>274</v>
      </c>
      <c r="B40" s="312"/>
      <c r="C40" s="312"/>
      <c r="D40" s="312"/>
      <c r="E40" s="112"/>
      <c r="F40" s="112"/>
      <c r="G40" s="112"/>
      <c r="H40" s="112"/>
      <c r="I40" s="112"/>
      <c r="J40" s="112"/>
      <c r="K40" s="112"/>
      <c r="L40" s="37"/>
      <c r="M40" s="324"/>
      <c r="N40" s="37"/>
    </row>
    <row r="41" spans="1:14" x14ac:dyDescent="0.35">
      <c r="A41" s="55" t="s">
        <v>275</v>
      </c>
      <c r="B41" s="38">
        <v>471002</v>
      </c>
      <c r="C41" s="137">
        <v>606000</v>
      </c>
      <c r="D41" s="56">
        <v>1073529</v>
      </c>
      <c r="E41" s="56">
        <v>597490</v>
      </c>
      <c r="F41" s="42">
        <v>456750</v>
      </c>
      <c r="G41" s="56">
        <v>606000</v>
      </c>
      <c r="H41" s="56">
        <v>926471</v>
      </c>
      <c r="I41" s="56">
        <v>630000</v>
      </c>
      <c r="J41" s="56">
        <v>748208</v>
      </c>
      <c r="K41" s="56">
        <v>757500</v>
      </c>
      <c r="L41" s="37"/>
      <c r="M41" s="324"/>
      <c r="N41" s="37"/>
    </row>
    <row r="42" spans="1:14" x14ac:dyDescent="0.35">
      <c r="A42" s="39" t="s">
        <v>276</v>
      </c>
      <c r="B42" s="38">
        <v>482427</v>
      </c>
      <c r="C42" s="38">
        <v>712680</v>
      </c>
      <c r="D42" s="42">
        <v>1105416</v>
      </c>
      <c r="E42" s="42">
        <v>615237</v>
      </c>
      <c r="F42" s="42">
        <v>462187</v>
      </c>
      <c r="G42" s="42">
        <v>609000</v>
      </c>
      <c r="H42" s="42">
        <v>926951</v>
      </c>
      <c r="I42" s="42">
        <v>648000</v>
      </c>
      <c r="J42" s="42">
        <v>752653</v>
      </c>
      <c r="K42" s="56">
        <v>757500</v>
      </c>
      <c r="L42" s="37"/>
      <c r="M42" s="324"/>
      <c r="N42" s="37"/>
    </row>
    <row r="43" spans="1:14" x14ac:dyDescent="0.35">
      <c r="A43" s="47" t="s">
        <v>277</v>
      </c>
      <c r="B43" s="153">
        <f>B41/B26</f>
        <v>1.0099997051499581</v>
      </c>
      <c r="C43" s="153">
        <f t="shared" ref="C43:K43" si="8">C41/C26</f>
        <v>1.01</v>
      </c>
      <c r="D43" s="153">
        <f t="shared" si="8"/>
        <v>1.01</v>
      </c>
      <c r="E43" s="153">
        <f t="shared" si="8"/>
        <v>1.0100072687932113</v>
      </c>
      <c r="F43" s="153">
        <f>F41/F26</f>
        <v>1.05</v>
      </c>
      <c r="G43" s="153">
        <f t="shared" si="8"/>
        <v>1.01</v>
      </c>
      <c r="H43" s="153">
        <f t="shared" si="8"/>
        <v>1.0500003966666402</v>
      </c>
      <c r="I43" s="153">
        <f t="shared" si="8"/>
        <v>1.05</v>
      </c>
      <c r="J43" s="153">
        <f t="shared" si="8"/>
        <v>1.01</v>
      </c>
      <c r="K43" s="153">
        <f t="shared" si="8"/>
        <v>1.01</v>
      </c>
      <c r="L43" s="37"/>
      <c r="M43" s="324"/>
      <c r="N43" s="37"/>
    </row>
    <row r="44" spans="1:14" x14ac:dyDescent="0.35">
      <c r="A44" s="47" t="s">
        <v>278</v>
      </c>
      <c r="B44" s="153">
        <f>B42/B26</f>
        <v>1.0344990631810032</v>
      </c>
      <c r="C44" s="153">
        <f t="shared" ref="C44:K44" si="9">C42/C26</f>
        <v>1.1878</v>
      </c>
      <c r="D44" s="153">
        <f t="shared" si="9"/>
        <v>1.04</v>
      </c>
      <c r="E44" s="153">
        <f t="shared" si="9"/>
        <v>1.0400070997515087</v>
      </c>
      <c r="F44" s="153">
        <f>F42/F26</f>
        <v>1.0624988505747126</v>
      </c>
      <c r="G44" s="153">
        <f t="shared" si="9"/>
        <v>1.0149999999999999</v>
      </c>
      <c r="H44" s="153">
        <f t="shared" si="9"/>
        <v>1.0505443966303736</v>
      </c>
      <c r="I44" s="153">
        <f t="shared" si="9"/>
        <v>1.08</v>
      </c>
      <c r="J44" s="153">
        <f t="shared" si="9"/>
        <v>1.0160002699784016</v>
      </c>
      <c r="K44" s="153">
        <f t="shared" si="9"/>
        <v>1.01</v>
      </c>
      <c r="L44" s="37"/>
      <c r="M44" s="324"/>
      <c r="N44" s="37"/>
    </row>
    <row r="45" spans="1:14" x14ac:dyDescent="0.35">
      <c r="A45" s="53" t="s">
        <v>279</v>
      </c>
      <c r="B45" s="54"/>
      <c r="C45" s="54"/>
      <c r="D45" s="54"/>
      <c r="E45" s="54"/>
      <c r="F45" s="54"/>
      <c r="G45" s="54"/>
      <c r="H45" s="54"/>
      <c r="I45" s="54"/>
      <c r="J45" s="54"/>
      <c r="K45" s="54"/>
      <c r="L45" s="37"/>
      <c r="M45" s="324"/>
      <c r="N45" s="37"/>
    </row>
    <row r="46" spans="1:14" x14ac:dyDescent="0.35">
      <c r="A46" s="55" t="s">
        <v>280</v>
      </c>
      <c r="B46" s="36">
        <v>6006</v>
      </c>
      <c r="C46" s="152" t="s">
        <v>252</v>
      </c>
      <c r="D46" s="35">
        <v>6000</v>
      </c>
      <c r="E46" s="52">
        <v>5994</v>
      </c>
      <c r="F46" s="52">
        <v>6003</v>
      </c>
      <c r="G46" s="52">
        <v>0</v>
      </c>
      <c r="H46" s="52">
        <v>6000</v>
      </c>
      <c r="I46" s="52">
        <v>24000</v>
      </c>
      <c r="J46" s="52">
        <v>0</v>
      </c>
      <c r="K46" s="56">
        <v>6000</v>
      </c>
      <c r="L46" s="37"/>
      <c r="M46" s="324"/>
      <c r="N46" s="37"/>
    </row>
    <row r="47" spans="1:14" x14ac:dyDescent="0.35">
      <c r="A47" s="31" t="s">
        <v>281</v>
      </c>
      <c r="B47" s="38">
        <v>466338</v>
      </c>
      <c r="C47" s="152">
        <v>360000</v>
      </c>
      <c r="D47" s="35">
        <v>1062900</v>
      </c>
      <c r="E47" s="35">
        <v>591574</v>
      </c>
      <c r="F47" s="35">
        <v>435000</v>
      </c>
      <c r="G47" s="52">
        <v>600000</v>
      </c>
      <c r="H47" s="52">
        <v>882354</v>
      </c>
      <c r="I47" s="35">
        <v>91800</v>
      </c>
      <c r="J47" s="35">
        <v>444480</v>
      </c>
      <c r="K47" s="35">
        <v>450000</v>
      </c>
      <c r="L47" s="37"/>
      <c r="M47" s="324"/>
      <c r="N47" s="37"/>
    </row>
    <row r="48" spans="1:14" s="44" customFormat="1" x14ac:dyDescent="0.35">
      <c r="A48" s="49" t="s">
        <v>282</v>
      </c>
      <c r="B48" s="153">
        <f>(B46+B47)/B26</f>
        <v>1.0128774415593815</v>
      </c>
      <c r="C48" s="153">
        <f>(0+C47)/C26</f>
        <v>0.6</v>
      </c>
      <c r="D48" s="213">
        <f t="shared" ref="D48:K48" si="10">(D46+D47)/D26</f>
        <v>1.0056449336720295</v>
      </c>
      <c r="E48" s="213">
        <f t="shared" si="10"/>
        <v>1.0101391213212298</v>
      </c>
      <c r="F48" s="153">
        <f t="shared" si="10"/>
        <v>1.0138</v>
      </c>
      <c r="G48" s="153">
        <f t="shared" si="10"/>
        <v>1</v>
      </c>
      <c r="H48" s="213">
        <f t="shared" si="10"/>
        <v>1.0068011328799245</v>
      </c>
      <c r="I48" s="153">
        <f t="shared" si="10"/>
        <v>0.193</v>
      </c>
      <c r="J48" s="153">
        <f t="shared" si="10"/>
        <v>0.6</v>
      </c>
      <c r="K48" s="153">
        <f t="shared" si="10"/>
        <v>0.60799999999999998</v>
      </c>
      <c r="L48" s="43"/>
      <c r="M48" s="324"/>
      <c r="N48" s="43"/>
    </row>
    <row r="49" spans="1:14" x14ac:dyDescent="0.35">
      <c r="A49" s="368" t="s">
        <v>283</v>
      </c>
      <c r="B49" s="369"/>
      <c r="C49" s="369"/>
      <c r="D49" s="369"/>
      <c r="E49" s="110"/>
      <c r="F49" s="110"/>
      <c r="G49" s="110"/>
      <c r="H49" s="110"/>
      <c r="I49" s="110"/>
      <c r="J49" s="110"/>
      <c r="K49" s="110"/>
      <c r="L49" s="37"/>
      <c r="M49" s="324"/>
      <c r="N49" s="37"/>
    </row>
    <row r="50" spans="1:14" x14ac:dyDescent="0.35">
      <c r="A50" s="24" t="s">
        <v>284</v>
      </c>
      <c r="B50" s="67">
        <v>14196</v>
      </c>
      <c r="C50" s="42" t="s">
        <v>252</v>
      </c>
      <c r="D50" s="35">
        <v>34200</v>
      </c>
      <c r="E50" s="52">
        <v>19980</v>
      </c>
      <c r="F50" s="35">
        <v>13833</v>
      </c>
      <c r="G50" s="52">
        <v>0</v>
      </c>
      <c r="H50" s="52">
        <v>27900</v>
      </c>
      <c r="I50" s="52">
        <v>67200</v>
      </c>
      <c r="J50" s="52">
        <v>0</v>
      </c>
      <c r="K50" s="52">
        <v>45000</v>
      </c>
      <c r="L50" s="37"/>
      <c r="M50" s="324"/>
      <c r="N50" s="37"/>
    </row>
    <row r="51" spans="1:14" x14ac:dyDescent="0.35">
      <c r="A51" s="31" t="s">
        <v>285</v>
      </c>
      <c r="B51" s="38">
        <v>477763</v>
      </c>
      <c r="C51" s="38">
        <v>370680</v>
      </c>
      <c r="D51" s="35">
        <v>1094787</v>
      </c>
      <c r="E51" s="35">
        <v>609321</v>
      </c>
      <c r="F51" s="35">
        <v>439350</v>
      </c>
      <c r="G51" s="35">
        <v>602400</v>
      </c>
      <c r="H51" s="35">
        <v>882834</v>
      </c>
      <c r="I51" s="35">
        <v>127800</v>
      </c>
      <c r="J51" s="35">
        <v>448925</v>
      </c>
      <c r="K51" s="35">
        <v>450000</v>
      </c>
      <c r="L51" s="37"/>
      <c r="M51" s="324"/>
      <c r="N51" s="37"/>
    </row>
    <row r="52" spans="1:14" s="44" customFormat="1" x14ac:dyDescent="0.35">
      <c r="A52" s="49" t="s">
        <v>286</v>
      </c>
      <c r="B52" s="153">
        <f>(B50+B51)/B26</f>
        <v>1.0549391402708868</v>
      </c>
      <c r="C52" s="153">
        <f>(0+C51)/B26</f>
        <v>0.7948728258159975</v>
      </c>
      <c r="D52" s="153">
        <f t="shared" ref="D52:K52" si="11">(D50+D51)/D26</f>
        <v>1.0621761219305672</v>
      </c>
      <c r="E52" s="153">
        <f t="shared" si="11"/>
        <v>1.063781124803489</v>
      </c>
      <c r="F52" s="153">
        <f t="shared" si="11"/>
        <v>1.0418000000000001</v>
      </c>
      <c r="G52" s="153">
        <f t="shared" si="11"/>
        <v>1.004</v>
      </c>
      <c r="H52" s="153">
        <f t="shared" si="11"/>
        <v>1.0321651311889912</v>
      </c>
      <c r="I52" s="153">
        <f t="shared" si="11"/>
        <v>0.32500000000000001</v>
      </c>
      <c r="J52" s="153">
        <f t="shared" si="11"/>
        <v>0.60600026997840173</v>
      </c>
      <c r="K52" s="153">
        <f t="shared" si="11"/>
        <v>0.66</v>
      </c>
      <c r="L52" s="43"/>
      <c r="M52" s="324"/>
      <c r="N52" s="43"/>
    </row>
    <row r="53" spans="1:14" x14ac:dyDescent="0.35">
      <c r="A53" s="57" t="s">
        <v>287</v>
      </c>
      <c r="B53" s="58"/>
      <c r="C53" s="58"/>
      <c r="D53" s="58"/>
      <c r="E53" s="58"/>
      <c r="F53" s="58"/>
      <c r="G53" s="58"/>
      <c r="H53" s="58"/>
      <c r="I53" s="58"/>
      <c r="J53" s="58"/>
      <c r="K53" s="58"/>
      <c r="L53" s="37"/>
      <c r="M53" s="324"/>
      <c r="N53" s="37"/>
    </row>
    <row r="54" spans="1:14" x14ac:dyDescent="0.35">
      <c r="A54" s="55" t="s">
        <v>275</v>
      </c>
      <c r="B54" s="38">
        <v>479302</v>
      </c>
      <c r="C54" s="137">
        <v>494160</v>
      </c>
      <c r="D54" s="56">
        <v>1092448</v>
      </c>
      <c r="E54" s="56">
        <v>608020</v>
      </c>
      <c r="F54" s="42">
        <v>456750</v>
      </c>
      <c r="G54" s="56">
        <v>635400</v>
      </c>
      <c r="H54" s="56">
        <v>926471</v>
      </c>
      <c r="I54" s="56">
        <v>630000</v>
      </c>
      <c r="J54" s="56">
        <v>748208</v>
      </c>
      <c r="K54" s="56">
        <v>757500</v>
      </c>
      <c r="L54" s="37"/>
      <c r="M54" s="324"/>
      <c r="N54" s="37"/>
    </row>
    <row r="55" spans="1:14" x14ac:dyDescent="0.35">
      <c r="A55" s="39" t="s">
        <v>276</v>
      </c>
      <c r="B55" s="38">
        <v>500193</v>
      </c>
      <c r="C55" s="38">
        <v>614760</v>
      </c>
      <c r="D55" s="42">
        <v>1124335</v>
      </c>
      <c r="E55" s="42">
        <v>625767</v>
      </c>
      <c r="F55" s="38">
        <v>483937</v>
      </c>
      <c r="G55" s="42">
        <v>660000</v>
      </c>
      <c r="H55" s="42">
        <v>930551</v>
      </c>
      <c r="I55" s="42">
        <v>729000</v>
      </c>
      <c r="J55" s="42">
        <v>778929</v>
      </c>
      <c r="K55" s="42">
        <v>765000</v>
      </c>
      <c r="L55" s="37"/>
      <c r="M55" s="324"/>
      <c r="N55" s="37"/>
    </row>
    <row r="56" spans="1:14" x14ac:dyDescent="0.35">
      <c r="A56" s="47" t="s">
        <v>277</v>
      </c>
      <c r="B56" s="153">
        <f>B54/B26</f>
        <v>1.0277979258639776</v>
      </c>
      <c r="C56" s="153">
        <f t="shared" ref="C56:K56" si="12">C54/C26</f>
        <v>0.8236</v>
      </c>
      <c r="D56" s="153">
        <f t="shared" si="12"/>
        <v>1.0277994166901872</v>
      </c>
      <c r="E56" s="153">
        <f t="shared" si="12"/>
        <v>1.0278073600757307</v>
      </c>
      <c r="F56" s="153">
        <f t="shared" si="12"/>
        <v>1.05</v>
      </c>
      <c r="G56" s="153">
        <f t="shared" si="12"/>
        <v>1.0589999999999999</v>
      </c>
      <c r="H56" s="153">
        <f t="shared" si="12"/>
        <v>1.0500003966666402</v>
      </c>
      <c r="I56" s="153">
        <f t="shared" si="12"/>
        <v>1.05</v>
      </c>
      <c r="J56" s="153">
        <f t="shared" si="12"/>
        <v>1.01</v>
      </c>
      <c r="K56" s="153">
        <f t="shared" si="12"/>
        <v>1.01</v>
      </c>
      <c r="L56" s="37"/>
      <c r="M56" s="324"/>
      <c r="N56" s="37"/>
    </row>
    <row r="57" spans="1:14" x14ac:dyDescent="0.35">
      <c r="A57" s="47" t="s">
        <v>278</v>
      </c>
      <c r="B57" s="153">
        <f>B55/B26</f>
        <v>1.0725958329647707</v>
      </c>
      <c r="C57" s="153">
        <f t="shared" ref="C57:K57" si="13">C55/C26</f>
        <v>1.0246</v>
      </c>
      <c r="D57" s="153">
        <f t="shared" si="13"/>
        <v>1.0577994166901872</v>
      </c>
      <c r="E57" s="153">
        <f t="shared" si="13"/>
        <v>1.0578071910340281</v>
      </c>
      <c r="F57" s="153">
        <f t="shared" si="13"/>
        <v>1.1124988505747126</v>
      </c>
      <c r="G57" s="153">
        <f t="shared" si="13"/>
        <v>1.1000000000000001</v>
      </c>
      <c r="H57" s="153">
        <f t="shared" si="13"/>
        <v>1.0546243963583737</v>
      </c>
      <c r="I57" s="153">
        <f t="shared" si="13"/>
        <v>1.2150000000000001</v>
      </c>
      <c r="J57" s="153">
        <f t="shared" si="13"/>
        <v>1.0514700323974082</v>
      </c>
      <c r="K57" s="153">
        <f t="shared" si="13"/>
        <v>1.02</v>
      </c>
      <c r="L57" s="37"/>
      <c r="M57" s="324"/>
      <c r="N57" s="37"/>
    </row>
    <row r="58" spans="1:14" x14ac:dyDescent="0.35">
      <c r="A58" s="297" t="s">
        <v>279</v>
      </c>
      <c r="B58" s="298"/>
      <c r="C58" s="298"/>
      <c r="D58" s="298"/>
      <c r="E58" s="110"/>
      <c r="F58" s="110"/>
      <c r="G58" s="110"/>
      <c r="H58" s="110"/>
      <c r="I58" s="110"/>
      <c r="J58" s="110"/>
      <c r="K58" s="110"/>
      <c r="L58" s="37"/>
      <c r="M58" s="324"/>
      <c r="N58" s="37"/>
    </row>
    <row r="59" spans="1:14" x14ac:dyDescent="0.35">
      <c r="A59" s="55" t="s">
        <v>280</v>
      </c>
      <c r="B59" s="56">
        <f>16*B13</f>
        <v>96096</v>
      </c>
      <c r="C59" s="56">
        <v>111840</v>
      </c>
      <c r="D59" s="56">
        <f>16*D13</f>
        <v>96000</v>
      </c>
      <c r="E59" s="56">
        <v>95904</v>
      </c>
      <c r="F59" s="56">
        <v>96048</v>
      </c>
      <c r="G59" s="56">
        <v>105600</v>
      </c>
      <c r="H59" s="56">
        <v>96000</v>
      </c>
      <c r="I59" s="56">
        <v>114000</v>
      </c>
      <c r="J59" s="56">
        <v>90007</v>
      </c>
      <c r="K59" s="59">
        <v>108000</v>
      </c>
      <c r="L59" s="37"/>
      <c r="M59" s="324"/>
      <c r="N59" s="37"/>
    </row>
    <row r="60" spans="1:14" x14ac:dyDescent="0.35">
      <c r="A60" s="31" t="s">
        <v>281</v>
      </c>
      <c r="B60" s="38">
        <v>479302</v>
      </c>
      <c r="C60" s="38">
        <v>480000</v>
      </c>
      <c r="D60" s="42">
        <v>1092448</v>
      </c>
      <c r="E60" s="42">
        <v>608020</v>
      </c>
      <c r="F60" s="42">
        <v>448441</v>
      </c>
      <c r="G60" s="42">
        <v>635400</v>
      </c>
      <c r="H60" s="42">
        <v>906888</v>
      </c>
      <c r="I60" s="42">
        <v>222600</v>
      </c>
      <c r="J60" s="42">
        <v>740800</v>
      </c>
      <c r="K60" s="35">
        <v>750900</v>
      </c>
      <c r="L60" s="37"/>
      <c r="M60" s="324"/>
      <c r="N60" s="37"/>
    </row>
    <row r="61" spans="1:14" x14ac:dyDescent="0.35">
      <c r="A61" s="49" t="s">
        <v>288</v>
      </c>
      <c r="B61" s="153">
        <f>B59/B26</f>
        <v>0.20606479731740071</v>
      </c>
      <c r="C61" s="153">
        <f t="shared" ref="C61:K61" si="14">C59/C26</f>
        <v>0.18640000000000001</v>
      </c>
      <c r="D61" s="153">
        <f t="shared" si="14"/>
        <v>9.0318938752469657E-2</v>
      </c>
      <c r="E61" s="153">
        <f t="shared" si="14"/>
        <v>0.16211775445002283</v>
      </c>
      <c r="F61" s="153">
        <f t="shared" si="14"/>
        <v>0.2208</v>
      </c>
      <c r="G61" s="153">
        <f t="shared" si="14"/>
        <v>0.17599999999999999</v>
      </c>
      <c r="H61" s="153">
        <f t="shared" si="14"/>
        <v>0.10879999274666716</v>
      </c>
      <c r="I61" s="153">
        <f t="shared" si="14"/>
        <v>0.19</v>
      </c>
      <c r="J61" s="153">
        <f t="shared" si="14"/>
        <v>0.12149973002159828</v>
      </c>
      <c r="K61" s="153">
        <f t="shared" si="14"/>
        <v>0.14399999999999999</v>
      </c>
      <c r="L61" s="37"/>
      <c r="M61" s="324"/>
      <c r="N61" s="37"/>
    </row>
    <row r="62" spans="1:14" x14ac:dyDescent="0.35">
      <c r="A62" s="49" t="s">
        <v>282</v>
      </c>
      <c r="B62" s="153">
        <f>(B59+B60)/B26</f>
        <v>1.2338627231813784</v>
      </c>
      <c r="C62" s="153">
        <f t="shared" ref="C62:K62" si="15">(C59+C60)/C26</f>
        <v>0.98640000000000005</v>
      </c>
      <c r="D62" s="153">
        <f t="shared" si="15"/>
        <v>1.1181183554426568</v>
      </c>
      <c r="E62" s="153">
        <f t="shared" si="15"/>
        <v>1.1899251145257534</v>
      </c>
      <c r="F62" s="153">
        <f t="shared" si="15"/>
        <v>1.2516988505747126</v>
      </c>
      <c r="G62" s="153">
        <f t="shared" si="15"/>
        <v>1.2350000000000001</v>
      </c>
      <c r="H62" s="153">
        <f t="shared" si="15"/>
        <v>1.136606324226245</v>
      </c>
      <c r="I62" s="153">
        <f t="shared" si="15"/>
        <v>0.56100000000000005</v>
      </c>
      <c r="J62" s="153">
        <f t="shared" si="15"/>
        <v>1.1214997300215983</v>
      </c>
      <c r="K62" s="153">
        <f t="shared" si="15"/>
        <v>1.1452</v>
      </c>
      <c r="L62" s="37"/>
      <c r="M62" s="324"/>
      <c r="N62" s="37"/>
    </row>
    <row r="63" spans="1:14" x14ac:dyDescent="0.35">
      <c r="A63" s="366" t="s">
        <v>283</v>
      </c>
      <c r="B63" s="367"/>
      <c r="C63" s="367"/>
      <c r="D63" s="367"/>
      <c r="E63" s="110"/>
      <c r="F63" s="110"/>
      <c r="G63" s="110"/>
      <c r="H63" s="110"/>
      <c r="I63" s="110"/>
      <c r="J63" s="110"/>
      <c r="K63" s="110"/>
      <c r="L63" s="37"/>
      <c r="M63" s="324"/>
      <c r="N63" s="37"/>
    </row>
    <row r="64" spans="1:14" x14ac:dyDescent="0.35">
      <c r="A64" s="24" t="s">
        <v>284</v>
      </c>
      <c r="B64" s="69">
        <f>16*14196</f>
        <v>227136</v>
      </c>
      <c r="C64" s="69">
        <v>289800</v>
      </c>
      <c r="D64" s="69">
        <f>16*D19</f>
        <v>547200</v>
      </c>
      <c r="E64" s="69">
        <v>319680</v>
      </c>
      <c r="F64" s="69">
        <f>278830-57502</f>
        <v>221328</v>
      </c>
      <c r="G64" s="69">
        <v>288000</v>
      </c>
      <c r="H64" s="69">
        <v>446400</v>
      </c>
      <c r="I64" s="69">
        <v>319200</v>
      </c>
      <c r="J64" s="69">
        <f>452515-92486</f>
        <v>360029</v>
      </c>
      <c r="K64" s="52">
        <v>360000</v>
      </c>
      <c r="L64" s="37"/>
      <c r="M64" s="324"/>
      <c r="N64" s="37"/>
    </row>
    <row r="65" spans="1:14" x14ac:dyDescent="0.35">
      <c r="A65" s="31" t="s">
        <v>285</v>
      </c>
      <c r="B65" s="38">
        <v>500193</v>
      </c>
      <c r="C65" s="38">
        <v>582540</v>
      </c>
      <c r="D65" s="38">
        <v>1124335</v>
      </c>
      <c r="E65" s="38">
        <v>625767</v>
      </c>
      <c r="F65" s="38">
        <v>470191</v>
      </c>
      <c r="G65" s="38">
        <v>658800</v>
      </c>
      <c r="H65" s="38">
        <v>910968</v>
      </c>
      <c r="I65" s="38">
        <v>420600</v>
      </c>
      <c r="J65" s="38">
        <v>771521</v>
      </c>
      <c r="K65" s="35">
        <v>758400</v>
      </c>
      <c r="L65" s="37"/>
      <c r="M65" s="324"/>
      <c r="N65" s="37"/>
    </row>
    <row r="66" spans="1:14" x14ac:dyDescent="0.35">
      <c r="A66" s="49" t="s">
        <v>289</v>
      </c>
      <c r="B66" s="153">
        <f>B64/B26</f>
        <v>0.48706224820476529</v>
      </c>
      <c r="C66" s="153">
        <f t="shared" ref="C66:K66" si="16">C64/C26</f>
        <v>0.48299999999999998</v>
      </c>
      <c r="D66" s="153">
        <f t="shared" si="16"/>
        <v>0.514817950889077</v>
      </c>
      <c r="E66" s="213">
        <f t="shared" si="16"/>
        <v>0.54039251483340944</v>
      </c>
      <c r="F66" s="153">
        <f t="shared" si="16"/>
        <v>0.50880000000000003</v>
      </c>
      <c r="G66" s="153">
        <f t="shared" si="16"/>
        <v>0.48</v>
      </c>
      <c r="H66" s="153">
        <f t="shared" si="16"/>
        <v>0.5059199662720022</v>
      </c>
      <c r="I66" s="153">
        <f t="shared" si="16"/>
        <v>0.53200000000000003</v>
      </c>
      <c r="J66" s="153">
        <f t="shared" si="16"/>
        <v>0.48600026997840173</v>
      </c>
      <c r="K66" s="153">
        <f t="shared" si="16"/>
        <v>0.48</v>
      </c>
      <c r="L66" s="37"/>
      <c r="M66" s="324"/>
      <c r="N66" s="37"/>
    </row>
    <row r="67" spans="1:14" x14ac:dyDescent="0.35">
      <c r="A67" s="49" t="s">
        <v>286</v>
      </c>
      <c r="B67" s="153">
        <f>(B64+B65)/B26</f>
        <v>1.5596580811695362</v>
      </c>
      <c r="C67" s="153">
        <f t="shared" ref="C67:K67" si="17">(C64+C65)/C26</f>
        <v>1.4539</v>
      </c>
      <c r="D67" s="153">
        <f t="shared" si="17"/>
        <v>1.5726173675792643</v>
      </c>
      <c r="E67" s="213">
        <f t="shared" si="17"/>
        <v>1.5981997058674375</v>
      </c>
      <c r="F67" s="153">
        <f t="shared" si="17"/>
        <v>1.5896988505747127</v>
      </c>
      <c r="G67" s="153">
        <f t="shared" si="17"/>
        <v>1.5780000000000001</v>
      </c>
      <c r="H67" s="153">
        <f t="shared" si="17"/>
        <v>1.5383502974433134</v>
      </c>
      <c r="I67" s="153">
        <f t="shared" si="17"/>
        <v>1.2330000000000001</v>
      </c>
      <c r="J67" s="153">
        <f t="shared" si="17"/>
        <v>1.5274703023758098</v>
      </c>
      <c r="K67" s="153">
        <f t="shared" si="17"/>
        <v>1.4912000000000001</v>
      </c>
      <c r="L67" s="37"/>
      <c r="M67" s="324"/>
      <c r="N67" s="37"/>
    </row>
    <row r="68" spans="1:14" x14ac:dyDescent="0.35">
      <c r="A68" s="355" t="s">
        <v>290</v>
      </c>
      <c r="B68" s="356"/>
      <c r="C68" s="356"/>
      <c r="D68" s="356"/>
      <c r="E68" s="111"/>
      <c r="F68" s="111"/>
      <c r="G68" s="111"/>
      <c r="H68" s="111"/>
      <c r="I68" s="111"/>
      <c r="J68" s="111"/>
      <c r="K68" s="111"/>
      <c r="L68" s="37"/>
      <c r="M68" s="324"/>
      <c r="N68" s="37"/>
    </row>
    <row r="69" spans="1:14" x14ac:dyDescent="0.35">
      <c r="A69" s="55" t="s">
        <v>275</v>
      </c>
      <c r="B69" s="38">
        <v>503879</v>
      </c>
      <c r="C69" s="137">
        <v>480000</v>
      </c>
      <c r="D69" s="56">
        <v>1148463</v>
      </c>
      <c r="E69" s="56">
        <v>639196</v>
      </c>
      <c r="F69" s="56">
        <v>469800</v>
      </c>
      <c r="G69" s="56">
        <v>671400</v>
      </c>
      <c r="H69" s="56">
        <v>953382</v>
      </c>
      <c r="I69" s="56">
        <v>630000</v>
      </c>
      <c r="J69" s="56">
        <v>748208</v>
      </c>
      <c r="K69" s="56">
        <v>757500</v>
      </c>
      <c r="L69" s="37"/>
      <c r="M69" s="324"/>
      <c r="N69" s="37"/>
    </row>
    <row r="70" spans="1:14" x14ac:dyDescent="0.35">
      <c r="A70" s="39" t="s">
        <v>276</v>
      </c>
      <c r="B70" s="38">
        <v>537455</v>
      </c>
      <c r="C70" s="38">
        <v>618540</v>
      </c>
      <c r="D70" s="42">
        <v>1180350</v>
      </c>
      <c r="E70" s="42">
        <v>656943</v>
      </c>
      <c r="F70" s="42">
        <v>507862</v>
      </c>
      <c r="G70" s="42">
        <v>697800</v>
      </c>
      <c r="H70" s="42">
        <v>960552</v>
      </c>
      <c r="I70" s="42">
        <v>810000</v>
      </c>
      <c r="J70" s="42">
        <v>815969</v>
      </c>
      <c r="K70" s="42">
        <v>795000</v>
      </c>
      <c r="L70" s="37"/>
      <c r="M70" s="324"/>
      <c r="N70" s="37"/>
    </row>
    <row r="71" spans="1:14" x14ac:dyDescent="0.35">
      <c r="A71" s="47" t="s">
        <v>277</v>
      </c>
      <c r="B71" s="153">
        <f>B69/B26</f>
        <v>1.0804999584529487</v>
      </c>
      <c r="C71" s="153">
        <f t="shared" ref="C71:K71" si="18">C69/C26</f>
        <v>0.8</v>
      </c>
      <c r="D71" s="153">
        <f t="shared" si="18"/>
        <v>1.0804995766299745</v>
      </c>
      <c r="E71" s="153">
        <f t="shared" si="18"/>
        <v>1.0805078012745744</v>
      </c>
      <c r="F71" s="153">
        <f t="shared" si="18"/>
        <v>1.08</v>
      </c>
      <c r="G71" s="153">
        <f t="shared" si="18"/>
        <v>1.119</v>
      </c>
      <c r="H71" s="153">
        <f t="shared" si="18"/>
        <v>1.0804995279666982</v>
      </c>
      <c r="I71" s="153">
        <f t="shared" si="18"/>
        <v>1.05</v>
      </c>
      <c r="J71" s="153">
        <f t="shared" si="18"/>
        <v>1.01</v>
      </c>
      <c r="K71" s="153">
        <f t="shared" si="18"/>
        <v>1.01</v>
      </c>
      <c r="L71" s="37"/>
      <c r="M71" s="324"/>
      <c r="N71" s="37"/>
    </row>
    <row r="72" spans="1:14" x14ac:dyDescent="0.35">
      <c r="A72" s="47" t="s">
        <v>278</v>
      </c>
      <c r="B72" s="153">
        <f>B70/B26</f>
        <v>1.1524991221510115</v>
      </c>
      <c r="C72" s="153">
        <f t="shared" ref="C72:K72" si="19">C70/C26</f>
        <v>1.0308999999999999</v>
      </c>
      <c r="D72" s="153">
        <f t="shared" si="19"/>
        <v>1.1104995766299746</v>
      </c>
      <c r="E72" s="153">
        <f t="shared" si="19"/>
        <v>1.1105076322328717</v>
      </c>
      <c r="F72" s="153">
        <f t="shared" si="19"/>
        <v>1.1674988505747126</v>
      </c>
      <c r="G72" s="153">
        <f t="shared" si="19"/>
        <v>1.163</v>
      </c>
      <c r="H72" s="153">
        <f t="shared" si="19"/>
        <v>1.0886255274249648</v>
      </c>
      <c r="I72" s="153">
        <f t="shared" si="19"/>
        <v>1.35</v>
      </c>
      <c r="J72" s="153">
        <f t="shared" si="19"/>
        <v>1.1014700323974083</v>
      </c>
      <c r="K72" s="153">
        <f t="shared" si="19"/>
        <v>1.06</v>
      </c>
      <c r="L72" s="37"/>
      <c r="M72" s="324"/>
      <c r="N72" s="37"/>
    </row>
    <row r="73" spans="1:14" x14ac:dyDescent="0.35">
      <c r="A73" s="53" t="s">
        <v>279</v>
      </c>
      <c r="B73" s="54"/>
      <c r="C73" s="54"/>
      <c r="D73" s="54"/>
      <c r="E73" s="54"/>
      <c r="F73" s="54"/>
      <c r="G73" s="54"/>
      <c r="H73" s="54"/>
      <c r="I73" s="54"/>
      <c r="J73" s="54"/>
      <c r="K73" s="54"/>
      <c r="L73" s="37"/>
      <c r="M73" s="324"/>
      <c r="N73" s="37"/>
    </row>
    <row r="74" spans="1:14" x14ac:dyDescent="0.35">
      <c r="A74" s="55" t="s">
        <v>280</v>
      </c>
      <c r="B74" s="56">
        <f>36*B13</f>
        <v>216216</v>
      </c>
      <c r="C74" s="56">
        <v>276240</v>
      </c>
      <c r="D74" s="56">
        <f>36*D13</f>
        <v>216000</v>
      </c>
      <c r="E74" s="56">
        <v>215784</v>
      </c>
      <c r="F74" s="56">
        <v>216108</v>
      </c>
      <c r="G74" s="56">
        <v>256800</v>
      </c>
      <c r="H74" s="56">
        <v>216000</v>
      </c>
      <c r="I74" s="56">
        <v>234000</v>
      </c>
      <c r="J74" s="56">
        <v>210017</v>
      </c>
      <c r="K74" s="56">
        <v>228000</v>
      </c>
      <c r="L74" s="37"/>
      <c r="M74" s="324"/>
      <c r="N74" s="37"/>
    </row>
    <row r="75" spans="1:14" x14ac:dyDescent="0.35">
      <c r="A75" s="31" t="s">
        <v>281</v>
      </c>
      <c r="B75" s="38">
        <v>503879</v>
      </c>
      <c r="C75" s="38">
        <v>480000</v>
      </c>
      <c r="D75" s="42">
        <v>1148463</v>
      </c>
      <c r="E75" s="42">
        <v>639196</v>
      </c>
      <c r="F75" s="42">
        <v>469800</v>
      </c>
      <c r="G75" s="42">
        <v>671400</v>
      </c>
      <c r="H75" s="42">
        <v>953382</v>
      </c>
      <c r="I75" s="42">
        <v>424400</v>
      </c>
      <c r="J75" s="42">
        <v>740800</v>
      </c>
      <c r="K75" s="35">
        <v>752400</v>
      </c>
      <c r="L75" s="37"/>
      <c r="M75" s="324"/>
      <c r="N75" s="37"/>
    </row>
    <row r="76" spans="1:14" x14ac:dyDescent="0.35">
      <c r="A76" s="49" t="s">
        <v>288</v>
      </c>
      <c r="B76" s="153">
        <f>B74/B26</f>
        <v>0.46364579396415162</v>
      </c>
      <c r="C76" s="153">
        <f t="shared" ref="C76:K76" si="20">C74/C26</f>
        <v>0.46039999999999998</v>
      </c>
      <c r="D76" s="153">
        <f t="shared" si="20"/>
        <v>0.20321761219305673</v>
      </c>
      <c r="E76" s="153">
        <f t="shared" si="20"/>
        <v>0.36476494751255134</v>
      </c>
      <c r="F76" s="153">
        <f t="shared" si="20"/>
        <v>0.49680000000000002</v>
      </c>
      <c r="G76" s="153">
        <f t="shared" si="20"/>
        <v>0.42799999999999999</v>
      </c>
      <c r="H76" s="153">
        <f t="shared" si="20"/>
        <v>0.24479998368000108</v>
      </c>
      <c r="I76" s="153">
        <f t="shared" si="20"/>
        <v>0.39</v>
      </c>
      <c r="J76" s="153">
        <f t="shared" si="20"/>
        <v>0.28350026997840172</v>
      </c>
      <c r="K76" s="153">
        <f t="shared" si="20"/>
        <v>0.30399999999999999</v>
      </c>
      <c r="L76" s="37"/>
      <c r="M76" s="324"/>
      <c r="N76" s="37"/>
    </row>
    <row r="77" spans="1:14" x14ac:dyDescent="0.35">
      <c r="A77" s="49" t="s">
        <v>282</v>
      </c>
      <c r="B77" s="153">
        <f>(B74+B75)/B26</f>
        <v>1.5441457524171003</v>
      </c>
      <c r="C77" s="153">
        <f t="shared" ref="C77:K77" si="21">(C74+C75)/C26</f>
        <v>1.2604</v>
      </c>
      <c r="D77" s="153">
        <f t="shared" si="21"/>
        <v>1.2837171888230314</v>
      </c>
      <c r="E77" s="153">
        <f t="shared" si="21"/>
        <v>1.4452727487871257</v>
      </c>
      <c r="F77" s="153">
        <f t="shared" si="21"/>
        <v>1.5768</v>
      </c>
      <c r="G77" s="153">
        <f t="shared" si="21"/>
        <v>1.5469999999999999</v>
      </c>
      <c r="H77" s="153">
        <f t="shared" si="21"/>
        <v>1.3252995116466992</v>
      </c>
      <c r="I77" s="153">
        <f t="shared" si="21"/>
        <v>1.0973333333333333</v>
      </c>
      <c r="J77" s="153">
        <f t="shared" si="21"/>
        <v>1.2835002699784017</v>
      </c>
      <c r="K77" s="153">
        <f t="shared" si="21"/>
        <v>1.3071999999999999</v>
      </c>
      <c r="L77" s="37"/>
      <c r="M77" s="324"/>
      <c r="N77" s="37"/>
    </row>
    <row r="78" spans="1:14" x14ac:dyDescent="0.35">
      <c r="A78" s="297" t="s">
        <v>283</v>
      </c>
      <c r="B78" s="298"/>
      <c r="C78" s="298"/>
      <c r="D78" s="298"/>
      <c r="E78" s="110"/>
      <c r="F78" s="110"/>
      <c r="G78" s="110"/>
      <c r="H78" s="110"/>
      <c r="I78" s="110"/>
      <c r="J78" s="110"/>
      <c r="K78" s="110"/>
      <c r="L78" s="37"/>
      <c r="M78" s="324"/>
      <c r="N78" s="37"/>
    </row>
    <row r="79" spans="1:14" x14ac:dyDescent="0.35">
      <c r="A79" s="24" t="s">
        <v>284</v>
      </c>
      <c r="B79" s="69">
        <f>(20*14196)+(16*15561)</f>
        <v>532896</v>
      </c>
      <c r="C79" s="69">
        <v>720600</v>
      </c>
      <c r="D79" s="69">
        <f>36*D19</f>
        <v>1231200</v>
      </c>
      <c r="E79" s="69">
        <v>719280</v>
      </c>
      <c r="F79" s="69">
        <f>910369-384541</f>
        <v>525828</v>
      </c>
      <c r="G79" s="69">
        <v>744000</v>
      </c>
      <c r="H79" s="69">
        <v>1033200</v>
      </c>
      <c r="I79" s="69">
        <v>655200</v>
      </c>
      <c r="J79" s="69">
        <v>840067</v>
      </c>
      <c r="K79" s="52">
        <v>810000</v>
      </c>
      <c r="L79" s="37"/>
      <c r="M79" s="324"/>
      <c r="N79" s="37"/>
    </row>
    <row r="80" spans="1:14" x14ac:dyDescent="0.35">
      <c r="A80" s="31" t="s">
        <v>285</v>
      </c>
      <c r="B80" s="38">
        <v>537455</v>
      </c>
      <c r="C80" s="38">
        <v>611640</v>
      </c>
      <c r="D80" s="35">
        <v>1180350</v>
      </c>
      <c r="E80" s="35">
        <v>656943</v>
      </c>
      <c r="F80" s="35">
        <v>500250</v>
      </c>
      <c r="G80" s="35">
        <v>697800</v>
      </c>
      <c r="H80" s="35">
        <v>960552</v>
      </c>
      <c r="I80" s="35">
        <v>784400</v>
      </c>
      <c r="J80" s="35">
        <v>808561</v>
      </c>
      <c r="K80" s="35">
        <v>789900</v>
      </c>
      <c r="L80" s="37"/>
      <c r="M80" s="324"/>
      <c r="N80" s="37"/>
    </row>
    <row r="81" spans="1:14" x14ac:dyDescent="0.35">
      <c r="A81" s="49" t="s">
        <v>289</v>
      </c>
      <c r="B81" s="153">
        <f>B79/B26</f>
        <v>1.1427229669419494</v>
      </c>
      <c r="C81" s="153">
        <f t="shared" ref="C81:K81" si="22">C79/C26</f>
        <v>1.2010000000000001</v>
      </c>
      <c r="D81" s="153">
        <f t="shared" si="22"/>
        <v>1.1583403895004234</v>
      </c>
      <c r="E81" s="153">
        <f t="shared" si="22"/>
        <v>1.2158831583751712</v>
      </c>
      <c r="F81" s="153">
        <f t="shared" si="22"/>
        <v>1.2088000000000001</v>
      </c>
      <c r="G81" s="213">
        <f t="shared" si="22"/>
        <v>1.24</v>
      </c>
      <c r="H81" s="153">
        <f t="shared" si="22"/>
        <v>1.1709599219360052</v>
      </c>
      <c r="I81" s="153">
        <f t="shared" si="22"/>
        <v>1.0920000000000001</v>
      </c>
      <c r="J81" s="153">
        <f t="shared" si="22"/>
        <v>1.1339997300215983</v>
      </c>
      <c r="K81" s="153">
        <f t="shared" si="22"/>
        <v>1.08</v>
      </c>
      <c r="L81" s="37"/>
      <c r="M81" s="324"/>
      <c r="N81" s="37"/>
    </row>
    <row r="82" spans="1:14" ht="16" thickBot="1" x14ac:dyDescent="0.4">
      <c r="A82" s="49" t="s">
        <v>286</v>
      </c>
      <c r="B82" s="153">
        <f>(B79+B80)/B26</f>
        <v>2.2952220890929609</v>
      </c>
      <c r="C82" s="153">
        <f t="shared" ref="C82:K82" si="23">(C79+C80)/C26</f>
        <v>2.2204000000000002</v>
      </c>
      <c r="D82" s="153">
        <f t="shared" si="23"/>
        <v>2.2688399661303982</v>
      </c>
      <c r="E82" s="153">
        <f t="shared" si="23"/>
        <v>2.326390790608043</v>
      </c>
      <c r="F82" s="153">
        <f t="shared" si="23"/>
        <v>2.3588</v>
      </c>
      <c r="G82" s="213">
        <f t="shared" si="23"/>
        <v>2.403</v>
      </c>
      <c r="H82" s="153">
        <f t="shared" si="23"/>
        <v>2.2595854493609702</v>
      </c>
      <c r="I82" s="153">
        <f t="shared" si="23"/>
        <v>2.3993333333333333</v>
      </c>
      <c r="J82" s="153">
        <f t="shared" si="23"/>
        <v>2.2254697624190065</v>
      </c>
      <c r="K82" s="153">
        <f t="shared" si="23"/>
        <v>2.1332</v>
      </c>
      <c r="L82" s="37"/>
      <c r="M82" s="325"/>
      <c r="N82" s="37"/>
    </row>
    <row r="83" spans="1:14" x14ac:dyDescent="0.35">
      <c r="F83" s="196"/>
      <c r="M83" s="41"/>
    </row>
    <row r="84" spans="1:14" x14ac:dyDescent="0.35">
      <c r="M84" s="41"/>
    </row>
  </sheetData>
  <sheetProtection algorithmName="SHA-512" hashValue="2tl04k0gdzsqtp0Di1cfbEpEqETZ7IiBBIBrW+quaIzAP9onC6DBcZWMKO7GcOgJzuAOGputMKRyCz73xGyYeg==" saltValue="XPN9FcGfas4K067SwI7gyg==" spinCount="100000" sheet="1" objects="1" scenarios="1" selectLockedCells="1" autoFilter="0" selectUnlockedCells="1"/>
  <mergeCells count="45">
    <mergeCell ref="E13:E18"/>
    <mergeCell ref="M7:M82"/>
    <mergeCell ref="K13:K18"/>
    <mergeCell ref="K27:K32"/>
    <mergeCell ref="I33:I38"/>
    <mergeCell ref="K36:K38"/>
    <mergeCell ref="I13:I18"/>
    <mergeCell ref="I19:I24"/>
    <mergeCell ref="K22:K24"/>
    <mergeCell ref="J13:J18"/>
    <mergeCell ref="J19:J24"/>
    <mergeCell ref="J27:J32"/>
    <mergeCell ref="E33:E38"/>
    <mergeCell ref="J33:J38"/>
    <mergeCell ref="F33:F38"/>
    <mergeCell ref="A27:A32"/>
    <mergeCell ref="H36:H38"/>
    <mergeCell ref="B36:B38"/>
    <mergeCell ref="G36:G38"/>
    <mergeCell ref="A78:D78"/>
    <mergeCell ref="A68:D68"/>
    <mergeCell ref="A63:D63"/>
    <mergeCell ref="A40:D40"/>
    <mergeCell ref="A49:D49"/>
    <mergeCell ref="A33:A38"/>
    <mergeCell ref="D33:D38"/>
    <mergeCell ref="A58:D58"/>
    <mergeCell ref="D27:D32"/>
    <mergeCell ref="B27:B32"/>
    <mergeCell ref="A1:K2"/>
    <mergeCell ref="A6:A7"/>
    <mergeCell ref="A13:A18"/>
    <mergeCell ref="I27:I32"/>
    <mergeCell ref="D13:D18"/>
    <mergeCell ref="H13:H18"/>
    <mergeCell ref="H27:H32"/>
    <mergeCell ref="A19:A24"/>
    <mergeCell ref="D19:D24"/>
    <mergeCell ref="B13:B18"/>
    <mergeCell ref="B22:B24"/>
    <mergeCell ref="F13:F18"/>
    <mergeCell ref="F19:F24"/>
    <mergeCell ref="F27:F32"/>
    <mergeCell ref="E19:E24"/>
    <mergeCell ref="E27:E32"/>
  </mergeCells>
  <conditionalFormatting sqref="B43:K43">
    <cfRule type="top10" dxfId="51" priority="767" rank="4"/>
  </conditionalFormatting>
  <conditionalFormatting sqref="B52:K52">
    <cfRule type="top10" dxfId="50" priority="769" rank="2"/>
  </conditionalFormatting>
  <conditionalFormatting sqref="B61:K61">
    <cfRule type="top10" dxfId="49" priority="771" rank="1"/>
  </conditionalFormatting>
  <conditionalFormatting sqref="B62:K62">
    <cfRule type="top10" dxfId="48" priority="773" rank="1"/>
  </conditionalFormatting>
  <conditionalFormatting sqref="B72:K72">
    <cfRule type="top10" dxfId="47" priority="775" rank="1"/>
  </conditionalFormatting>
  <conditionalFormatting sqref="B77:K77">
    <cfRule type="top10" dxfId="46" priority="777" rank="1"/>
  </conditionalFormatting>
  <conditionalFormatting sqref="F48">
    <cfRule type="top10" dxfId="45" priority="2" rank="1"/>
  </conditionalFormatting>
  <conditionalFormatting sqref="F62">
    <cfRule type="top10" dxfId="44" priority="3" rank="1"/>
  </conditionalFormatting>
  <conditionalFormatting sqref="F76">
    <cfRule type="top10" dxfId="43" priority="1" rank="1"/>
  </conditionalFormatting>
  <conditionalFormatting sqref="F76:F77">
    <cfRule type="top10" dxfId="42" priority="5" rank="1"/>
  </conditionalFormatting>
  <conditionalFormatting sqref="G44:K44 B44:E44">
    <cfRule type="top10" dxfId="41" priority="460" rank="1"/>
  </conditionalFormatting>
  <conditionalFormatting sqref="G48:K48 B48:E48">
    <cfRule type="top10" dxfId="40" priority="462" rank="1"/>
  </conditionalFormatting>
  <conditionalFormatting sqref="G56:K56 B56:E56">
    <cfRule type="top10" dxfId="39" priority="466" rank="1"/>
  </conditionalFormatting>
  <conditionalFormatting sqref="G57:K57 B57:E57">
    <cfRule type="top10" dxfId="38" priority="468" rank="1"/>
  </conditionalFormatting>
  <conditionalFormatting sqref="G66:K66 B66:E66">
    <cfRule type="top10" dxfId="37" priority="474" rank="1"/>
  </conditionalFormatting>
  <conditionalFormatting sqref="G67:K67 B67:E67">
    <cfRule type="top10" dxfId="36" priority="476" rank="1"/>
  </conditionalFormatting>
  <conditionalFormatting sqref="G71:K71 B71:E71">
    <cfRule type="top10" dxfId="35" priority="478" rank="1"/>
  </conditionalFormatting>
  <conditionalFormatting sqref="G81:K81 B81:E81">
    <cfRule type="top10" dxfId="34" priority="486" rank="1"/>
  </conditionalFormatting>
  <conditionalFormatting sqref="G82:K82 B82:E82">
    <cfRule type="top10" dxfId="33" priority="488" rank="1"/>
  </conditionalFormatting>
  <printOptions horizontalCentered="1" verticalCentered="1"/>
  <pageMargins left="0" right="0" top="0" bottom="0" header="0" footer="0"/>
  <pageSetup paperSize="9" scale="38" fitToHeight="0" orientation="portrait" r:id="rId1"/>
  <headerFooter>
    <oddFooter>&amp;L_x000D_&amp;1#&amp;"Calibri"&amp;8&amp;K008000 Public</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N84"/>
  <sheetViews>
    <sheetView showGridLines="0" zoomScale="70" zoomScaleNormal="70" workbookViewId="0">
      <pane xSplit="1" ySplit="7" topLeftCell="C13" activePane="bottomRight" state="frozen"/>
      <selection pane="topRight" activeCell="B1" sqref="B1"/>
      <selection pane="bottomLeft" activeCell="A8" sqref="A8"/>
      <selection pane="bottomRight" activeCell="F32" sqref="F32"/>
    </sheetView>
  </sheetViews>
  <sheetFormatPr defaultColWidth="9.1796875" defaultRowHeight="15.5" x14ac:dyDescent="0.35"/>
  <cols>
    <col min="1" max="1" width="56.81640625" style="17" customWidth="1"/>
    <col min="2" max="3" width="43.1796875" style="17" customWidth="1"/>
    <col min="4" max="5" width="30.81640625" style="17" customWidth="1"/>
    <col min="6" max="6" width="40.36328125" style="17" customWidth="1"/>
    <col min="7" max="7" width="33.453125" style="17" bestFit="1" customWidth="1"/>
    <col min="8" max="8" width="30.81640625" style="17" customWidth="1"/>
    <col min="9" max="9" width="25.81640625" style="17" customWidth="1"/>
    <col min="10" max="10" width="4.81640625" style="17" customWidth="1"/>
    <col min="11" max="11" width="70.453125" style="17" customWidth="1"/>
    <col min="12" max="16384" width="9.1796875" style="17"/>
  </cols>
  <sheetData>
    <row r="1" spans="1:14" ht="15" customHeight="1" x14ac:dyDescent="0.35">
      <c r="A1" s="273" t="s">
        <v>234</v>
      </c>
      <c r="B1" s="273"/>
      <c r="C1" s="273"/>
      <c r="D1" s="273"/>
      <c r="E1" s="273"/>
      <c r="F1" s="273"/>
      <c r="G1" s="273"/>
      <c r="H1" s="273"/>
      <c r="I1" s="273"/>
      <c r="J1" s="16"/>
      <c r="K1" s="16"/>
      <c r="L1" s="16"/>
      <c r="M1" s="16"/>
      <c r="N1" s="16"/>
    </row>
    <row r="2" spans="1:14" x14ac:dyDescent="0.35">
      <c r="A2" s="273"/>
      <c r="B2" s="273"/>
      <c r="C2" s="273"/>
      <c r="D2" s="273"/>
      <c r="E2" s="273"/>
      <c r="F2" s="273"/>
      <c r="G2" s="273"/>
      <c r="H2" s="273"/>
      <c r="I2" s="273"/>
      <c r="J2" s="16"/>
      <c r="K2" s="16"/>
      <c r="L2" s="16"/>
      <c r="M2" s="16"/>
      <c r="N2" s="16"/>
    </row>
    <row r="3" spans="1:14" x14ac:dyDescent="0.35">
      <c r="A3" s="18" t="s">
        <v>341</v>
      </c>
      <c r="B3" s="18"/>
      <c r="C3" s="18"/>
    </row>
    <row r="4" spans="1:14" x14ac:dyDescent="0.35">
      <c r="A4" s="17" t="s">
        <v>236</v>
      </c>
      <c r="B4" s="18"/>
      <c r="C4" s="18"/>
    </row>
    <row r="5" spans="1:14" ht="20.25" customHeight="1" thickBot="1" x14ac:dyDescent="0.4">
      <c r="A5" s="18" t="s">
        <v>237</v>
      </c>
      <c r="B5" s="18"/>
      <c r="C5" s="18"/>
    </row>
    <row r="6" spans="1:14" ht="16" thickBot="1" x14ac:dyDescent="0.4">
      <c r="A6" s="274" t="s">
        <v>238</v>
      </c>
      <c r="B6" s="176" t="s">
        <v>16</v>
      </c>
      <c r="C6" s="176" t="s">
        <v>16</v>
      </c>
      <c r="D6" s="176" t="s">
        <v>21</v>
      </c>
      <c r="E6" s="176" t="s">
        <v>21</v>
      </c>
      <c r="F6" s="177" t="s">
        <v>27</v>
      </c>
      <c r="G6" s="176" t="s">
        <v>30</v>
      </c>
      <c r="H6" s="176" t="s">
        <v>30</v>
      </c>
      <c r="I6" s="176" t="s">
        <v>37</v>
      </c>
      <c r="J6" s="19"/>
      <c r="K6" s="20" t="s">
        <v>239</v>
      </c>
      <c r="L6" s="19"/>
      <c r="N6" s="21"/>
    </row>
    <row r="7" spans="1:14" ht="48" customHeight="1" x14ac:dyDescent="0.35">
      <c r="A7" s="274"/>
      <c r="B7" s="178" t="s">
        <v>240</v>
      </c>
      <c r="C7" s="178" t="s">
        <v>241</v>
      </c>
      <c r="D7" s="178" t="s">
        <v>359</v>
      </c>
      <c r="E7" s="178" t="s">
        <v>313</v>
      </c>
      <c r="F7" s="179" t="s">
        <v>28</v>
      </c>
      <c r="G7" s="176" t="s">
        <v>33</v>
      </c>
      <c r="H7" s="176" t="s">
        <v>31</v>
      </c>
      <c r="I7" s="176" t="s">
        <v>38</v>
      </c>
      <c r="J7" s="22"/>
      <c r="K7" s="323" t="s">
        <v>403</v>
      </c>
      <c r="L7" s="22"/>
      <c r="N7" s="23"/>
    </row>
    <row r="8" spans="1:14" x14ac:dyDescent="0.35">
      <c r="A8" s="24" t="s">
        <v>242</v>
      </c>
      <c r="B8" s="25">
        <v>4.2500000000000003E-2</v>
      </c>
      <c r="C8" s="25">
        <v>4.2500000000000003E-2</v>
      </c>
      <c r="D8" s="25">
        <v>4.2500000000000003E-2</v>
      </c>
      <c r="E8" s="25">
        <v>4.2500000000000003E-2</v>
      </c>
      <c r="F8" s="25">
        <v>4.2500000000000003E-2</v>
      </c>
      <c r="G8" s="25">
        <v>4.2500000000000003E-2</v>
      </c>
      <c r="H8" s="25">
        <v>4.2500000000000003E-2</v>
      </c>
      <c r="I8" s="25">
        <v>4.2500000000000003E-2</v>
      </c>
      <c r="J8" s="26"/>
      <c r="K8" s="324"/>
      <c r="L8" s="26"/>
      <c r="N8" s="27"/>
    </row>
    <row r="9" spans="1:14" ht="21" customHeight="1" x14ac:dyDescent="0.35">
      <c r="A9" s="28" t="s">
        <v>243</v>
      </c>
      <c r="B9" s="29" t="s">
        <v>342</v>
      </c>
      <c r="C9" s="63" t="s">
        <v>342</v>
      </c>
      <c r="D9" s="29" t="s">
        <v>343</v>
      </c>
      <c r="E9" s="29" t="s">
        <v>343</v>
      </c>
      <c r="F9" s="63" t="s">
        <v>342</v>
      </c>
      <c r="G9" s="63" t="s">
        <v>245</v>
      </c>
      <c r="H9" s="29" t="s">
        <v>350</v>
      </c>
      <c r="I9" s="29" t="s">
        <v>343</v>
      </c>
      <c r="J9" s="30"/>
      <c r="K9" s="324"/>
      <c r="L9" s="30"/>
    </row>
    <row r="10" spans="1:14" x14ac:dyDescent="0.35">
      <c r="A10" s="31" t="s">
        <v>57</v>
      </c>
      <c r="B10" s="32">
        <v>10</v>
      </c>
      <c r="C10" s="32">
        <v>10</v>
      </c>
      <c r="D10" s="32">
        <v>10</v>
      </c>
      <c r="E10" s="32">
        <v>10</v>
      </c>
      <c r="F10" s="32">
        <v>10</v>
      </c>
      <c r="G10" s="32">
        <v>10</v>
      </c>
      <c r="H10" s="32">
        <v>10</v>
      </c>
      <c r="I10" s="32">
        <v>10</v>
      </c>
      <c r="J10" s="30"/>
      <c r="K10" s="324"/>
      <c r="L10" s="30"/>
    </row>
    <row r="11" spans="1:14" ht="15" customHeight="1" x14ac:dyDescent="0.35">
      <c r="A11" s="31" t="s">
        <v>246</v>
      </c>
      <c r="B11" s="33" t="s">
        <v>315</v>
      </c>
      <c r="C11" s="33" t="s">
        <v>316</v>
      </c>
      <c r="D11" s="33" t="s">
        <v>315</v>
      </c>
      <c r="E11" s="33" t="s">
        <v>315</v>
      </c>
      <c r="F11" s="33" t="s">
        <v>317</v>
      </c>
      <c r="G11" s="33" t="s">
        <v>315</v>
      </c>
      <c r="H11" s="33" t="s">
        <v>295</v>
      </c>
      <c r="I11" s="33" t="s">
        <v>315</v>
      </c>
      <c r="J11" s="30"/>
      <c r="K11" s="324"/>
      <c r="L11" s="30"/>
    </row>
    <row r="12" spans="1:14" ht="19.399999999999999" customHeight="1" x14ac:dyDescent="0.35">
      <c r="A12" s="31" t="s">
        <v>251</v>
      </c>
      <c r="B12" s="34">
        <v>273000</v>
      </c>
      <c r="C12" s="34">
        <v>600000</v>
      </c>
      <c r="D12" s="35">
        <v>600000</v>
      </c>
      <c r="E12" s="35">
        <v>333000</v>
      </c>
      <c r="F12" s="35">
        <f>F38</f>
        <v>462000</v>
      </c>
      <c r="G12" s="35">
        <v>300000</v>
      </c>
      <c r="H12" s="35">
        <v>200000</v>
      </c>
      <c r="I12" s="35">
        <v>750000</v>
      </c>
      <c r="J12" s="30"/>
      <c r="K12" s="324"/>
      <c r="L12" s="30"/>
    </row>
    <row r="13" spans="1:14" x14ac:dyDescent="0.35">
      <c r="A13" s="281" t="s">
        <v>253</v>
      </c>
      <c r="B13" s="330">
        <v>6006</v>
      </c>
      <c r="C13" s="129" t="s">
        <v>318</v>
      </c>
      <c r="D13" s="262">
        <v>6000</v>
      </c>
      <c r="E13" s="262">
        <v>5994</v>
      </c>
      <c r="F13" s="129" t="s">
        <v>319</v>
      </c>
      <c r="G13" s="262">
        <v>6000</v>
      </c>
      <c r="H13" s="262">
        <v>6000</v>
      </c>
      <c r="I13" s="330">
        <v>6000</v>
      </c>
      <c r="J13" s="37"/>
      <c r="K13" s="324"/>
      <c r="L13" s="37"/>
    </row>
    <row r="14" spans="1:14" x14ac:dyDescent="0.35">
      <c r="A14" s="282"/>
      <c r="B14" s="331"/>
      <c r="C14" s="133">
        <v>6000</v>
      </c>
      <c r="D14" s="263"/>
      <c r="E14" s="263"/>
      <c r="F14" s="130">
        <f>F37*13%</f>
        <v>6006</v>
      </c>
      <c r="G14" s="263"/>
      <c r="H14" s="263"/>
      <c r="I14" s="331"/>
      <c r="J14" s="37"/>
      <c r="K14" s="324"/>
      <c r="L14" s="37"/>
    </row>
    <row r="15" spans="1:14" x14ac:dyDescent="0.35">
      <c r="A15" s="282"/>
      <c r="B15" s="331"/>
      <c r="C15" s="129" t="s">
        <v>320</v>
      </c>
      <c r="D15" s="263"/>
      <c r="E15" s="263"/>
      <c r="F15" s="154" t="s">
        <v>321</v>
      </c>
      <c r="G15" s="263"/>
      <c r="H15" s="263"/>
      <c r="I15" s="331"/>
      <c r="J15" s="37"/>
      <c r="K15" s="324"/>
      <c r="L15" s="37"/>
    </row>
    <row r="16" spans="1:14" x14ac:dyDescent="0.35">
      <c r="A16" s="282"/>
      <c r="B16" s="331"/>
      <c r="C16" s="130">
        <v>7680</v>
      </c>
      <c r="D16" s="263"/>
      <c r="E16" s="263"/>
      <c r="F16" s="154">
        <f>F37*16%</f>
        <v>7392</v>
      </c>
      <c r="G16" s="263"/>
      <c r="H16" s="263"/>
      <c r="I16" s="331"/>
      <c r="J16" s="37"/>
      <c r="K16" s="324"/>
      <c r="L16" s="37"/>
    </row>
    <row r="17" spans="1:12" x14ac:dyDescent="0.35">
      <c r="A17" s="282"/>
      <c r="B17" s="331"/>
      <c r="C17" s="133" t="s">
        <v>322</v>
      </c>
      <c r="D17" s="263"/>
      <c r="E17" s="263"/>
      <c r="F17" s="154"/>
      <c r="G17" s="263"/>
      <c r="H17" s="263"/>
      <c r="I17" s="331"/>
      <c r="J17" s="37"/>
      <c r="K17" s="324"/>
      <c r="L17" s="37"/>
    </row>
    <row r="18" spans="1:12" x14ac:dyDescent="0.35">
      <c r="A18" s="316"/>
      <c r="B18" s="332"/>
      <c r="C18" s="130">
        <v>8220</v>
      </c>
      <c r="D18" s="264"/>
      <c r="E18" s="264"/>
      <c r="F18" s="52"/>
      <c r="G18" s="264"/>
      <c r="H18" s="264"/>
      <c r="I18" s="332"/>
      <c r="J18" s="37"/>
      <c r="K18" s="324"/>
      <c r="L18" s="37"/>
    </row>
    <row r="19" spans="1:12" x14ac:dyDescent="0.35">
      <c r="A19" s="278" t="s">
        <v>259</v>
      </c>
      <c r="B19" s="129" t="s">
        <v>360</v>
      </c>
      <c r="C19" s="129" t="s">
        <v>318</v>
      </c>
      <c r="D19" s="262">
        <v>34200</v>
      </c>
      <c r="E19" s="289">
        <v>19980</v>
      </c>
      <c r="F19" s="129" t="s">
        <v>319</v>
      </c>
      <c r="G19" s="131" t="s">
        <v>361</v>
      </c>
      <c r="H19" s="262">
        <v>14700</v>
      </c>
      <c r="I19" s="330">
        <v>27375</v>
      </c>
      <c r="J19" s="37"/>
      <c r="K19" s="324"/>
      <c r="L19" s="37"/>
    </row>
    <row r="20" spans="1:12" x14ac:dyDescent="0.35">
      <c r="A20" s="279"/>
      <c r="B20" s="130">
        <v>14196</v>
      </c>
      <c r="C20" s="133">
        <v>13800</v>
      </c>
      <c r="D20" s="263"/>
      <c r="E20" s="328"/>
      <c r="F20" s="130">
        <f>F14+F37*20%</f>
        <v>15246</v>
      </c>
      <c r="G20" s="154">
        <v>27900</v>
      </c>
      <c r="H20" s="263"/>
      <c r="I20" s="331"/>
      <c r="J20" s="37"/>
      <c r="K20" s="324"/>
      <c r="L20" s="37"/>
    </row>
    <row r="21" spans="1:12" x14ac:dyDescent="0.35">
      <c r="A21" s="279"/>
      <c r="B21" s="129" t="s">
        <v>362</v>
      </c>
      <c r="C21" s="129" t="s">
        <v>320</v>
      </c>
      <c r="D21" s="263"/>
      <c r="E21" s="328"/>
      <c r="F21" s="154" t="s">
        <v>321</v>
      </c>
      <c r="G21" s="131" t="s">
        <v>363</v>
      </c>
      <c r="H21" s="263"/>
      <c r="I21" s="331"/>
      <c r="J21" s="37"/>
      <c r="K21" s="324"/>
      <c r="L21" s="37"/>
    </row>
    <row r="22" spans="1:12" x14ac:dyDescent="0.35">
      <c r="A22" s="279"/>
      <c r="B22" s="133">
        <v>15561</v>
      </c>
      <c r="C22" s="130">
        <v>19980</v>
      </c>
      <c r="D22" s="263"/>
      <c r="E22" s="328"/>
      <c r="F22" s="172">
        <v>18480</v>
      </c>
      <c r="G22" s="154">
        <v>29700</v>
      </c>
      <c r="H22" s="263"/>
      <c r="I22" s="331"/>
      <c r="J22" s="37"/>
      <c r="K22" s="324"/>
      <c r="L22" s="37"/>
    </row>
    <row r="23" spans="1:12" x14ac:dyDescent="0.35">
      <c r="A23" s="279"/>
      <c r="B23" s="133"/>
      <c r="C23" s="133" t="s">
        <v>322</v>
      </c>
      <c r="D23" s="263"/>
      <c r="E23" s="328"/>
      <c r="F23" s="154"/>
      <c r="G23" s="154"/>
      <c r="H23" s="263"/>
      <c r="I23" s="331"/>
      <c r="J23" s="37"/>
      <c r="K23" s="324"/>
      <c r="L23" s="37"/>
    </row>
    <row r="24" spans="1:12" ht="20.149999999999999" customHeight="1" x14ac:dyDescent="0.35">
      <c r="A24" s="280"/>
      <c r="B24" s="69" t="s">
        <v>327</v>
      </c>
      <c r="C24" s="130">
        <v>21420</v>
      </c>
      <c r="D24" s="264"/>
      <c r="E24" s="329"/>
      <c r="F24" s="154"/>
      <c r="G24" s="132"/>
      <c r="H24" s="264"/>
      <c r="I24" s="332"/>
      <c r="J24" s="37"/>
      <c r="K24" s="324"/>
      <c r="L24" s="37"/>
    </row>
    <row r="25" spans="1:12" x14ac:dyDescent="0.35">
      <c r="A25" s="283" t="s">
        <v>266</v>
      </c>
      <c r="B25" s="320">
        <f>B13/B38</f>
        <v>1.510989010989011E-2</v>
      </c>
      <c r="C25" s="147" t="s">
        <v>318</v>
      </c>
      <c r="D25" s="266">
        <f t="shared" ref="D25:H25" si="0">D13/D38</f>
        <v>7.1469411092052598E-3</v>
      </c>
      <c r="E25" s="266">
        <f>E13/E38</f>
        <v>1.2371134020618556E-2</v>
      </c>
      <c r="F25" s="147" t="s">
        <v>319</v>
      </c>
      <c r="G25" s="267">
        <f t="shared" si="0"/>
        <v>8.0666683248151565E-3</v>
      </c>
      <c r="H25" s="266">
        <f t="shared" si="0"/>
        <v>0.01</v>
      </c>
      <c r="I25" s="266">
        <f>I13/I38</f>
        <v>8.0000000000000002E-3</v>
      </c>
      <c r="J25" s="37"/>
      <c r="K25" s="324"/>
      <c r="L25" s="37"/>
    </row>
    <row r="26" spans="1:12" x14ac:dyDescent="0.35">
      <c r="A26" s="284"/>
      <c r="B26" s="321"/>
      <c r="C26" s="156">
        <f>C14/C38</f>
        <v>0.01</v>
      </c>
      <c r="D26" s="267"/>
      <c r="E26" s="267"/>
      <c r="F26" s="135">
        <f>F14/F38</f>
        <v>1.2999999999999999E-2</v>
      </c>
      <c r="G26" s="267"/>
      <c r="H26" s="267"/>
      <c r="I26" s="267"/>
      <c r="J26" s="37"/>
      <c r="K26" s="324"/>
      <c r="L26" s="37"/>
    </row>
    <row r="27" spans="1:12" x14ac:dyDescent="0.35">
      <c r="A27" s="284"/>
      <c r="B27" s="321"/>
      <c r="C27" s="147" t="s">
        <v>320</v>
      </c>
      <c r="D27" s="267"/>
      <c r="E27" s="267"/>
      <c r="F27" s="165" t="s">
        <v>321</v>
      </c>
      <c r="G27" s="267"/>
      <c r="H27" s="267"/>
      <c r="I27" s="267"/>
      <c r="J27" s="37"/>
      <c r="K27" s="324"/>
      <c r="L27" s="37"/>
    </row>
    <row r="28" spans="1:12" x14ac:dyDescent="0.35">
      <c r="A28" s="284"/>
      <c r="B28" s="321"/>
      <c r="C28" s="150">
        <f>C16/C38</f>
        <v>1.2800000000000001E-2</v>
      </c>
      <c r="D28" s="267"/>
      <c r="E28" s="267"/>
      <c r="F28" s="144">
        <f>F16/F38</f>
        <v>1.6E-2</v>
      </c>
      <c r="G28" s="267"/>
      <c r="H28" s="267"/>
      <c r="I28" s="267"/>
      <c r="J28" s="37"/>
      <c r="K28" s="324"/>
      <c r="L28" s="37"/>
    </row>
    <row r="29" spans="1:12" x14ac:dyDescent="0.35">
      <c r="A29" s="284"/>
      <c r="B29" s="321"/>
      <c r="C29" s="148" t="s">
        <v>322</v>
      </c>
      <c r="D29" s="267"/>
      <c r="E29" s="267"/>
      <c r="F29" s="140"/>
      <c r="G29" s="267"/>
      <c r="H29" s="267"/>
      <c r="I29" s="267"/>
      <c r="J29" s="37"/>
      <c r="K29" s="324"/>
      <c r="L29" s="37"/>
    </row>
    <row r="30" spans="1:12" x14ac:dyDescent="0.35">
      <c r="A30" s="285"/>
      <c r="B30" s="322"/>
      <c r="C30" s="150">
        <f>C18/C38</f>
        <v>1.37E-2</v>
      </c>
      <c r="D30" s="268"/>
      <c r="E30" s="268"/>
      <c r="F30" s="141"/>
      <c r="G30" s="268"/>
      <c r="H30" s="268"/>
      <c r="I30" s="268"/>
      <c r="J30" s="37"/>
      <c r="K30" s="324"/>
      <c r="L30" s="37"/>
    </row>
    <row r="31" spans="1:12" x14ac:dyDescent="0.35">
      <c r="A31" s="275" t="s">
        <v>267</v>
      </c>
      <c r="B31" s="134" t="s">
        <v>364</v>
      </c>
      <c r="C31" s="147" t="s">
        <v>318</v>
      </c>
      <c r="D31" s="320">
        <f>D19/D38</f>
        <v>4.0737564322469985E-2</v>
      </c>
      <c r="E31" s="320">
        <f>E19/E38</f>
        <v>4.1237113402061855E-2</v>
      </c>
      <c r="F31" s="147" t="s">
        <v>319</v>
      </c>
      <c r="G31" s="155" t="s">
        <v>361</v>
      </c>
      <c r="H31" s="373">
        <f>H19/H38</f>
        <v>2.4500000000000001E-2</v>
      </c>
      <c r="I31" s="266">
        <f>I19/I38</f>
        <v>3.6499999999999998E-2</v>
      </c>
      <c r="J31" s="37"/>
      <c r="K31" s="324"/>
      <c r="L31" s="37"/>
    </row>
    <row r="32" spans="1:12" x14ac:dyDescent="0.35">
      <c r="A32" s="276"/>
      <c r="B32" s="267">
        <f>B20/B38</f>
        <v>3.5714285714285712E-2</v>
      </c>
      <c r="C32" s="156">
        <f>C20/C38</f>
        <v>2.3E-2</v>
      </c>
      <c r="D32" s="321"/>
      <c r="E32" s="321"/>
      <c r="F32" s="140">
        <f>F20/F38</f>
        <v>3.3000000000000002E-2</v>
      </c>
      <c r="G32" s="140">
        <f>G20/G38</f>
        <v>3.7510007710390474E-2</v>
      </c>
      <c r="H32" s="374"/>
      <c r="I32" s="267"/>
      <c r="J32" s="37"/>
      <c r="K32" s="324"/>
      <c r="L32" s="37"/>
    </row>
    <row r="33" spans="1:12" ht="21.65" customHeight="1" x14ac:dyDescent="0.35">
      <c r="A33" s="276"/>
      <c r="B33" s="267"/>
      <c r="C33" s="147" t="s">
        <v>320</v>
      </c>
      <c r="D33" s="321"/>
      <c r="E33" s="321"/>
      <c r="F33" s="165" t="s">
        <v>321</v>
      </c>
      <c r="G33" s="155" t="s">
        <v>363</v>
      </c>
      <c r="H33" s="374"/>
      <c r="I33" s="267"/>
      <c r="J33" s="37"/>
      <c r="K33" s="324"/>
      <c r="L33" s="37"/>
    </row>
    <row r="34" spans="1:12" ht="21.65" customHeight="1" x14ac:dyDescent="0.35">
      <c r="A34" s="276"/>
      <c r="B34" s="142" t="s">
        <v>365</v>
      </c>
      <c r="C34" s="150">
        <f>C22/C38</f>
        <v>3.3300000000000003E-2</v>
      </c>
      <c r="D34" s="321"/>
      <c r="E34" s="321"/>
      <c r="F34" s="140">
        <f>F22/F38</f>
        <v>0.04</v>
      </c>
      <c r="G34" s="140">
        <f>G22/G38</f>
        <v>3.9930008207835023E-2</v>
      </c>
      <c r="H34" s="374"/>
      <c r="I34" s="267"/>
      <c r="J34" s="37"/>
      <c r="K34" s="324"/>
      <c r="L34" s="37"/>
    </row>
    <row r="35" spans="1:12" ht="21.65" customHeight="1" x14ac:dyDescent="0.35">
      <c r="A35" s="276"/>
      <c r="B35" s="267">
        <f>B22/B38</f>
        <v>3.9148351648351648E-2</v>
      </c>
      <c r="C35" s="148" t="s">
        <v>322</v>
      </c>
      <c r="D35" s="321"/>
      <c r="E35" s="321"/>
      <c r="F35" s="140"/>
      <c r="G35" s="145"/>
      <c r="H35" s="374"/>
      <c r="I35" s="267"/>
      <c r="J35" s="37"/>
      <c r="K35" s="324"/>
      <c r="L35" s="37"/>
    </row>
    <row r="36" spans="1:12" x14ac:dyDescent="0.35">
      <c r="A36" s="277"/>
      <c r="B36" s="268"/>
      <c r="C36" s="150">
        <f>C24/C38</f>
        <v>3.5700000000000003E-2</v>
      </c>
      <c r="D36" s="322"/>
      <c r="E36" s="322"/>
      <c r="F36" s="141"/>
      <c r="G36" s="135"/>
      <c r="H36" s="375"/>
      <c r="I36" s="268"/>
      <c r="J36" s="37"/>
      <c r="K36" s="324"/>
      <c r="L36" s="37"/>
    </row>
    <row r="37" spans="1:12" x14ac:dyDescent="0.35">
      <c r="A37" s="31" t="s">
        <v>264</v>
      </c>
      <c r="B37" s="137">
        <v>39748.800000000003</v>
      </c>
      <c r="C37" s="137">
        <v>60000</v>
      </c>
      <c r="D37" s="35">
        <v>83952</v>
      </c>
      <c r="E37" s="52">
        <v>48451</v>
      </c>
      <c r="F37" s="52">
        <v>46200</v>
      </c>
      <c r="G37" s="52">
        <v>74380.149999999994</v>
      </c>
      <c r="H37" s="138">
        <v>60000</v>
      </c>
      <c r="I37" s="35">
        <v>75000</v>
      </c>
      <c r="J37" s="37"/>
      <c r="K37" s="324"/>
      <c r="L37" s="37"/>
    </row>
    <row r="38" spans="1:12" ht="22.5" customHeight="1" x14ac:dyDescent="0.35">
      <c r="A38" s="31" t="s">
        <v>265</v>
      </c>
      <c r="B38" s="38">
        <f>B37*10</f>
        <v>397488</v>
      </c>
      <c r="C38" s="38">
        <f>10*C37</f>
        <v>600000</v>
      </c>
      <c r="D38" s="38">
        <f>D37*10</f>
        <v>839520</v>
      </c>
      <c r="E38" s="38">
        <v>484515</v>
      </c>
      <c r="F38" s="34">
        <f>F37*F10</f>
        <v>462000</v>
      </c>
      <c r="G38" s="67">
        <f>G37*G10</f>
        <v>743801.5</v>
      </c>
      <c r="H38" s="34">
        <f>H37*H10</f>
        <v>600000</v>
      </c>
      <c r="I38" s="38">
        <f>I37*10</f>
        <v>750000</v>
      </c>
      <c r="J38" s="37"/>
      <c r="K38" s="324"/>
      <c r="L38" s="37"/>
    </row>
    <row r="39" spans="1:12" s="44" customFormat="1" ht="36.65" customHeight="1" x14ac:dyDescent="0.35">
      <c r="A39" s="45" t="s">
        <v>307</v>
      </c>
      <c r="B39" s="50" t="s">
        <v>328</v>
      </c>
      <c r="C39" s="74" t="s">
        <v>329</v>
      </c>
      <c r="D39" s="61" t="s">
        <v>328</v>
      </c>
      <c r="E39" s="61" t="s">
        <v>328</v>
      </c>
      <c r="F39" s="61" t="s">
        <v>328</v>
      </c>
      <c r="G39" s="61" t="s">
        <v>328</v>
      </c>
      <c r="H39" s="75" t="s">
        <v>330</v>
      </c>
      <c r="I39" s="46" t="s">
        <v>328</v>
      </c>
      <c r="J39" s="43"/>
      <c r="K39" s="324"/>
      <c r="L39" s="43"/>
    </row>
    <row r="40" spans="1:12" ht="22.5" customHeight="1" x14ac:dyDescent="0.35">
      <c r="A40" s="270" t="s">
        <v>331</v>
      </c>
      <c r="B40" s="270"/>
      <c r="C40" s="270"/>
      <c r="D40" s="270"/>
      <c r="E40" s="270"/>
      <c r="F40" s="270"/>
      <c r="G40" s="270"/>
      <c r="H40" s="270"/>
      <c r="I40" s="270"/>
      <c r="J40" s="37"/>
      <c r="K40" s="324"/>
      <c r="L40" s="37"/>
    </row>
    <row r="41" spans="1:12" ht="22.5" customHeight="1" x14ac:dyDescent="0.35">
      <c r="A41" s="39" t="s">
        <v>275</v>
      </c>
      <c r="B41" s="38">
        <v>401462</v>
      </c>
      <c r="C41" s="38">
        <v>606000</v>
      </c>
      <c r="D41" s="42">
        <v>847915</v>
      </c>
      <c r="E41" s="42">
        <v>489360</v>
      </c>
      <c r="F41" s="42">
        <v>468930</v>
      </c>
      <c r="G41" s="42">
        <v>780992</v>
      </c>
      <c r="H41" s="42">
        <v>630000</v>
      </c>
      <c r="I41" s="42">
        <v>757500</v>
      </c>
      <c r="J41" s="37"/>
      <c r="K41" s="324"/>
      <c r="L41" s="37"/>
    </row>
    <row r="42" spans="1:12" ht="22.5" customHeight="1" x14ac:dyDescent="0.35">
      <c r="A42" s="39" t="s">
        <v>276</v>
      </c>
      <c r="B42" s="38">
        <v>426662</v>
      </c>
      <c r="C42" s="38">
        <v>735780</v>
      </c>
      <c r="D42" s="42">
        <v>904582</v>
      </c>
      <c r="E42" s="42">
        <v>522064</v>
      </c>
      <c r="F42" s="42">
        <v>513744</v>
      </c>
      <c r="G42" s="42">
        <v>782402</v>
      </c>
      <c r="H42" s="42">
        <v>664680</v>
      </c>
      <c r="I42" s="42">
        <v>757575</v>
      </c>
      <c r="J42" s="37"/>
      <c r="K42" s="324"/>
      <c r="L42" s="37"/>
    </row>
    <row r="43" spans="1:12" ht="22.5" customHeight="1" x14ac:dyDescent="0.35">
      <c r="A43" s="47" t="s">
        <v>277</v>
      </c>
      <c r="B43" s="153">
        <f>B41/B38</f>
        <v>1.0099977860966871</v>
      </c>
      <c r="C43" s="153">
        <f t="shared" ref="C43:I43" si="1">C41/C38</f>
        <v>1.01</v>
      </c>
      <c r="D43" s="60">
        <f t="shared" si="1"/>
        <v>1.0099997617686296</v>
      </c>
      <c r="E43" s="60">
        <f>E41/E38</f>
        <v>1.0099996904120616</v>
      </c>
      <c r="F43" s="60">
        <f>F41/F38</f>
        <v>1.0149999999999999</v>
      </c>
      <c r="G43" s="60">
        <f>G41/G38</f>
        <v>1.0500005713890064</v>
      </c>
      <c r="H43" s="60">
        <f t="shared" si="1"/>
        <v>1.05</v>
      </c>
      <c r="I43" s="48">
        <f t="shared" si="1"/>
        <v>1.01</v>
      </c>
      <c r="J43" s="37"/>
      <c r="K43" s="324"/>
      <c r="L43" s="37"/>
    </row>
    <row r="44" spans="1:12" ht="22.5" customHeight="1" x14ac:dyDescent="0.35">
      <c r="A44" s="47" t="s">
        <v>278</v>
      </c>
      <c r="B44" s="153">
        <f>B42/B38</f>
        <v>1.0733959264179045</v>
      </c>
      <c r="C44" s="153">
        <f t="shared" ref="C44:I44" si="2">C42/C38</f>
        <v>1.2262999999999999</v>
      </c>
      <c r="D44" s="60">
        <f t="shared" si="2"/>
        <v>1.0774990470745187</v>
      </c>
      <c r="E44" s="60">
        <f>E42/E38</f>
        <v>1.0774981166733744</v>
      </c>
      <c r="F44" s="60">
        <f>F42/F38</f>
        <v>1.1120000000000001</v>
      </c>
      <c r="G44" s="60">
        <f>G42/G38</f>
        <v>1.0518962384453379</v>
      </c>
      <c r="H44" s="60">
        <f t="shared" si="2"/>
        <v>1.1077999999999999</v>
      </c>
      <c r="I44" s="48">
        <f t="shared" si="2"/>
        <v>1.0101</v>
      </c>
      <c r="J44" s="37"/>
      <c r="K44" s="324"/>
      <c r="L44" s="37"/>
    </row>
    <row r="45" spans="1:12" ht="20.25" customHeight="1" x14ac:dyDescent="0.35">
      <c r="A45" s="269" t="s">
        <v>279</v>
      </c>
      <c r="B45" s="269"/>
      <c r="C45" s="269"/>
      <c r="D45" s="269"/>
      <c r="E45" s="269"/>
      <c r="F45" s="269"/>
      <c r="G45" s="269"/>
      <c r="H45" s="269"/>
      <c r="I45" s="269"/>
      <c r="J45" s="37"/>
      <c r="K45" s="324"/>
      <c r="L45" s="37"/>
    </row>
    <row r="46" spans="1:12" ht="22.5" customHeight="1" x14ac:dyDescent="0.35">
      <c r="A46" s="39" t="s">
        <v>280</v>
      </c>
      <c r="B46" s="36">
        <v>6006</v>
      </c>
      <c r="C46" s="152" t="s">
        <v>252</v>
      </c>
      <c r="D46" s="36">
        <v>6000</v>
      </c>
      <c r="E46" s="36">
        <v>5994</v>
      </c>
      <c r="F46" s="36">
        <v>0</v>
      </c>
      <c r="G46" s="36">
        <v>6000</v>
      </c>
      <c r="H46" s="36">
        <v>54000</v>
      </c>
      <c r="I46" s="42">
        <v>6000</v>
      </c>
      <c r="J46" s="37"/>
      <c r="K46" s="324"/>
      <c r="L46" s="37"/>
    </row>
    <row r="47" spans="1:12" ht="22.5" customHeight="1" x14ac:dyDescent="0.35">
      <c r="A47" s="31" t="s">
        <v>281</v>
      </c>
      <c r="B47" s="38">
        <v>397488</v>
      </c>
      <c r="C47" s="38">
        <v>432000</v>
      </c>
      <c r="D47" s="35">
        <v>839520</v>
      </c>
      <c r="E47" s="35">
        <v>484515</v>
      </c>
      <c r="F47" s="35">
        <v>468930</v>
      </c>
      <c r="G47" s="35">
        <v>743802</v>
      </c>
      <c r="H47" s="35">
        <v>139200</v>
      </c>
      <c r="I47" s="35">
        <v>750000</v>
      </c>
      <c r="J47" s="37"/>
      <c r="K47" s="324"/>
      <c r="L47" s="37"/>
    </row>
    <row r="48" spans="1:12" s="44" customFormat="1" ht="22.5" customHeight="1" x14ac:dyDescent="0.35">
      <c r="A48" s="49" t="s">
        <v>282</v>
      </c>
      <c r="B48" s="153">
        <f>(B46+B47)/B38</f>
        <v>1.0151098901098901</v>
      </c>
      <c r="C48" s="153">
        <f>(0+C47)/C38</f>
        <v>0.72</v>
      </c>
      <c r="D48" s="60">
        <f t="shared" ref="D48:I48" si="3">(D46+D47)/D38</f>
        <v>1.0071469411092053</v>
      </c>
      <c r="E48" s="60">
        <f t="shared" si="3"/>
        <v>1.0123711340206185</v>
      </c>
      <c r="F48" s="106">
        <f t="shared" si="3"/>
        <v>1.0149999999999999</v>
      </c>
      <c r="G48" s="60">
        <f t="shared" si="3"/>
        <v>1.0080673405471756</v>
      </c>
      <c r="H48" s="60">
        <f t="shared" si="3"/>
        <v>0.32200000000000001</v>
      </c>
      <c r="I48" s="48">
        <f t="shared" si="3"/>
        <v>1.008</v>
      </c>
      <c r="J48" s="43"/>
      <c r="K48" s="324"/>
      <c r="L48" s="43"/>
    </row>
    <row r="49" spans="1:12" ht="23.25" customHeight="1" x14ac:dyDescent="0.35">
      <c r="A49" s="272" t="s">
        <v>283</v>
      </c>
      <c r="B49" s="272"/>
      <c r="C49" s="272"/>
      <c r="D49" s="272"/>
      <c r="E49" s="272"/>
      <c r="F49" s="272"/>
      <c r="G49" s="272"/>
      <c r="H49" s="272"/>
      <c r="I49" s="272"/>
      <c r="J49" s="37"/>
      <c r="K49" s="324"/>
      <c r="L49" s="37"/>
    </row>
    <row r="50" spans="1:12" ht="22.5" customHeight="1" x14ac:dyDescent="0.35">
      <c r="A50" s="31" t="s">
        <v>284</v>
      </c>
      <c r="B50" s="67">
        <v>14196</v>
      </c>
      <c r="C50" s="42" t="s">
        <v>252</v>
      </c>
      <c r="D50" s="35">
        <v>34200</v>
      </c>
      <c r="E50" s="35">
        <v>19980</v>
      </c>
      <c r="F50" s="35">
        <v>0</v>
      </c>
      <c r="G50" s="35">
        <v>27900</v>
      </c>
      <c r="H50" s="35">
        <v>132300</v>
      </c>
      <c r="I50" s="36">
        <v>27375</v>
      </c>
      <c r="J50" s="37"/>
      <c r="K50" s="324"/>
      <c r="L50" s="37"/>
    </row>
    <row r="51" spans="1:12" ht="22.5" customHeight="1" x14ac:dyDescent="0.35">
      <c r="A51" s="31" t="s">
        <v>285</v>
      </c>
      <c r="B51" s="38">
        <v>422688</v>
      </c>
      <c r="C51" s="38">
        <v>477480</v>
      </c>
      <c r="D51" s="35">
        <v>896187</v>
      </c>
      <c r="E51" s="35">
        <v>517219</v>
      </c>
      <c r="F51" s="35">
        <v>510510</v>
      </c>
      <c r="G51" s="35">
        <v>745212</v>
      </c>
      <c r="H51" s="35">
        <v>208500</v>
      </c>
      <c r="I51" s="35">
        <v>750075</v>
      </c>
      <c r="J51" s="37"/>
      <c r="K51" s="324"/>
      <c r="L51" s="37"/>
    </row>
    <row r="52" spans="1:12" s="44" customFormat="1" ht="22.5" customHeight="1" x14ac:dyDescent="0.35">
      <c r="A52" s="49" t="s">
        <v>286</v>
      </c>
      <c r="B52" s="153">
        <f>(B50+B51)/B38</f>
        <v>1.099112426035503</v>
      </c>
      <c r="C52" s="153">
        <f>(0+C51)/C38</f>
        <v>0.79579999999999995</v>
      </c>
      <c r="D52" s="106">
        <f t="shared" ref="D52:I52" si="4">(D50+D51)/D38</f>
        <v>1.108236849628359</v>
      </c>
      <c r="E52" s="106">
        <f t="shared" si="4"/>
        <v>1.1087355396633747</v>
      </c>
      <c r="F52" s="106">
        <f t="shared" si="4"/>
        <v>1.105</v>
      </c>
      <c r="G52" s="60">
        <f t="shared" si="4"/>
        <v>1.0394063469890824</v>
      </c>
      <c r="H52" s="60">
        <f t="shared" si="4"/>
        <v>0.56799999999999995</v>
      </c>
      <c r="I52" s="48">
        <f t="shared" si="4"/>
        <v>1.0366</v>
      </c>
      <c r="J52" s="43"/>
      <c r="K52" s="324"/>
      <c r="L52" s="43"/>
    </row>
    <row r="53" spans="1:12" ht="22.5" customHeight="1" x14ac:dyDescent="0.35">
      <c r="A53" s="271" t="s">
        <v>287</v>
      </c>
      <c r="B53" s="271"/>
      <c r="C53" s="271"/>
      <c r="D53" s="271"/>
      <c r="E53" s="271"/>
      <c r="F53" s="271"/>
      <c r="G53" s="271"/>
      <c r="H53" s="271"/>
      <c r="I53" s="271"/>
      <c r="J53" s="37"/>
      <c r="K53" s="324"/>
      <c r="L53" s="37"/>
    </row>
    <row r="54" spans="1:12" ht="22.5" customHeight="1" x14ac:dyDescent="0.35">
      <c r="A54" s="39" t="s">
        <v>275</v>
      </c>
      <c r="B54" s="38">
        <v>403490</v>
      </c>
      <c r="C54" s="38">
        <v>532560</v>
      </c>
      <c r="D54" s="42">
        <v>852196</v>
      </c>
      <c r="E54" s="42">
        <v>491831</v>
      </c>
      <c r="F54" s="42">
        <v>477246</v>
      </c>
      <c r="G54" s="42">
        <v>780992</v>
      </c>
      <c r="H54" s="42">
        <v>630000</v>
      </c>
      <c r="I54" s="42">
        <v>757500</v>
      </c>
      <c r="J54" s="37"/>
      <c r="K54" s="324"/>
      <c r="L54" s="37"/>
    </row>
    <row r="55" spans="1:12" ht="22.5" customHeight="1" x14ac:dyDescent="0.35">
      <c r="A55" s="39" t="s">
        <v>276</v>
      </c>
      <c r="B55" s="38">
        <v>430996</v>
      </c>
      <c r="C55" s="38">
        <v>691140</v>
      </c>
      <c r="D55" s="42">
        <v>908863</v>
      </c>
      <c r="E55" s="42">
        <v>524535</v>
      </c>
      <c r="F55" s="42">
        <v>533610</v>
      </c>
      <c r="G55" s="42">
        <v>782522</v>
      </c>
      <c r="H55" s="42">
        <v>684480</v>
      </c>
      <c r="I55" s="42">
        <v>765000</v>
      </c>
      <c r="J55" s="37"/>
      <c r="K55" s="324"/>
      <c r="L55" s="37"/>
    </row>
    <row r="56" spans="1:12" ht="22.5" customHeight="1" x14ac:dyDescent="0.35">
      <c r="A56" s="47" t="s">
        <v>277</v>
      </c>
      <c r="B56" s="153">
        <f>B54/B38</f>
        <v>1.0150998269130138</v>
      </c>
      <c r="C56" s="153">
        <f t="shared" ref="C56:I56" si="5">C54/C38</f>
        <v>0.88759999999999994</v>
      </c>
      <c r="D56" s="60">
        <f t="shared" si="5"/>
        <v>1.0150991042500477</v>
      </c>
      <c r="E56" s="60">
        <f>E54/E38</f>
        <v>1.0150996357181925</v>
      </c>
      <c r="F56" s="60">
        <f>F54/F38</f>
        <v>1.0329999999999999</v>
      </c>
      <c r="G56" s="60">
        <f>G54/G38</f>
        <v>1.0500005713890064</v>
      </c>
      <c r="H56" s="60">
        <f t="shared" si="5"/>
        <v>1.05</v>
      </c>
      <c r="I56" s="48">
        <f t="shared" si="5"/>
        <v>1.01</v>
      </c>
      <c r="J56" s="37"/>
      <c r="K56" s="324"/>
      <c r="L56" s="37"/>
    </row>
    <row r="57" spans="1:12" ht="22.5" customHeight="1" x14ac:dyDescent="0.35">
      <c r="A57" s="47" t="s">
        <v>278</v>
      </c>
      <c r="B57" s="153">
        <f>B55/B38</f>
        <v>1.0842994002334663</v>
      </c>
      <c r="C57" s="153">
        <f t="shared" ref="C57:I57" si="6">C55/C38</f>
        <v>1.1518999999999999</v>
      </c>
      <c r="D57" s="60">
        <f t="shared" si="6"/>
        <v>1.0825983895559368</v>
      </c>
      <c r="E57" s="60">
        <f>E55/E38</f>
        <v>1.0825980619795053</v>
      </c>
      <c r="F57" s="60">
        <f>F55/F38</f>
        <v>1.155</v>
      </c>
      <c r="G57" s="60">
        <f>G55/G38</f>
        <v>1.0520575718118341</v>
      </c>
      <c r="H57" s="60">
        <f t="shared" si="6"/>
        <v>1.1408</v>
      </c>
      <c r="I57" s="171">
        <f t="shared" si="6"/>
        <v>1.02</v>
      </c>
      <c r="J57" s="37"/>
      <c r="K57" s="324"/>
      <c r="L57" s="37"/>
    </row>
    <row r="58" spans="1:12" ht="22.5" customHeight="1" x14ac:dyDescent="0.35">
      <c r="A58" s="269" t="s">
        <v>279</v>
      </c>
      <c r="B58" s="269"/>
      <c r="C58" s="269"/>
      <c r="D58" s="269"/>
      <c r="E58" s="269"/>
      <c r="F58" s="269"/>
      <c r="G58" s="269"/>
      <c r="H58" s="269"/>
      <c r="I58" s="269"/>
      <c r="J58" s="37"/>
      <c r="K58" s="324"/>
      <c r="L58" s="37"/>
    </row>
    <row r="59" spans="1:12" ht="22.5" customHeight="1" x14ac:dyDescent="0.35">
      <c r="A59" s="39" t="s">
        <v>280</v>
      </c>
      <c r="B59" s="42">
        <f>11*B13</f>
        <v>66066</v>
      </c>
      <c r="C59" s="42">
        <v>73440</v>
      </c>
      <c r="D59" s="42">
        <f>11*D13</f>
        <v>66000</v>
      </c>
      <c r="E59" s="42">
        <v>59940</v>
      </c>
      <c r="F59" s="42">
        <v>66990</v>
      </c>
      <c r="G59" s="42">
        <v>66000</v>
      </c>
      <c r="H59" s="42">
        <v>114000</v>
      </c>
      <c r="I59" s="42">
        <f>11*I13</f>
        <v>66000</v>
      </c>
      <c r="J59" s="37"/>
      <c r="K59" s="324"/>
      <c r="L59" s="37"/>
    </row>
    <row r="60" spans="1:12" ht="22.5" customHeight="1" x14ac:dyDescent="0.35">
      <c r="A60" s="31" t="s">
        <v>281</v>
      </c>
      <c r="B60" s="38">
        <v>403490</v>
      </c>
      <c r="C60" s="38">
        <v>480000</v>
      </c>
      <c r="D60" s="42">
        <v>852196</v>
      </c>
      <c r="E60" s="42">
        <v>491831</v>
      </c>
      <c r="F60" s="42">
        <v>477246</v>
      </c>
      <c r="G60" s="42">
        <v>755031</v>
      </c>
      <c r="H60" s="42">
        <v>183600</v>
      </c>
      <c r="I60" s="42">
        <v>750750</v>
      </c>
      <c r="J60" s="37"/>
      <c r="K60" s="324"/>
      <c r="L60" s="37"/>
    </row>
    <row r="61" spans="1:12" ht="22.5" customHeight="1" x14ac:dyDescent="0.35">
      <c r="A61" s="49" t="s">
        <v>288</v>
      </c>
      <c r="B61" s="153">
        <f>B59/B38</f>
        <v>0.1662087912087912</v>
      </c>
      <c r="C61" s="153">
        <f t="shared" ref="C61:I61" si="7">C59/C38</f>
        <v>0.12239999999999999</v>
      </c>
      <c r="D61" s="60">
        <f t="shared" si="7"/>
        <v>7.8616352201257858E-2</v>
      </c>
      <c r="E61" s="60">
        <f>E59/E38</f>
        <v>0.12371134020618557</v>
      </c>
      <c r="F61" s="60">
        <f>F59/F38</f>
        <v>0.14499999999999999</v>
      </c>
      <c r="G61" s="60">
        <f>G59/G38</f>
        <v>8.8733351572966718E-2</v>
      </c>
      <c r="H61" s="60">
        <f t="shared" si="7"/>
        <v>0.19</v>
      </c>
      <c r="I61" s="48">
        <f t="shared" si="7"/>
        <v>8.7999999999999995E-2</v>
      </c>
      <c r="J61" s="37"/>
      <c r="K61" s="324"/>
      <c r="L61" s="37"/>
    </row>
    <row r="62" spans="1:12" ht="22.5" customHeight="1" x14ac:dyDescent="0.35">
      <c r="A62" s="49" t="s">
        <v>282</v>
      </c>
      <c r="B62" s="153">
        <f>(B59+B60)/B38</f>
        <v>1.1813086181218049</v>
      </c>
      <c r="C62" s="153">
        <f t="shared" ref="C62:I62" si="8">(C59+C60)/C38</f>
        <v>0.9224</v>
      </c>
      <c r="D62" s="60">
        <f t="shared" si="8"/>
        <v>1.0937154564513054</v>
      </c>
      <c r="E62" s="60">
        <f>(E59+E60)/E38</f>
        <v>1.1388109759243781</v>
      </c>
      <c r="F62" s="60">
        <f>(F59+F60)/F38</f>
        <v>1.1779999999999999</v>
      </c>
      <c r="G62" s="60">
        <f>(G59+G60)/G38</f>
        <v>1.1038307935652187</v>
      </c>
      <c r="H62" s="60">
        <f t="shared" si="8"/>
        <v>0.496</v>
      </c>
      <c r="I62" s="48">
        <f t="shared" si="8"/>
        <v>1.089</v>
      </c>
      <c r="J62" s="37"/>
      <c r="K62" s="324"/>
      <c r="L62" s="37"/>
    </row>
    <row r="63" spans="1:12" ht="22.5" customHeight="1" x14ac:dyDescent="0.35">
      <c r="A63" s="269" t="s">
        <v>283</v>
      </c>
      <c r="B63" s="269"/>
      <c r="C63" s="269"/>
      <c r="D63" s="269"/>
      <c r="E63" s="269"/>
      <c r="F63" s="269"/>
      <c r="G63" s="269"/>
      <c r="H63" s="269"/>
      <c r="I63" s="269"/>
      <c r="J63" s="37"/>
      <c r="K63" s="324"/>
      <c r="L63" s="37"/>
    </row>
    <row r="64" spans="1:12" ht="22.5" customHeight="1" x14ac:dyDescent="0.35">
      <c r="A64" s="31" t="s">
        <v>284</v>
      </c>
      <c r="B64" s="67">
        <f>11*14196</f>
        <v>156156</v>
      </c>
      <c r="C64" s="67">
        <v>187440</v>
      </c>
      <c r="D64" s="67">
        <f>11*D19</f>
        <v>376200</v>
      </c>
      <c r="E64" s="67">
        <v>219780</v>
      </c>
      <c r="F64" s="67">
        <v>168630</v>
      </c>
      <c r="G64" s="67">
        <v>306900</v>
      </c>
      <c r="H64" s="67">
        <v>279300</v>
      </c>
      <c r="I64" s="35">
        <f>11*I19</f>
        <v>301125</v>
      </c>
      <c r="J64" s="37"/>
      <c r="K64" s="324"/>
      <c r="L64" s="37"/>
    </row>
    <row r="65" spans="1:12" ht="22.5" customHeight="1" x14ac:dyDescent="0.35">
      <c r="A65" s="31" t="s">
        <v>285</v>
      </c>
      <c r="B65" s="151">
        <v>430996</v>
      </c>
      <c r="C65" s="151">
        <v>614820</v>
      </c>
      <c r="D65" s="38">
        <v>908863</v>
      </c>
      <c r="E65" s="38">
        <v>524535</v>
      </c>
      <c r="F65" s="38">
        <v>530376</v>
      </c>
      <c r="G65" s="38">
        <v>756561</v>
      </c>
      <c r="H65" s="38">
        <v>292500</v>
      </c>
      <c r="I65" s="38">
        <v>758250</v>
      </c>
      <c r="J65" s="37"/>
      <c r="K65" s="324"/>
      <c r="L65" s="37"/>
    </row>
    <row r="66" spans="1:12" ht="22.5" customHeight="1" x14ac:dyDescent="0.35">
      <c r="A66" s="49" t="s">
        <v>289</v>
      </c>
      <c r="B66" s="153">
        <f>B64/B38</f>
        <v>0.39285714285714285</v>
      </c>
      <c r="C66" s="153">
        <f t="shared" ref="C66:I66" si="9">C64/C38</f>
        <v>0.31240000000000001</v>
      </c>
      <c r="D66" s="60">
        <f t="shared" si="9"/>
        <v>0.44811320754716982</v>
      </c>
      <c r="E66" s="60">
        <f>E64/E38</f>
        <v>0.45360824742268041</v>
      </c>
      <c r="F66" s="60">
        <f>F64/F38</f>
        <v>0.36499999999999999</v>
      </c>
      <c r="G66" s="60">
        <f>G64/G38</f>
        <v>0.41261008481429523</v>
      </c>
      <c r="H66" s="60">
        <f t="shared" si="9"/>
        <v>0.46550000000000002</v>
      </c>
      <c r="I66" s="48">
        <f t="shared" si="9"/>
        <v>0.40150000000000002</v>
      </c>
      <c r="J66" s="37"/>
      <c r="K66" s="324"/>
      <c r="L66" s="37"/>
    </row>
    <row r="67" spans="1:12" ht="22.5" customHeight="1" x14ac:dyDescent="0.35">
      <c r="A67" s="49" t="s">
        <v>286</v>
      </c>
      <c r="B67" s="153">
        <f>(B64+B65)/B38</f>
        <v>1.4771565430906091</v>
      </c>
      <c r="C67" s="153">
        <f t="shared" ref="C67:I67" si="10">(C64+C65)/C38</f>
        <v>1.3371</v>
      </c>
      <c r="D67" s="60">
        <f t="shared" si="10"/>
        <v>1.5307115971031064</v>
      </c>
      <c r="E67" s="106">
        <f>(E64+E65)/E38</f>
        <v>1.5362063094021856</v>
      </c>
      <c r="F67" s="60">
        <f>(F64+F65)/F38</f>
        <v>1.5129999999999999</v>
      </c>
      <c r="G67" s="60">
        <f>(G64+G65)/G38</f>
        <v>1.4297645272293751</v>
      </c>
      <c r="H67" s="60">
        <f t="shared" si="10"/>
        <v>0.95299999999999996</v>
      </c>
      <c r="I67" s="48">
        <f t="shared" si="10"/>
        <v>1.4125000000000001</v>
      </c>
      <c r="J67" s="37"/>
      <c r="K67" s="324"/>
      <c r="L67" s="37"/>
    </row>
    <row r="68" spans="1:12" ht="22.5" customHeight="1" x14ac:dyDescent="0.35">
      <c r="A68" s="271" t="s">
        <v>290</v>
      </c>
      <c r="B68" s="271"/>
      <c r="C68" s="271"/>
      <c r="D68" s="271"/>
      <c r="E68" s="271"/>
      <c r="F68" s="271"/>
      <c r="G68" s="271"/>
      <c r="H68" s="271"/>
      <c r="I68" s="271"/>
      <c r="J68" s="37"/>
      <c r="K68" s="324"/>
      <c r="L68" s="37"/>
    </row>
    <row r="69" spans="1:12" ht="22.5" customHeight="1" x14ac:dyDescent="0.35">
      <c r="A69" s="39" t="s">
        <v>275</v>
      </c>
      <c r="B69" s="38">
        <v>424159</v>
      </c>
      <c r="C69" s="38">
        <v>480000</v>
      </c>
      <c r="D69" s="42">
        <v>895851</v>
      </c>
      <c r="E69" s="42">
        <v>517025</v>
      </c>
      <c r="F69" s="42">
        <v>504966</v>
      </c>
      <c r="G69" s="42">
        <v>793704</v>
      </c>
      <c r="H69" s="42">
        <v>630000</v>
      </c>
      <c r="I69" s="42">
        <v>757500</v>
      </c>
      <c r="J69" s="37"/>
      <c r="K69" s="324"/>
      <c r="L69" s="37"/>
    </row>
    <row r="70" spans="1:12" ht="22.5" customHeight="1" x14ac:dyDescent="0.35">
      <c r="A70" s="39" t="s">
        <v>276</v>
      </c>
      <c r="B70" s="38">
        <v>465338</v>
      </c>
      <c r="C70" s="38">
        <v>708660</v>
      </c>
      <c r="D70" s="42">
        <v>952518</v>
      </c>
      <c r="E70" s="42">
        <v>549729</v>
      </c>
      <c r="F70" s="42">
        <v>562716</v>
      </c>
      <c r="G70" s="42">
        <v>796014</v>
      </c>
      <c r="H70" s="42">
        <v>750320</v>
      </c>
      <c r="I70" s="42">
        <v>795000</v>
      </c>
      <c r="J70" s="37"/>
      <c r="K70" s="324"/>
      <c r="L70" s="37"/>
    </row>
    <row r="71" spans="1:12" ht="22.5" customHeight="1" x14ac:dyDescent="0.35">
      <c r="A71" s="47" t="s">
        <v>277</v>
      </c>
      <c r="B71" s="153">
        <f>B69/B38</f>
        <v>1.0670988809725073</v>
      </c>
      <c r="C71" s="153">
        <f t="shared" ref="C71:I71" si="11">C69/C38</f>
        <v>0.8</v>
      </c>
      <c r="D71" s="60">
        <f t="shared" si="11"/>
        <v>1.0670990566037737</v>
      </c>
      <c r="E71" s="60">
        <f>E69/E38</f>
        <v>1.0670980258609124</v>
      </c>
      <c r="F71" s="60">
        <f>F69/F38</f>
        <v>1.093</v>
      </c>
      <c r="G71" s="60">
        <f>G69/G38</f>
        <v>1.0670911526798481</v>
      </c>
      <c r="H71" s="60">
        <f t="shared" si="11"/>
        <v>1.05</v>
      </c>
      <c r="I71" s="48">
        <f t="shared" si="11"/>
        <v>1.01</v>
      </c>
      <c r="J71" s="37"/>
      <c r="K71" s="324"/>
      <c r="L71" s="37"/>
    </row>
    <row r="72" spans="1:12" ht="22.5" customHeight="1" x14ac:dyDescent="0.35">
      <c r="A72" s="47" t="s">
        <v>278</v>
      </c>
      <c r="B72" s="153">
        <f>B70/B38</f>
        <v>1.1706969770156583</v>
      </c>
      <c r="C72" s="153">
        <f t="shared" ref="C72:I72" si="12">C70/C38</f>
        <v>1.1811</v>
      </c>
      <c r="D72" s="60">
        <f t="shared" si="12"/>
        <v>1.1345983419096626</v>
      </c>
      <c r="E72" s="60">
        <f>E70/E38</f>
        <v>1.1345964521222254</v>
      </c>
      <c r="F72" s="60">
        <f>F70/F38</f>
        <v>1.218</v>
      </c>
      <c r="G72" s="60">
        <f>G70/G38</f>
        <v>1.0701968199849019</v>
      </c>
      <c r="H72" s="60">
        <f t="shared" si="12"/>
        <v>1.2505333333333333</v>
      </c>
      <c r="I72" s="48">
        <f t="shared" si="12"/>
        <v>1.06</v>
      </c>
      <c r="J72" s="37"/>
      <c r="K72" s="324"/>
      <c r="L72" s="37"/>
    </row>
    <row r="73" spans="1:12" ht="22.5" customHeight="1" x14ac:dyDescent="0.35">
      <c r="A73" s="269" t="s">
        <v>279</v>
      </c>
      <c r="B73" s="269"/>
      <c r="C73" s="269"/>
      <c r="D73" s="269"/>
      <c r="E73" s="269"/>
      <c r="F73" s="269"/>
      <c r="G73" s="269"/>
      <c r="H73" s="269"/>
      <c r="I73" s="269"/>
      <c r="J73" s="37"/>
      <c r="K73" s="324"/>
      <c r="L73" s="37"/>
    </row>
    <row r="74" spans="1:12" ht="22.5" customHeight="1" x14ac:dyDescent="0.35">
      <c r="A74" s="39" t="s">
        <v>280</v>
      </c>
      <c r="B74" s="42">
        <f>31*B13</f>
        <v>186186</v>
      </c>
      <c r="C74" s="42">
        <v>235140</v>
      </c>
      <c r="D74" s="42">
        <f>31*D13</f>
        <v>186000</v>
      </c>
      <c r="E74" s="42">
        <v>185814</v>
      </c>
      <c r="F74" s="42">
        <v>214830</v>
      </c>
      <c r="G74" s="42">
        <v>186000</v>
      </c>
      <c r="H74" s="42">
        <v>234000</v>
      </c>
      <c r="I74" s="42">
        <f>31*I13</f>
        <v>186000</v>
      </c>
      <c r="J74" s="37"/>
      <c r="K74" s="324"/>
      <c r="L74" s="37"/>
    </row>
    <row r="75" spans="1:12" ht="22.5" customHeight="1" x14ac:dyDescent="0.35">
      <c r="A75" s="31" t="s">
        <v>281</v>
      </c>
      <c r="B75" s="38">
        <v>424159</v>
      </c>
      <c r="C75" s="38">
        <v>480000</v>
      </c>
      <c r="D75" s="42">
        <v>895851</v>
      </c>
      <c r="E75" s="42">
        <v>517025</v>
      </c>
      <c r="F75" s="42">
        <v>504966</v>
      </c>
      <c r="G75" s="42">
        <v>793704</v>
      </c>
      <c r="H75" s="42">
        <v>386000</v>
      </c>
      <c r="I75" s="42">
        <v>752250</v>
      </c>
      <c r="J75" s="37"/>
      <c r="K75" s="324"/>
      <c r="L75" s="37"/>
    </row>
    <row r="76" spans="1:12" ht="22.5" customHeight="1" x14ac:dyDescent="0.35">
      <c r="A76" s="49" t="s">
        <v>288</v>
      </c>
      <c r="B76" s="153">
        <f>B74/B38</f>
        <v>0.46840659340659341</v>
      </c>
      <c r="C76" s="153">
        <f t="shared" ref="C76:I76" si="13">C74/C38</f>
        <v>0.39190000000000003</v>
      </c>
      <c r="D76" s="60">
        <f t="shared" si="13"/>
        <v>0.22155517438536307</v>
      </c>
      <c r="E76" s="60">
        <f>E74/E38</f>
        <v>0.38350515463917528</v>
      </c>
      <c r="F76" s="60">
        <f>F74/F38</f>
        <v>0.46500000000000002</v>
      </c>
      <c r="G76" s="60">
        <f>G74/G38</f>
        <v>0.25006671806926983</v>
      </c>
      <c r="H76" s="60">
        <f t="shared" si="13"/>
        <v>0.39</v>
      </c>
      <c r="I76" s="48">
        <f t="shared" si="13"/>
        <v>0.248</v>
      </c>
      <c r="J76" s="37"/>
      <c r="K76" s="324"/>
      <c r="L76" s="37"/>
    </row>
    <row r="77" spans="1:12" ht="22.5" customHeight="1" x14ac:dyDescent="0.35">
      <c r="A77" s="49" t="s">
        <v>282</v>
      </c>
      <c r="B77" s="153">
        <f>(B74+B75)/B38</f>
        <v>1.5355054743791008</v>
      </c>
      <c r="C77" s="153">
        <f t="shared" ref="C77:I77" si="14">(C74+C75)/C38</f>
        <v>1.1919</v>
      </c>
      <c r="D77" s="60">
        <f t="shared" si="14"/>
        <v>1.2886542309891367</v>
      </c>
      <c r="E77" s="60">
        <f>(E74+E75)/E38</f>
        <v>1.4506031805000876</v>
      </c>
      <c r="F77" s="60">
        <f>(F74+F75)/F38</f>
        <v>1.5580000000000001</v>
      </c>
      <c r="G77" s="60">
        <f>(G74+G75)/G38</f>
        <v>1.3171578707491178</v>
      </c>
      <c r="H77" s="60">
        <f t="shared" si="14"/>
        <v>1.0333333333333334</v>
      </c>
      <c r="I77" s="48">
        <f t="shared" si="14"/>
        <v>1.2509999999999999</v>
      </c>
      <c r="J77" s="37"/>
      <c r="K77" s="324"/>
      <c r="L77" s="37"/>
    </row>
    <row r="78" spans="1:12" ht="22.5" customHeight="1" x14ac:dyDescent="0.35">
      <c r="A78" s="269" t="s">
        <v>283</v>
      </c>
      <c r="B78" s="269"/>
      <c r="C78" s="269"/>
      <c r="D78" s="269"/>
      <c r="E78" s="269"/>
      <c r="F78" s="269"/>
      <c r="G78" s="269"/>
      <c r="H78" s="269"/>
      <c r="I78" s="269"/>
      <c r="J78" s="37"/>
      <c r="K78" s="324"/>
      <c r="L78" s="37"/>
    </row>
    <row r="79" spans="1:12" ht="22.5" customHeight="1" x14ac:dyDescent="0.35">
      <c r="A79" s="31" t="s">
        <v>284</v>
      </c>
      <c r="B79" s="67">
        <f>(20*14196)+(11*15561)</f>
        <v>455091</v>
      </c>
      <c r="C79" s="67">
        <v>608640</v>
      </c>
      <c r="D79" s="67">
        <f>31*D19</f>
        <v>1060200</v>
      </c>
      <c r="E79" s="67">
        <v>619380</v>
      </c>
      <c r="F79" s="67">
        <v>538230</v>
      </c>
      <c r="G79" s="67">
        <v>884700</v>
      </c>
      <c r="H79" s="67">
        <v>573300</v>
      </c>
      <c r="I79" s="35">
        <f>31*I19</f>
        <v>848625</v>
      </c>
      <c r="J79" s="37"/>
      <c r="K79" s="324"/>
      <c r="L79" s="37"/>
    </row>
    <row r="80" spans="1:12" ht="22.5" customHeight="1" x14ac:dyDescent="0.35">
      <c r="A80" s="31" t="s">
        <v>285</v>
      </c>
      <c r="B80" s="38">
        <v>465338</v>
      </c>
      <c r="C80" s="151">
        <v>697260</v>
      </c>
      <c r="D80" s="35">
        <v>952518</v>
      </c>
      <c r="E80" s="35">
        <v>549729</v>
      </c>
      <c r="F80" s="35">
        <v>562716</v>
      </c>
      <c r="G80" s="35">
        <v>796014</v>
      </c>
      <c r="H80" s="35">
        <v>626620</v>
      </c>
      <c r="I80" s="35">
        <v>789750</v>
      </c>
      <c r="J80" s="37"/>
      <c r="K80" s="324"/>
      <c r="L80" s="37"/>
    </row>
    <row r="81" spans="1:12" ht="22.5" customHeight="1" x14ac:dyDescent="0.35">
      <c r="A81" s="49" t="s">
        <v>289</v>
      </c>
      <c r="B81" s="153">
        <f>B79/B38</f>
        <v>1.1449175824175823</v>
      </c>
      <c r="C81" s="153">
        <f t="shared" ref="C81:I81" si="15">C79/C38</f>
        <v>1.0144</v>
      </c>
      <c r="D81" s="60">
        <f t="shared" si="15"/>
        <v>1.2628644939965694</v>
      </c>
      <c r="E81" s="60">
        <f>E79/E38</f>
        <v>1.2783505154639174</v>
      </c>
      <c r="F81" s="60">
        <f>F79/F38</f>
        <v>1.165</v>
      </c>
      <c r="G81" s="60">
        <f>G79/G38</f>
        <v>1.1894302444939946</v>
      </c>
      <c r="H81" s="60">
        <f t="shared" si="15"/>
        <v>0.95550000000000002</v>
      </c>
      <c r="I81" s="48">
        <f t="shared" si="15"/>
        <v>1.1315</v>
      </c>
      <c r="J81" s="37"/>
      <c r="K81" s="324"/>
      <c r="L81" s="37"/>
    </row>
    <row r="82" spans="1:12" ht="22.5" customHeight="1" thickBot="1" x14ac:dyDescent="0.4">
      <c r="A82" s="49" t="s">
        <v>286</v>
      </c>
      <c r="B82" s="153">
        <f>(B79+B80)/B38</f>
        <v>2.3156145594332407</v>
      </c>
      <c r="C82" s="153">
        <f t="shared" ref="C82:I82" si="16">(C79+C80)/C38</f>
        <v>2.1764999999999999</v>
      </c>
      <c r="D82" s="60">
        <f t="shared" si="16"/>
        <v>2.3974628359062322</v>
      </c>
      <c r="E82" s="60">
        <f>(E79+E80)/E38</f>
        <v>2.412946967586143</v>
      </c>
      <c r="F82" s="60">
        <f>(F79+F80)/F38</f>
        <v>2.383</v>
      </c>
      <c r="G82" s="60">
        <f>(G79+G80)/G38</f>
        <v>2.2596270644788965</v>
      </c>
      <c r="H82" s="60">
        <f t="shared" si="16"/>
        <v>1.9998666666666667</v>
      </c>
      <c r="I82" s="48">
        <f t="shared" si="16"/>
        <v>2.1844999999999999</v>
      </c>
      <c r="J82" s="37"/>
      <c r="K82" s="325"/>
      <c r="L82" s="37"/>
    </row>
    <row r="83" spans="1:12" x14ac:dyDescent="0.35">
      <c r="K83" s="41"/>
    </row>
    <row r="84" spans="1:12" x14ac:dyDescent="0.35">
      <c r="K84" s="41"/>
    </row>
  </sheetData>
  <sheetProtection algorithmName="SHA-512" hashValue="DhPxRCY8dJq4D3vN8sg0oQz42fmTJoElojdYGx0nPVC2FT99m4GtfEsHNmYLldHYpMJjZPJBU7NbO3wmA9Z+kQ==" saltValue="BbMwz69FyGAoMg/aWPSWdQ==" spinCount="100000" sheet="1" objects="1" scenarios="1" selectLockedCells="1" autoFilter="0" selectUnlockedCells="1"/>
  <mergeCells count="38">
    <mergeCell ref="A1:I2"/>
    <mergeCell ref="A6:A7"/>
    <mergeCell ref="A40:I40"/>
    <mergeCell ref="A45:I45"/>
    <mergeCell ref="A49:I49"/>
    <mergeCell ref="A13:A18"/>
    <mergeCell ref="A25:A30"/>
    <mergeCell ref="A19:A24"/>
    <mergeCell ref="D13:D18"/>
    <mergeCell ref="H13:H18"/>
    <mergeCell ref="B32:B33"/>
    <mergeCell ref="I13:I18"/>
    <mergeCell ref="I31:I36"/>
    <mergeCell ref="B35:B36"/>
    <mergeCell ref="E31:E36"/>
    <mergeCell ref="B13:B18"/>
    <mergeCell ref="K7:K82"/>
    <mergeCell ref="G25:G30"/>
    <mergeCell ref="G13:G18"/>
    <mergeCell ref="H25:H30"/>
    <mergeCell ref="H19:H24"/>
    <mergeCell ref="H31:H36"/>
    <mergeCell ref="A78:I78"/>
    <mergeCell ref="A53:I53"/>
    <mergeCell ref="A58:I58"/>
    <mergeCell ref="A63:I63"/>
    <mergeCell ref="A68:I68"/>
    <mergeCell ref="A73:I73"/>
    <mergeCell ref="A31:A36"/>
    <mergeCell ref="D31:D36"/>
    <mergeCell ref="I25:I30"/>
    <mergeCell ref="I19:I24"/>
    <mergeCell ref="B25:B30"/>
    <mergeCell ref="D25:D30"/>
    <mergeCell ref="D19:D24"/>
    <mergeCell ref="E13:E18"/>
    <mergeCell ref="E19:E24"/>
    <mergeCell ref="E25:E30"/>
  </mergeCells>
  <conditionalFormatting sqref="B43:I43">
    <cfRule type="top10" dxfId="32" priority="778" rank="1"/>
  </conditionalFormatting>
  <conditionalFormatting sqref="B44:I44">
    <cfRule type="top10" dxfId="31" priority="780" rank="1"/>
  </conditionalFormatting>
  <conditionalFormatting sqref="B48:I48">
    <cfRule type="top10" dxfId="30" priority="782" rank="1"/>
  </conditionalFormatting>
  <conditionalFormatting sqref="B52:I52">
    <cfRule type="top10" dxfId="29" priority="784" rank="1"/>
  </conditionalFormatting>
  <conditionalFormatting sqref="B56:I56">
    <cfRule type="top10" dxfId="28" priority="786" rank="1"/>
  </conditionalFormatting>
  <conditionalFormatting sqref="B57:I57">
    <cfRule type="top10" dxfId="27" priority="788" rank="1"/>
  </conditionalFormatting>
  <conditionalFormatting sqref="B61:I61">
    <cfRule type="top10" dxfId="26" priority="790" rank="1"/>
  </conditionalFormatting>
  <conditionalFormatting sqref="B62:I62">
    <cfRule type="top10" dxfId="25" priority="792" rank="1"/>
  </conditionalFormatting>
  <conditionalFormatting sqref="B66:I66">
    <cfRule type="top10" dxfId="24" priority="794" rank="1"/>
  </conditionalFormatting>
  <conditionalFormatting sqref="B67:I67">
    <cfRule type="top10" dxfId="23" priority="796" rank="1"/>
  </conditionalFormatting>
  <conditionalFormatting sqref="B71:I71">
    <cfRule type="top10" dxfId="22" priority="798" rank="1"/>
  </conditionalFormatting>
  <conditionalFormatting sqref="B72:I72">
    <cfRule type="top10" dxfId="21" priority="800" rank="1"/>
  </conditionalFormatting>
  <conditionalFormatting sqref="B76:I76">
    <cfRule type="top10" dxfId="20" priority="802" rank="1"/>
  </conditionalFormatting>
  <conditionalFormatting sqref="B77:I77">
    <cfRule type="top10" dxfId="19" priority="804" rank="1"/>
  </conditionalFormatting>
  <conditionalFormatting sqref="B81:I81">
    <cfRule type="top10" dxfId="18" priority="806" rank="1"/>
  </conditionalFormatting>
  <conditionalFormatting sqref="B82:I82">
    <cfRule type="top10" dxfId="17" priority="808" rank="1"/>
  </conditionalFormatting>
  <printOptions horizontalCentered="1" verticalCentered="1"/>
  <pageMargins left="0" right="0" top="0" bottom="0" header="0" footer="0"/>
  <pageSetup paperSize="9" scale="36" fitToHeight="0" orientation="portrait" r:id="rId1"/>
  <headerFooter>
    <oddFooter>&amp;L_x000D_&amp;1#&amp;"Calibri"&amp;8&amp;K008000 Public</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J78"/>
  <sheetViews>
    <sheetView showGridLines="0" zoomScale="70" zoomScaleNormal="70" workbookViewId="0">
      <pane xSplit="1" ySplit="7" topLeftCell="B8" activePane="bottomRight" state="frozen"/>
      <selection pane="topRight" activeCell="B1" sqref="B1"/>
      <selection pane="bottomLeft" activeCell="A8" sqref="A8"/>
      <selection pane="bottomRight" activeCell="D27" sqref="D27:D30"/>
    </sheetView>
  </sheetViews>
  <sheetFormatPr defaultColWidth="9.1796875" defaultRowHeight="15.5" x14ac:dyDescent="0.35"/>
  <cols>
    <col min="1" max="1" width="51.54296875" style="17" customWidth="1"/>
    <col min="2" max="2" width="40.54296875" style="17" bestFit="1" customWidth="1"/>
    <col min="3" max="3" width="25.54296875" style="17" customWidth="1"/>
    <col min="4" max="4" width="28.1796875" style="17" bestFit="1" customWidth="1"/>
    <col min="5" max="5" width="40.453125" style="17" customWidth="1"/>
    <col min="6" max="6" width="4.81640625" style="17" customWidth="1"/>
    <col min="7" max="7" width="70.453125" style="17" customWidth="1"/>
    <col min="8" max="16384" width="9.1796875" style="17"/>
  </cols>
  <sheetData>
    <row r="1" spans="1:10" ht="15" customHeight="1" x14ac:dyDescent="0.35">
      <c r="A1" s="273" t="s">
        <v>234</v>
      </c>
      <c r="B1" s="273"/>
      <c r="C1" s="273"/>
      <c r="D1" s="273"/>
      <c r="E1" s="273"/>
      <c r="F1" s="16"/>
      <c r="G1" s="16"/>
      <c r="H1" s="16"/>
      <c r="I1" s="16"/>
      <c r="J1" s="16"/>
    </row>
    <row r="2" spans="1:10" x14ac:dyDescent="0.35">
      <c r="A2" s="273"/>
      <c r="B2" s="273"/>
      <c r="C2" s="273"/>
      <c r="D2" s="273"/>
      <c r="E2" s="273"/>
      <c r="F2" s="16"/>
      <c r="G2" s="16"/>
      <c r="H2" s="16"/>
      <c r="I2" s="16"/>
      <c r="J2" s="16"/>
    </row>
    <row r="3" spans="1:10" x14ac:dyDescent="0.35">
      <c r="A3" s="18" t="s">
        <v>341</v>
      </c>
      <c r="B3" s="18"/>
      <c r="C3" s="18"/>
    </row>
    <row r="4" spans="1:10" x14ac:dyDescent="0.35">
      <c r="A4" s="17" t="s">
        <v>236</v>
      </c>
      <c r="B4" s="18"/>
      <c r="C4" s="18"/>
    </row>
    <row r="5" spans="1:10" ht="20.25" customHeight="1" thickBot="1" x14ac:dyDescent="0.4">
      <c r="A5" s="18" t="s">
        <v>237</v>
      </c>
      <c r="B5" s="18"/>
      <c r="C5" s="18"/>
    </row>
    <row r="6" spans="1:10" ht="16" thickBot="1" x14ac:dyDescent="0.4">
      <c r="A6" s="274" t="s">
        <v>238</v>
      </c>
      <c r="B6" s="176" t="s">
        <v>16</v>
      </c>
      <c r="C6" s="176" t="s">
        <v>30</v>
      </c>
      <c r="D6" s="176" t="s">
        <v>21</v>
      </c>
      <c r="E6" s="177" t="s">
        <v>27</v>
      </c>
      <c r="F6" s="19"/>
      <c r="G6" s="20" t="s">
        <v>239</v>
      </c>
      <c r="H6" s="19"/>
      <c r="J6" s="21"/>
    </row>
    <row r="7" spans="1:10" ht="48.75" customHeight="1" x14ac:dyDescent="0.35">
      <c r="A7" s="274"/>
      <c r="B7" s="178" t="s">
        <v>240</v>
      </c>
      <c r="C7" s="176" t="s">
        <v>31</v>
      </c>
      <c r="D7" s="178" t="s">
        <v>359</v>
      </c>
      <c r="E7" s="179" t="s">
        <v>28</v>
      </c>
      <c r="F7" s="22"/>
      <c r="G7" s="323" t="s">
        <v>389</v>
      </c>
      <c r="H7" s="22"/>
      <c r="J7" s="23"/>
    </row>
    <row r="8" spans="1:10" x14ac:dyDescent="0.35">
      <c r="A8" s="24" t="s">
        <v>242</v>
      </c>
      <c r="B8" s="25">
        <v>4.2500000000000003E-2</v>
      </c>
      <c r="C8" s="25">
        <v>4.2500000000000003E-2</v>
      </c>
      <c r="D8" s="25">
        <v>4.2500000000000003E-2</v>
      </c>
      <c r="E8" s="25">
        <v>4.2500000000000003E-2</v>
      </c>
      <c r="F8" s="26"/>
      <c r="G8" s="324"/>
      <c r="H8" s="26"/>
      <c r="J8" s="27"/>
    </row>
    <row r="9" spans="1:10" ht="21" customHeight="1" x14ac:dyDescent="0.35">
      <c r="A9" s="28" t="s">
        <v>243</v>
      </c>
      <c r="B9" s="29" t="s">
        <v>342</v>
      </c>
      <c r="C9" s="29" t="s">
        <v>350</v>
      </c>
      <c r="D9" s="29" t="s">
        <v>343</v>
      </c>
      <c r="E9" s="29" t="s">
        <v>343</v>
      </c>
      <c r="F9" s="30"/>
      <c r="G9" s="324"/>
      <c r="H9" s="30"/>
    </row>
    <row r="10" spans="1:10" x14ac:dyDescent="0.35">
      <c r="A10" s="31" t="s">
        <v>57</v>
      </c>
      <c r="B10" s="32">
        <v>20</v>
      </c>
      <c r="C10" s="32">
        <v>20</v>
      </c>
      <c r="D10" s="32">
        <v>20</v>
      </c>
      <c r="E10" s="32">
        <v>20</v>
      </c>
      <c r="F10" s="30"/>
      <c r="G10" s="324"/>
      <c r="H10" s="30"/>
    </row>
    <row r="11" spans="1:10" ht="15" customHeight="1" x14ac:dyDescent="0.35">
      <c r="A11" s="31" t="s">
        <v>246</v>
      </c>
      <c r="B11" s="33" t="s">
        <v>333</v>
      </c>
      <c r="C11" s="33" t="s">
        <v>295</v>
      </c>
      <c r="D11" s="33" t="s">
        <v>333</v>
      </c>
      <c r="E11" s="33" t="s">
        <v>334</v>
      </c>
      <c r="F11" s="30"/>
      <c r="G11" s="324"/>
      <c r="H11" s="30"/>
    </row>
    <row r="12" spans="1:10" ht="23.25" customHeight="1" x14ac:dyDescent="0.35">
      <c r="A12" s="31" t="s">
        <v>251</v>
      </c>
      <c r="B12" s="34">
        <v>273000</v>
      </c>
      <c r="C12" s="34">
        <v>200000</v>
      </c>
      <c r="D12" s="35">
        <v>600000</v>
      </c>
      <c r="E12" s="131">
        <f>E22</f>
        <v>354000</v>
      </c>
      <c r="F12" s="30"/>
      <c r="G12" s="324"/>
      <c r="H12" s="30"/>
    </row>
    <row r="13" spans="1:10" x14ac:dyDescent="0.35">
      <c r="A13" s="281" t="s">
        <v>253</v>
      </c>
      <c r="B13" s="330">
        <v>6006</v>
      </c>
      <c r="C13" s="330">
        <v>6000</v>
      </c>
      <c r="D13" s="303">
        <v>6000</v>
      </c>
      <c r="E13" s="131" t="s">
        <v>335</v>
      </c>
      <c r="F13" s="37"/>
      <c r="G13" s="324"/>
      <c r="H13" s="37"/>
    </row>
    <row r="14" spans="1:10" x14ac:dyDescent="0.35">
      <c r="A14" s="282"/>
      <c r="B14" s="331"/>
      <c r="C14" s="331"/>
      <c r="D14" s="290"/>
      <c r="E14" s="52">
        <v>6018</v>
      </c>
      <c r="F14" s="37"/>
      <c r="G14" s="324"/>
      <c r="H14" s="37"/>
    </row>
    <row r="15" spans="1:10" x14ac:dyDescent="0.35">
      <c r="A15" s="282"/>
      <c r="B15" s="331"/>
      <c r="C15" s="331"/>
      <c r="D15" s="290"/>
      <c r="E15" s="131" t="s">
        <v>336</v>
      </c>
      <c r="F15" s="37"/>
      <c r="G15" s="324"/>
      <c r="H15" s="37"/>
    </row>
    <row r="16" spans="1:10" x14ac:dyDescent="0.35">
      <c r="A16" s="316"/>
      <c r="B16" s="332"/>
      <c r="C16" s="332"/>
      <c r="D16" s="304"/>
      <c r="E16" s="52">
        <v>7080</v>
      </c>
      <c r="F16" s="37"/>
      <c r="G16" s="324"/>
      <c r="H16" s="37"/>
    </row>
    <row r="17" spans="1:8" x14ac:dyDescent="0.35">
      <c r="A17" s="278" t="s">
        <v>259</v>
      </c>
      <c r="B17" s="129" t="s">
        <v>366</v>
      </c>
      <c r="C17" s="347">
        <v>12660</v>
      </c>
      <c r="D17" s="303">
        <v>34200</v>
      </c>
      <c r="E17" s="131" t="s">
        <v>335</v>
      </c>
      <c r="F17" s="37"/>
      <c r="G17" s="324"/>
      <c r="H17" s="37"/>
    </row>
    <row r="18" spans="1:8" x14ac:dyDescent="0.35">
      <c r="A18" s="279"/>
      <c r="B18" s="133">
        <v>14196</v>
      </c>
      <c r="C18" s="348"/>
      <c r="D18" s="290"/>
      <c r="E18" s="52">
        <v>14691</v>
      </c>
      <c r="F18" s="37"/>
      <c r="G18" s="324"/>
      <c r="H18" s="37"/>
    </row>
    <row r="19" spans="1:8" x14ac:dyDescent="0.35">
      <c r="A19" s="279"/>
      <c r="B19" s="129" t="s">
        <v>367</v>
      </c>
      <c r="C19" s="348"/>
      <c r="D19" s="290"/>
      <c r="E19" s="131" t="s">
        <v>336</v>
      </c>
      <c r="F19" s="37"/>
      <c r="G19" s="324"/>
      <c r="H19" s="37"/>
    </row>
    <row r="20" spans="1:8" x14ac:dyDescent="0.35">
      <c r="A20" s="280"/>
      <c r="B20" s="69">
        <v>15561</v>
      </c>
      <c r="C20" s="380"/>
      <c r="D20" s="304"/>
      <c r="E20" s="52">
        <v>17169</v>
      </c>
      <c r="F20" s="37"/>
      <c r="G20" s="324"/>
      <c r="H20" s="37"/>
    </row>
    <row r="21" spans="1:8" x14ac:dyDescent="0.35">
      <c r="A21" s="31" t="s">
        <v>264</v>
      </c>
      <c r="B21" s="137">
        <v>14548.2</v>
      </c>
      <c r="C21" s="136">
        <v>33333.35</v>
      </c>
      <c r="D21" s="52">
        <v>27156</v>
      </c>
      <c r="E21" s="52">
        <v>17700</v>
      </c>
      <c r="F21" s="37"/>
      <c r="G21" s="324"/>
      <c r="H21" s="37"/>
    </row>
    <row r="22" spans="1:8" x14ac:dyDescent="0.35">
      <c r="A22" s="31" t="s">
        <v>265</v>
      </c>
      <c r="B22" s="38">
        <f>B21*20</f>
        <v>290964</v>
      </c>
      <c r="C22" s="34">
        <f>C21*20</f>
        <v>666667</v>
      </c>
      <c r="D22" s="38">
        <f>D21*20</f>
        <v>543120</v>
      </c>
      <c r="E22" s="34">
        <v>354000</v>
      </c>
      <c r="F22" s="37"/>
      <c r="G22" s="324"/>
      <c r="H22" s="37"/>
    </row>
    <row r="23" spans="1:8" x14ac:dyDescent="0.35">
      <c r="A23" s="283" t="s">
        <v>266</v>
      </c>
      <c r="B23" s="140">
        <f>B13/B22</f>
        <v>2.0641728873675092E-2</v>
      </c>
      <c r="C23" s="291">
        <f>C13/C22</f>
        <v>8.9999955000022499E-3</v>
      </c>
      <c r="D23" s="166">
        <f>D13/D22</f>
        <v>1.104728236853734E-2</v>
      </c>
      <c r="E23" s="155" t="s">
        <v>335</v>
      </c>
      <c r="F23" s="37"/>
      <c r="G23" s="324"/>
      <c r="H23" s="37"/>
    </row>
    <row r="24" spans="1:8" x14ac:dyDescent="0.35">
      <c r="A24" s="284"/>
      <c r="B24" s="140"/>
      <c r="C24" s="292"/>
      <c r="D24" s="166"/>
      <c r="E24" s="169">
        <f>E14/E22</f>
        <v>1.7000000000000001E-2</v>
      </c>
      <c r="F24" s="37"/>
      <c r="G24" s="324"/>
      <c r="H24" s="37"/>
    </row>
    <row r="25" spans="1:8" x14ac:dyDescent="0.35">
      <c r="A25" s="284"/>
      <c r="B25" s="140"/>
      <c r="C25" s="292"/>
      <c r="D25" s="166"/>
      <c r="E25" s="155" t="s">
        <v>336</v>
      </c>
      <c r="F25" s="37"/>
      <c r="G25" s="324"/>
      <c r="H25" s="37"/>
    </row>
    <row r="26" spans="1:8" x14ac:dyDescent="0.35">
      <c r="A26" s="285"/>
      <c r="B26" s="140"/>
      <c r="C26" s="293"/>
      <c r="D26" s="166" t="s">
        <v>424</v>
      </c>
      <c r="E26" s="168">
        <f>E16/E22</f>
        <v>0.02</v>
      </c>
      <c r="F26" s="37"/>
      <c r="G26" s="324"/>
      <c r="H26" s="37"/>
    </row>
    <row r="27" spans="1:8" x14ac:dyDescent="0.35">
      <c r="A27" s="275" t="s">
        <v>267</v>
      </c>
      <c r="B27" s="134" t="s">
        <v>368</v>
      </c>
      <c r="C27" s="379">
        <f>C17/C22</f>
        <v>1.8989990505004748E-2</v>
      </c>
      <c r="D27" s="381">
        <f>D17/D22</f>
        <v>6.2969509500662837E-2</v>
      </c>
      <c r="E27" s="155" t="s">
        <v>335</v>
      </c>
      <c r="F27" s="37"/>
      <c r="G27" s="324"/>
      <c r="H27" s="37"/>
    </row>
    <row r="28" spans="1:8" x14ac:dyDescent="0.35">
      <c r="A28" s="276"/>
      <c r="B28" s="141">
        <f>B18/B22</f>
        <v>4.8789540974141128E-2</v>
      </c>
      <c r="C28" s="345"/>
      <c r="D28" s="382"/>
      <c r="E28" s="169">
        <f>E18/E22</f>
        <v>4.1500000000000002E-2</v>
      </c>
      <c r="F28" s="37"/>
      <c r="G28" s="324"/>
      <c r="H28" s="37"/>
    </row>
    <row r="29" spans="1:8" x14ac:dyDescent="0.35">
      <c r="A29" s="276"/>
      <c r="B29" s="134" t="s">
        <v>368</v>
      </c>
      <c r="C29" s="345"/>
      <c r="D29" s="382"/>
      <c r="E29" s="155" t="s">
        <v>336</v>
      </c>
      <c r="F29" s="37"/>
      <c r="G29" s="324"/>
      <c r="H29" s="37"/>
    </row>
    <row r="30" spans="1:8" x14ac:dyDescent="0.35">
      <c r="A30" s="277"/>
      <c r="B30" s="141">
        <f>B20/B22</f>
        <v>5.3480842990885472E-2</v>
      </c>
      <c r="C30" s="346"/>
      <c r="D30" s="383"/>
      <c r="E30" s="169">
        <f>E20/E22</f>
        <v>4.8500000000000001E-2</v>
      </c>
      <c r="F30" s="37"/>
      <c r="G30" s="324"/>
      <c r="H30" s="37"/>
    </row>
    <row r="31" spans="1:8" ht="31" x14ac:dyDescent="0.35">
      <c r="A31" s="45" t="s">
        <v>307</v>
      </c>
      <c r="B31" s="50" t="s">
        <v>338</v>
      </c>
      <c r="C31" s="74" t="s">
        <v>339</v>
      </c>
      <c r="D31" s="50" t="s">
        <v>338</v>
      </c>
      <c r="E31" s="50" t="s">
        <v>338</v>
      </c>
      <c r="F31" s="37"/>
      <c r="G31" s="324"/>
      <c r="H31" s="37"/>
    </row>
    <row r="32" spans="1:8" ht="22.5" customHeight="1" x14ac:dyDescent="0.35">
      <c r="A32" s="311" t="s">
        <v>340</v>
      </c>
      <c r="B32" s="312"/>
      <c r="C32" s="312"/>
      <c r="D32" s="312"/>
      <c r="E32" s="313"/>
      <c r="F32" s="37"/>
      <c r="G32" s="324"/>
      <c r="H32" s="37"/>
    </row>
    <row r="33" spans="1:8" s="44" customFormat="1" ht="31.5" customHeight="1" x14ac:dyDescent="0.35">
      <c r="A33" s="39" t="s">
        <v>275</v>
      </c>
      <c r="B33" s="38">
        <v>293873</v>
      </c>
      <c r="C33" s="38">
        <v>700000</v>
      </c>
      <c r="D33" s="42">
        <v>548551</v>
      </c>
      <c r="E33" s="42">
        <v>357894</v>
      </c>
      <c r="F33" s="43"/>
      <c r="G33" s="324"/>
      <c r="H33" s="43"/>
    </row>
    <row r="34" spans="1:8" ht="22.5" customHeight="1" x14ac:dyDescent="0.35">
      <c r="A34" s="39" t="s">
        <v>276</v>
      </c>
      <c r="B34" s="38">
        <v>342580</v>
      </c>
      <c r="C34" s="38">
        <v>721800</v>
      </c>
      <c r="D34" s="42">
        <v>625945</v>
      </c>
      <c r="E34" s="42">
        <v>449934</v>
      </c>
      <c r="F34" s="37"/>
      <c r="G34" s="324"/>
      <c r="H34" s="37"/>
    </row>
    <row r="35" spans="1:8" ht="22.5" customHeight="1" x14ac:dyDescent="0.35">
      <c r="A35" s="47" t="s">
        <v>277</v>
      </c>
      <c r="B35" s="68">
        <f>B33/B22</f>
        <v>1.0099978004151717</v>
      </c>
      <c r="C35" s="68">
        <f t="shared" ref="C35:E35" si="0">C33/C22</f>
        <v>1.0499994750002626</v>
      </c>
      <c r="D35" s="68">
        <f t="shared" si="0"/>
        <v>1.0099996317572544</v>
      </c>
      <c r="E35" s="68">
        <f t="shared" si="0"/>
        <v>1.0109999999999999</v>
      </c>
      <c r="F35" s="37"/>
      <c r="G35" s="324"/>
      <c r="H35" s="37"/>
    </row>
    <row r="36" spans="1:8" ht="22.5" customHeight="1" x14ac:dyDescent="0.35">
      <c r="A36" s="47" t="s">
        <v>278</v>
      </c>
      <c r="B36" s="68">
        <f>B34/B22</f>
        <v>1.1773965164075282</v>
      </c>
      <c r="C36" s="68">
        <f t="shared" ref="C36:E36" si="1">C34/C22</f>
        <v>1.0826994586502707</v>
      </c>
      <c r="D36" s="68">
        <f t="shared" si="1"/>
        <v>1.1524985270290176</v>
      </c>
      <c r="E36" s="68">
        <f t="shared" si="1"/>
        <v>1.2709999999999999</v>
      </c>
      <c r="F36" s="37"/>
      <c r="G36" s="324"/>
      <c r="H36" s="37"/>
    </row>
    <row r="37" spans="1:8" ht="22.5" customHeight="1" x14ac:dyDescent="0.35">
      <c r="A37" s="269" t="s">
        <v>279</v>
      </c>
      <c r="B37" s="269"/>
      <c r="C37" s="269"/>
      <c r="D37" s="269"/>
      <c r="E37" s="269"/>
      <c r="F37" s="37"/>
      <c r="G37" s="324"/>
      <c r="H37" s="37"/>
    </row>
    <row r="38" spans="1:8" ht="22.5" customHeight="1" x14ac:dyDescent="0.35">
      <c r="A38" s="39" t="s">
        <v>280</v>
      </c>
      <c r="B38" s="36">
        <v>6006</v>
      </c>
      <c r="C38" s="36">
        <v>114000</v>
      </c>
      <c r="D38" s="36">
        <v>6000</v>
      </c>
      <c r="E38" s="36">
        <v>0</v>
      </c>
      <c r="F38" s="37"/>
      <c r="G38" s="324"/>
      <c r="H38" s="37"/>
    </row>
    <row r="39" spans="1:8" ht="20.25" customHeight="1" x14ac:dyDescent="0.35">
      <c r="A39" s="31" t="s">
        <v>281</v>
      </c>
      <c r="B39" s="38">
        <v>290964</v>
      </c>
      <c r="C39" s="71">
        <v>94000</v>
      </c>
      <c r="D39" s="35">
        <v>543120</v>
      </c>
      <c r="E39" s="35">
        <v>357894</v>
      </c>
      <c r="F39" s="37"/>
      <c r="G39" s="324"/>
      <c r="H39" s="37"/>
    </row>
    <row r="40" spans="1:8" ht="22.5" customHeight="1" x14ac:dyDescent="0.35">
      <c r="A40" s="49" t="s">
        <v>282</v>
      </c>
      <c r="B40" s="68">
        <f>(B38+B39)/B22</f>
        <v>1.0206417288736751</v>
      </c>
      <c r="C40" s="68">
        <f t="shared" ref="C40:E40" si="2">(C38+C39)/C22</f>
        <v>0.31199984400007802</v>
      </c>
      <c r="D40" s="68">
        <f t="shared" si="2"/>
        <v>1.0110472823685372</v>
      </c>
      <c r="E40" s="68">
        <f t="shared" si="2"/>
        <v>1.0109999999999999</v>
      </c>
      <c r="F40" s="37"/>
      <c r="G40" s="324"/>
      <c r="H40" s="37"/>
    </row>
    <row r="41" spans="1:8" ht="22.5" customHeight="1" x14ac:dyDescent="0.35">
      <c r="A41" s="269" t="s">
        <v>283</v>
      </c>
      <c r="B41" s="269"/>
      <c r="C41" s="269"/>
      <c r="D41" s="269"/>
      <c r="E41" s="269"/>
      <c r="F41" s="37"/>
      <c r="G41" s="324"/>
      <c r="H41" s="37"/>
    </row>
    <row r="42" spans="1:8" s="44" customFormat="1" ht="22.5" customHeight="1" x14ac:dyDescent="0.35">
      <c r="A42" s="31" t="s">
        <v>284</v>
      </c>
      <c r="B42" s="67">
        <v>14196</v>
      </c>
      <c r="C42" s="67">
        <v>240540</v>
      </c>
      <c r="D42" s="35">
        <v>34200</v>
      </c>
      <c r="E42" s="35">
        <v>0</v>
      </c>
      <c r="F42" s="43"/>
      <c r="G42" s="324"/>
      <c r="H42" s="43"/>
    </row>
    <row r="43" spans="1:8" ht="23.25" customHeight="1" x14ac:dyDescent="0.35">
      <c r="A43" s="31" t="s">
        <v>285</v>
      </c>
      <c r="B43" s="38">
        <v>339671</v>
      </c>
      <c r="C43" s="71">
        <v>138000</v>
      </c>
      <c r="D43" s="35">
        <v>620514</v>
      </c>
      <c r="E43" s="35">
        <v>425154</v>
      </c>
      <c r="F43" s="37"/>
      <c r="G43" s="324"/>
      <c r="H43" s="37"/>
    </row>
    <row r="44" spans="1:8" ht="41.15" customHeight="1" x14ac:dyDescent="0.35">
      <c r="A44" s="49" t="s">
        <v>286</v>
      </c>
      <c r="B44" s="68">
        <f>(B42+B43)/B22</f>
        <v>1.2161882569664977</v>
      </c>
      <c r="C44" s="68">
        <f t="shared" ref="C44:E44" si="3">(C42+C43)/C22</f>
        <v>0.56780971609514197</v>
      </c>
      <c r="D44" s="68">
        <f t="shared" si="3"/>
        <v>1.205468404772426</v>
      </c>
      <c r="E44" s="68">
        <f t="shared" si="3"/>
        <v>1.2010000000000001</v>
      </c>
      <c r="F44" s="37"/>
      <c r="G44" s="324"/>
      <c r="H44" s="37"/>
    </row>
    <row r="45" spans="1:8" ht="22.5" customHeight="1" x14ac:dyDescent="0.35">
      <c r="A45" s="376" t="s">
        <v>369</v>
      </c>
      <c r="B45" s="377"/>
      <c r="C45" s="377"/>
      <c r="D45" s="377"/>
      <c r="E45" s="378"/>
      <c r="F45" s="37"/>
      <c r="G45" s="324"/>
      <c r="H45" s="37"/>
    </row>
    <row r="46" spans="1:8" s="44" customFormat="1" ht="22.5" customHeight="1" x14ac:dyDescent="0.35">
      <c r="A46" s="39" t="s">
        <v>275</v>
      </c>
      <c r="B46" s="38">
        <v>295357</v>
      </c>
      <c r="C46" s="38">
        <v>700000</v>
      </c>
      <c r="D46" s="42">
        <v>551321</v>
      </c>
      <c r="E46" s="42">
        <v>364266</v>
      </c>
      <c r="F46" s="43"/>
      <c r="G46" s="324"/>
      <c r="H46" s="43"/>
    </row>
    <row r="47" spans="1:8" ht="22.5" customHeight="1" x14ac:dyDescent="0.35">
      <c r="A47" s="39" t="s">
        <v>276</v>
      </c>
      <c r="B47" s="38">
        <v>351192</v>
      </c>
      <c r="C47" s="38">
        <v>744940</v>
      </c>
      <c r="D47" s="42">
        <v>628715</v>
      </c>
      <c r="E47" s="42">
        <v>488166</v>
      </c>
      <c r="F47" s="37"/>
      <c r="G47" s="324"/>
      <c r="H47" s="37"/>
    </row>
    <row r="48" spans="1:8" ht="22.5" customHeight="1" x14ac:dyDescent="0.35">
      <c r="A48" s="47" t="s">
        <v>277</v>
      </c>
      <c r="B48" s="68">
        <f>B46/B22</f>
        <v>1.0150980877359399</v>
      </c>
      <c r="C48" s="68">
        <f t="shared" ref="C48:E48" si="4">C46/C22</f>
        <v>1.0499994750002626</v>
      </c>
      <c r="D48" s="68">
        <f t="shared" si="4"/>
        <v>1.0150997937840625</v>
      </c>
      <c r="E48" s="68">
        <f t="shared" si="4"/>
        <v>1.0289999999999999</v>
      </c>
      <c r="F48" s="37"/>
      <c r="G48" s="324"/>
      <c r="H48" s="37"/>
    </row>
    <row r="49" spans="1:8" ht="22.5" customHeight="1" x14ac:dyDescent="0.35">
      <c r="A49" s="47" t="s">
        <v>278</v>
      </c>
      <c r="B49" s="68">
        <f>B47/B22</f>
        <v>1.2069946797541964</v>
      </c>
      <c r="C49" s="68">
        <f t="shared" ref="C49:E49" si="5">C47/C22</f>
        <v>1.1174094412952793</v>
      </c>
      <c r="D49" s="68">
        <f t="shared" si="5"/>
        <v>1.1575986890558256</v>
      </c>
      <c r="E49" s="68">
        <f t="shared" si="5"/>
        <v>1.379</v>
      </c>
      <c r="F49" s="37"/>
      <c r="G49" s="324"/>
      <c r="H49" s="37"/>
    </row>
    <row r="50" spans="1:8" ht="22.5" customHeight="1" x14ac:dyDescent="0.35">
      <c r="A50" s="269" t="s">
        <v>279</v>
      </c>
      <c r="B50" s="269"/>
      <c r="C50" s="269"/>
      <c r="D50" s="269"/>
      <c r="E50" s="269"/>
      <c r="F50" s="37"/>
      <c r="G50" s="324"/>
      <c r="H50" s="37"/>
    </row>
    <row r="51" spans="1:8" ht="22.5" customHeight="1" x14ac:dyDescent="0.35">
      <c r="A51" s="39" t="s">
        <v>280</v>
      </c>
      <c r="B51" s="42">
        <f>11*B13</f>
        <v>66066</v>
      </c>
      <c r="C51" s="42">
        <v>174000</v>
      </c>
      <c r="D51" s="42">
        <f>11*D13</f>
        <v>66000</v>
      </c>
      <c r="E51" s="42">
        <v>65490</v>
      </c>
      <c r="F51" s="37"/>
      <c r="G51" s="324"/>
      <c r="H51" s="37"/>
    </row>
    <row r="52" spans="1:8" ht="22.5" customHeight="1" x14ac:dyDescent="0.35">
      <c r="A52" s="31" t="s">
        <v>281</v>
      </c>
      <c r="B52" s="38">
        <v>295357</v>
      </c>
      <c r="C52" s="71">
        <v>216000</v>
      </c>
      <c r="D52" s="42">
        <v>551321</v>
      </c>
      <c r="E52" s="42">
        <v>364266</v>
      </c>
      <c r="F52" s="37"/>
      <c r="G52" s="324"/>
      <c r="H52" s="37"/>
    </row>
    <row r="53" spans="1:8" ht="22.5" customHeight="1" x14ac:dyDescent="0.35">
      <c r="A53" s="49" t="s">
        <v>288</v>
      </c>
      <c r="B53" s="68">
        <f>B51/B22</f>
        <v>0.22705901761042604</v>
      </c>
      <c r="C53" s="68">
        <f t="shared" ref="C53:E53" si="6">C51/C22</f>
        <v>0.26099986950006526</v>
      </c>
      <c r="D53" s="68">
        <f t="shared" si="6"/>
        <v>0.12152010605391074</v>
      </c>
      <c r="E53" s="68">
        <f t="shared" si="6"/>
        <v>0.185</v>
      </c>
      <c r="F53" s="37"/>
      <c r="G53" s="324"/>
      <c r="H53" s="37"/>
    </row>
    <row r="54" spans="1:8" ht="22.5" customHeight="1" x14ac:dyDescent="0.35">
      <c r="A54" s="49" t="s">
        <v>282</v>
      </c>
      <c r="B54" s="68">
        <f>(B51+B52)/B22</f>
        <v>1.2421571053463658</v>
      </c>
      <c r="C54" s="68">
        <f t="shared" ref="C54:E54" si="7">(C51+C52)/C22</f>
        <v>0.58499970750014629</v>
      </c>
      <c r="D54" s="68">
        <f t="shared" si="7"/>
        <v>1.1366198998379733</v>
      </c>
      <c r="E54" s="68">
        <f t="shared" si="7"/>
        <v>1.214</v>
      </c>
      <c r="F54" s="37"/>
      <c r="G54" s="324"/>
      <c r="H54" s="37"/>
    </row>
    <row r="55" spans="1:8" ht="22.5" customHeight="1" x14ac:dyDescent="0.35">
      <c r="A55" s="269" t="s">
        <v>283</v>
      </c>
      <c r="B55" s="269"/>
      <c r="C55" s="269"/>
      <c r="D55" s="269"/>
      <c r="E55" s="269"/>
      <c r="F55" s="37"/>
      <c r="G55" s="324"/>
      <c r="H55" s="37"/>
    </row>
    <row r="56" spans="1:8" ht="22.5" customHeight="1" x14ac:dyDescent="0.35">
      <c r="A56" s="31" t="s">
        <v>284</v>
      </c>
      <c r="B56" s="67">
        <f>11*14196</f>
        <v>156156</v>
      </c>
      <c r="C56" s="67">
        <v>367140</v>
      </c>
      <c r="D56" s="67">
        <f>11*D17</f>
        <v>376200</v>
      </c>
      <c r="E56" s="67">
        <v>159300</v>
      </c>
      <c r="F56" s="37"/>
      <c r="G56" s="324"/>
      <c r="H56" s="37"/>
    </row>
    <row r="57" spans="1:8" ht="22.5" customHeight="1" x14ac:dyDescent="0.35">
      <c r="A57" s="31" t="s">
        <v>285</v>
      </c>
      <c r="B57" s="38">
        <v>351192</v>
      </c>
      <c r="C57" s="71">
        <v>305860</v>
      </c>
      <c r="D57" s="38">
        <v>628715</v>
      </c>
      <c r="E57" s="38">
        <v>488166</v>
      </c>
      <c r="F57" s="37"/>
      <c r="G57" s="324"/>
      <c r="H57" s="37"/>
    </row>
    <row r="58" spans="1:8" ht="28.5" customHeight="1" x14ac:dyDescent="0.35">
      <c r="A58" s="49" t="s">
        <v>289</v>
      </c>
      <c r="B58" s="68">
        <f>B56/B22</f>
        <v>0.53668495071555244</v>
      </c>
      <c r="C58" s="68">
        <f t="shared" ref="C58:E58" si="8">C56/C22</f>
        <v>0.55070972464513768</v>
      </c>
      <c r="D58" s="68">
        <f t="shared" si="8"/>
        <v>0.69266460450729117</v>
      </c>
      <c r="E58" s="68">
        <f t="shared" si="8"/>
        <v>0.45</v>
      </c>
      <c r="F58" s="37"/>
      <c r="G58" s="324"/>
      <c r="H58" s="37"/>
    </row>
    <row r="59" spans="1:8" ht="22.5" customHeight="1" x14ac:dyDescent="0.35">
      <c r="A59" s="49" t="s">
        <v>286</v>
      </c>
      <c r="B59" s="68">
        <f>(B56+B57)/B22</f>
        <v>1.7436796304697488</v>
      </c>
      <c r="C59" s="68">
        <f t="shared" ref="C59:E59" si="9">(C56+C57)/C22</f>
        <v>1.0094994952502523</v>
      </c>
      <c r="D59" s="68">
        <f t="shared" si="9"/>
        <v>1.8502632935631169</v>
      </c>
      <c r="E59" s="68">
        <f t="shared" si="9"/>
        <v>1.829</v>
      </c>
      <c r="F59" s="37"/>
      <c r="G59" s="324"/>
      <c r="H59" s="37"/>
    </row>
    <row r="60" spans="1:8" ht="22.5" customHeight="1" x14ac:dyDescent="0.35">
      <c r="A60" s="355" t="s">
        <v>290</v>
      </c>
      <c r="B60" s="356"/>
      <c r="C60" s="356"/>
      <c r="D60" s="356"/>
      <c r="E60" s="356"/>
      <c r="F60" s="37"/>
      <c r="G60" s="324"/>
      <c r="H60" s="37"/>
    </row>
    <row r="61" spans="1:8" ht="22.5" customHeight="1" x14ac:dyDescent="0.35">
      <c r="A61" s="39" t="s">
        <v>275</v>
      </c>
      <c r="B61" s="38">
        <v>302835</v>
      </c>
      <c r="C61" s="38">
        <v>700000</v>
      </c>
      <c r="D61" s="42">
        <v>565279</v>
      </c>
      <c r="E61" s="42">
        <v>374886</v>
      </c>
      <c r="F61" s="37"/>
      <c r="G61" s="324"/>
      <c r="H61" s="37"/>
    </row>
    <row r="62" spans="1:8" ht="22.5" customHeight="1" x14ac:dyDescent="0.35">
      <c r="A62" s="39" t="s">
        <v>276</v>
      </c>
      <c r="B62" s="38">
        <v>374324</v>
      </c>
      <c r="C62" s="38">
        <v>765540</v>
      </c>
      <c r="D62" s="42">
        <v>642673</v>
      </c>
      <c r="E62" s="42">
        <v>498786</v>
      </c>
      <c r="F62" s="37"/>
      <c r="G62" s="324"/>
      <c r="H62" s="37"/>
    </row>
    <row r="63" spans="1:8" ht="22.5" customHeight="1" x14ac:dyDescent="0.35">
      <c r="A63" s="47" t="s">
        <v>277</v>
      </c>
      <c r="B63" s="68">
        <f>B61/B22</f>
        <v>1.0407988617148514</v>
      </c>
      <c r="C63" s="68">
        <f t="shared" ref="C63:D63" si="10">C61/C22</f>
        <v>1.0499994750002626</v>
      </c>
      <c r="D63" s="68">
        <f t="shared" si="10"/>
        <v>1.0407994550007365</v>
      </c>
      <c r="E63" s="68">
        <f>E61/E22</f>
        <v>1.0589999999999999</v>
      </c>
      <c r="F63" s="37"/>
      <c r="G63" s="324"/>
      <c r="H63" s="37"/>
    </row>
    <row r="64" spans="1:8" ht="22.5" customHeight="1" x14ac:dyDescent="0.35">
      <c r="A64" s="47" t="s">
        <v>278</v>
      </c>
      <c r="B64" s="68">
        <f>B62/B22</f>
        <v>1.286495923894365</v>
      </c>
      <c r="C64" s="68">
        <f t="shared" ref="C64:D64" si="11">C62/C22</f>
        <v>1.1483094258452871</v>
      </c>
      <c r="D64" s="68">
        <f t="shared" si="11"/>
        <v>1.1832983502724996</v>
      </c>
      <c r="E64" s="68">
        <f>E62/E22</f>
        <v>1.409</v>
      </c>
      <c r="F64" s="37"/>
      <c r="G64" s="324"/>
      <c r="H64" s="37"/>
    </row>
    <row r="65" spans="1:8" ht="22.5" customHeight="1" x14ac:dyDescent="0.35">
      <c r="A65" s="269" t="s">
        <v>279</v>
      </c>
      <c r="B65" s="269"/>
      <c r="C65" s="269"/>
      <c r="D65" s="269"/>
      <c r="E65" s="269"/>
      <c r="F65" s="37"/>
      <c r="G65" s="324"/>
      <c r="H65" s="37"/>
    </row>
    <row r="66" spans="1:8" ht="22.5" customHeight="1" x14ac:dyDescent="0.35">
      <c r="A66" s="39" t="s">
        <v>280</v>
      </c>
      <c r="B66" s="42">
        <f>21*B13</f>
        <v>126126</v>
      </c>
      <c r="C66" s="42">
        <v>234000</v>
      </c>
      <c r="D66" s="42">
        <f>21*D13</f>
        <v>126000</v>
      </c>
      <c r="E66" s="42">
        <v>136290</v>
      </c>
      <c r="F66" s="37"/>
      <c r="G66" s="324"/>
      <c r="H66" s="37"/>
    </row>
    <row r="67" spans="1:8" ht="22.5" customHeight="1" x14ac:dyDescent="0.35">
      <c r="A67" s="31" t="s">
        <v>281</v>
      </c>
      <c r="B67" s="38">
        <v>302835</v>
      </c>
      <c r="C67" s="71">
        <v>315400</v>
      </c>
      <c r="D67" s="42">
        <v>565279</v>
      </c>
      <c r="E67" s="42">
        <v>374886</v>
      </c>
      <c r="F67" s="37"/>
      <c r="G67" s="324"/>
      <c r="H67" s="37"/>
    </row>
    <row r="68" spans="1:8" ht="22.5" customHeight="1" x14ac:dyDescent="0.35">
      <c r="A68" s="49" t="s">
        <v>288</v>
      </c>
      <c r="B68" s="68">
        <f>B66/B22</f>
        <v>0.43347630634717699</v>
      </c>
      <c r="C68" s="68">
        <f t="shared" ref="C68:E68" si="12">C66/C22</f>
        <v>0.35099982450008776</v>
      </c>
      <c r="D68" s="68">
        <f t="shared" si="12"/>
        <v>0.23199292973928415</v>
      </c>
      <c r="E68" s="68">
        <f t="shared" si="12"/>
        <v>0.38500000000000001</v>
      </c>
      <c r="F68" s="37"/>
      <c r="G68" s="324"/>
      <c r="H68" s="37"/>
    </row>
    <row r="69" spans="1:8" ht="22.5" customHeight="1" x14ac:dyDescent="0.35">
      <c r="A69" s="49" t="s">
        <v>282</v>
      </c>
      <c r="B69" s="68">
        <f>(B66+B67)/B22</f>
        <v>1.4742751680620283</v>
      </c>
      <c r="C69" s="68">
        <f t="shared" ref="C69:E69" si="13">(C66+C67)/C22</f>
        <v>0.82409958795020599</v>
      </c>
      <c r="D69" s="68">
        <f t="shared" si="13"/>
        <v>1.2727923847400207</v>
      </c>
      <c r="E69" s="68">
        <f t="shared" si="13"/>
        <v>1.444</v>
      </c>
      <c r="F69" s="37"/>
      <c r="G69" s="324"/>
      <c r="H69" s="37"/>
    </row>
    <row r="70" spans="1:8" ht="22.5" customHeight="1" x14ac:dyDescent="0.35">
      <c r="A70" s="269" t="s">
        <v>283</v>
      </c>
      <c r="B70" s="269"/>
      <c r="C70" s="269"/>
      <c r="D70" s="269"/>
      <c r="E70" s="269"/>
      <c r="F70" s="37"/>
      <c r="G70" s="324"/>
      <c r="H70" s="37"/>
    </row>
    <row r="71" spans="1:8" ht="22.5" customHeight="1" x14ac:dyDescent="0.35">
      <c r="A71" s="31" t="s">
        <v>284</v>
      </c>
      <c r="B71" s="67">
        <f>(20*14196)+15561</f>
        <v>299481</v>
      </c>
      <c r="C71" s="67">
        <v>493740</v>
      </c>
      <c r="D71" s="67">
        <f>21*D17</f>
        <v>718200</v>
      </c>
      <c r="E71" s="67">
        <v>330990</v>
      </c>
      <c r="F71" s="37"/>
      <c r="G71" s="324"/>
      <c r="H71" s="37"/>
    </row>
    <row r="72" spans="1:8" ht="22.5" customHeight="1" x14ac:dyDescent="0.35">
      <c r="A72" s="31" t="s">
        <v>285</v>
      </c>
      <c r="B72" s="38">
        <v>374324</v>
      </c>
      <c r="C72" s="71">
        <v>446460</v>
      </c>
      <c r="D72" s="35">
        <v>642673</v>
      </c>
      <c r="E72" s="35">
        <v>498786</v>
      </c>
      <c r="F72" s="37"/>
      <c r="G72" s="324"/>
      <c r="H72" s="37"/>
    </row>
    <row r="73" spans="1:8" x14ac:dyDescent="0.35">
      <c r="A73" s="49" t="s">
        <v>289</v>
      </c>
      <c r="B73" s="68">
        <f>B71/B22</f>
        <v>1.0292716624737082</v>
      </c>
      <c r="C73" s="68">
        <f t="shared" ref="C73:E73" si="14">C71/C22</f>
        <v>0.74060962969518518</v>
      </c>
      <c r="D73" s="68">
        <f t="shared" si="14"/>
        <v>1.3223596995139195</v>
      </c>
      <c r="E73" s="68">
        <f t="shared" si="14"/>
        <v>0.93500000000000005</v>
      </c>
      <c r="F73" s="37"/>
      <c r="G73" s="324"/>
      <c r="H73" s="37"/>
    </row>
    <row r="74" spans="1:8" ht="22.5" customHeight="1" x14ac:dyDescent="0.35">
      <c r="A74" s="49" t="s">
        <v>286</v>
      </c>
      <c r="B74" s="68">
        <f>(B71+B72)/B22</f>
        <v>2.3157675863680729</v>
      </c>
      <c r="C74" s="68">
        <f t="shared" ref="C74:E74" si="15">(C71+C72)/C22</f>
        <v>1.4102992948503525</v>
      </c>
      <c r="D74" s="68">
        <f t="shared" si="15"/>
        <v>2.5056580497864194</v>
      </c>
      <c r="E74" s="68">
        <f t="shared" si="15"/>
        <v>2.3439999999999999</v>
      </c>
      <c r="F74" s="37"/>
      <c r="G74" s="324"/>
      <c r="H74" s="37"/>
    </row>
    <row r="75" spans="1:8" ht="22.5" customHeight="1" x14ac:dyDescent="0.35">
      <c r="B75" s="70"/>
      <c r="C75" s="70"/>
      <c r="F75" s="37"/>
      <c r="G75" s="324"/>
      <c r="H75" s="37"/>
    </row>
    <row r="76" spans="1:8" ht="22.5" customHeight="1" thickBot="1" x14ac:dyDescent="0.4">
      <c r="F76" s="37"/>
      <c r="G76" s="325"/>
      <c r="H76" s="37"/>
    </row>
    <row r="77" spans="1:8" x14ac:dyDescent="0.35">
      <c r="G77" s="41"/>
    </row>
    <row r="78" spans="1:8" x14ac:dyDescent="0.35">
      <c r="G78" s="41"/>
    </row>
  </sheetData>
  <sheetProtection algorithmName="SHA-512" hashValue="4gC6FkxsbjKkBk+y7ojXwnf8u7cqlM9WWwVMxNVroVuWvgvOHy2vER1FqfUayY7cy7LEwPGOucKJQvqNEjyKUQ==" saltValue="66GLoREYB3i+rgxRSYbb7w==" spinCount="100000" sheet="1" objects="1" scenarios="1" selectLockedCells="1" autoFilter="0" selectUnlockedCells="1"/>
  <mergeCells count="24">
    <mergeCell ref="A1:E2"/>
    <mergeCell ref="A6:A7"/>
    <mergeCell ref="A32:E32"/>
    <mergeCell ref="A37:E37"/>
    <mergeCell ref="A41:E41"/>
    <mergeCell ref="A17:A20"/>
    <mergeCell ref="A27:A30"/>
    <mergeCell ref="C27:C30"/>
    <mergeCell ref="C17:C20"/>
    <mergeCell ref="D17:D20"/>
    <mergeCell ref="D27:D30"/>
    <mergeCell ref="A45:E45"/>
    <mergeCell ref="A50:E50"/>
    <mergeCell ref="A55:E55"/>
    <mergeCell ref="A60:E60"/>
    <mergeCell ref="G7:G76"/>
    <mergeCell ref="A65:E65"/>
    <mergeCell ref="A70:E70"/>
    <mergeCell ref="A13:A16"/>
    <mergeCell ref="B13:B16"/>
    <mergeCell ref="C13:C16"/>
    <mergeCell ref="D13:D16"/>
    <mergeCell ref="A23:A26"/>
    <mergeCell ref="C23:C26"/>
  </mergeCells>
  <conditionalFormatting sqref="B23:D23 B24:B26 D24:D26">
    <cfRule type="top10" dxfId="16" priority="292" rank="1"/>
  </conditionalFormatting>
  <conditionalFormatting sqref="B35:E35">
    <cfRule type="top10" dxfId="15" priority="293" rank="1"/>
  </conditionalFormatting>
  <conditionalFormatting sqref="B36:E36">
    <cfRule type="top10" dxfId="14" priority="15" rank="1"/>
  </conditionalFormatting>
  <conditionalFormatting sqref="B40:E40">
    <cfRule type="top10" dxfId="13" priority="14" rank="1"/>
  </conditionalFormatting>
  <conditionalFormatting sqref="B44:E44">
    <cfRule type="top10" dxfId="12" priority="13" rank="1"/>
  </conditionalFormatting>
  <conditionalFormatting sqref="B48:E48">
    <cfRule type="top10" dxfId="11" priority="12" rank="1"/>
  </conditionalFormatting>
  <conditionalFormatting sqref="B49:E49">
    <cfRule type="top10" dxfId="10" priority="11" rank="1"/>
  </conditionalFormatting>
  <conditionalFormatting sqref="B53:E53">
    <cfRule type="top10" dxfId="9" priority="10" rank="1"/>
  </conditionalFormatting>
  <conditionalFormatting sqref="B54:E54">
    <cfRule type="top10" dxfId="8" priority="9" rank="1"/>
  </conditionalFormatting>
  <conditionalFormatting sqref="B58:E58">
    <cfRule type="top10" dxfId="7" priority="8" rank="1"/>
  </conditionalFormatting>
  <conditionalFormatting sqref="B59:E59">
    <cfRule type="top10" dxfId="6" priority="7" rank="1"/>
  </conditionalFormatting>
  <conditionalFormatting sqref="B63:E63">
    <cfRule type="top10" dxfId="5" priority="6" rank="1"/>
  </conditionalFormatting>
  <conditionalFormatting sqref="B64:E64">
    <cfRule type="top10" dxfId="4" priority="5" rank="1"/>
  </conditionalFormatting>
  <conditionalFormatting sqref="B68:E68">
    <cfRule type="top10" dxfId="3" priority="4" rank="1"/>
  </conditionalFormatting>
  <conditionalFormatting sqref="B69:E69">
    <cfRule type="top10" dxfId="2" priority="3" rank="1"/>
  </conditionalFormatting>
  <conditionalFormatting sqref="B73:E73">
    <cfRule type="top10" dxfId="1" priority="2" rank="1"/>
  </conditionalFormatting>
  <conditionalFormatting sqref="B74:E74">
    <cfRule type="top10" dxfId="0" priority="1" rank="1"/>
  </conditionalFormatting>
  <printOptions horizontalCentered="1" verticalCentered="1"/>
  <pageMargins left="0" right="0" top="0" bottom="0" header="0" footer="0"/>
  <pageSetup paperSize="9" scale="37" fitToHeight="0" orientation="portrait" r:id="rId1"/>
  <headerFooter>
    <oddFooter>&amp;L_x000D_&amp;1#&amp;"Calibri"&amp;8&amp;K008000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G10"/>
  <sheetViews>
    <sheetView zoomScale="70" zoomScaleNormal="70" workbookViewId="0">
      <selection activeCell="C10" sqref="C10"/>
    </sheetView>
  </sheetViews>
  <sheetFormatPr defaultColWidth="9.1796875" defaultRowHeight="72" customHeight="1" x14ac:dyDescent="0.3"/>
  <cols>
    <col min="1" max="3" width="30.81640625" style="2" customWidth="1"/>
    <col min="4" max="4" width="9.1796875" style="2"/>
    <col min="5" max="5" width="32.1796875" style="2" customWidth="1"/>
    <col min="6" max="16384" width="9.1796875" style="2"/>
  </cols>
  <sheetData>
    <row r="1" spans="1:7" ht="66.75" customHeight="1" x14ac:dyDescent="0.3">
      <c r="A1" s="236" t="s">
        <v>2</v>
      </c>
      <c r="B1" s="237"/>
      <c r="C1" s="237"/>
      <c r="D1" s="238"/>
      <c r="E1" s="238"/>
    </row>
    <row r="2" spans="1:7" ht="23" x14ac:dyDescent="0.3">
      <c r="A2" s="239" t="s">
        <v>3</v>
      </c>
      <c r="B2" s="238"/>
      <c r="C2" s="238"/>
      <c r="D2" s="238"/>
      <c r="E2" s="238"/>
    </row>
    <row r="3" spans="1:7" s="3" customFormat="1" ht="33.75" customHeight="1" thickBot="1" x14ac:dyDescent="0.4">
      <c r="A3" s="240" t="s">
        <v>4</v>
      </c>
      <c r="B3" s="240"/>
      <c r="C3" s="240"/>
      <c r="F3" s="4"/>
    </row>
    <row r="4" spans="1:7" s="3" customFormat="1" ht="48.75" customHeight="1" x14ac:dyDescent="0.35">
      <c r="A4" s="241" t="s">
        <v>412</v>
      </c>
      <c r="B4" s="242"/>
      <c r="C4" s="242"/>
      <c r="D4" s="242"/>
      <c r="E4" s="243"/>
    </row>
    <row r="5" spans="1:7" s="3" customFormat="1" ht="39.75" customHeight="1" x14ac:dyDescent="0.35">
      <c r="A5" s="244"/>
      <c r="B5" s="245"/>
      <c r="C5" s="245"/>
      <c r="D5" s="245"/>
      <c r="E5" s="246"/>
      <c r="G5" s="5"/>
    </row>
    <row r="6" spans="1:7" s="3" customFormat="1" ht="73.400000000000006" customHeight="1" x14ac:dyDescent="0.35">
      <c r="A6" s="244"/>
      <c r="B6" s="245"/>
      <c r="C6" s="245"/>
      <c r="D6" s="245"/>
      <c r="E6" s="246"/>
    </row>
    <row r="7" spans="1:7" s="6" customFormat="1" ht="66.75" customHeight="1" x14ac:dyDescent="0.35">
      <c r="A7" s="244"/>
      <c r="B7" s="245"/>
      <c r="C7" s="245"/>
      <c r="D7" s="245"/>
      <c r="E7" s="246"/>
    </row>
    <row r="8" spans="1:7" s="6" customFormat="1" ht="18.75" customHeight="1" x14ac:dyDescent="0.35">
      <c r="A8" s="10"/>
      <c r="B8" s="11"/>
      <c r="C8" s="11"/>
      <c r="D8" s="11"/>
      <c r="E8" s="12"/>
    </row>
    <row r="9" spans="1:7" s="3" customFormat="1" ht="18" customHeight="1" thickBot="1" x14ac:dyDescent="0.4">
      <c r="A9" s="233" t="s">
        <v>410</v>
      </c>
      <c r="B9" s="234"/>
      <c r="C9" s="234"/>
      <c r="D9" s="234"/>
      <c r="E9" s="235"/>
    </row>
    <row r="10" spans="1:7" s="3" customFormat="1" ht="72" customHeight="1" x14ac:dyDescent="0.35"/>
  </sheetData>
  <sheetProtection algorithmName="SHA-512" hashValue="Bt+QQKESq8Y3XfLmNcRXYgKvFkfpGMuzhaFvtNFqYylnLn5VcOMc+aA4dms8gmFsrBF3qbhOgZWVGRQWoEWPqw==" saltValue="+Xmn6nYj9s7D9VpMuxQPBw==" spinCount="100000" sheet="1" objects="1" scenarios="1"/>
  <mergeCells count="5">
    <mergeCell ref="A9:E9"/>
    <mergeCell ref="A1:E1"/>
    <mergeCell ref="A2:E2"/>
    <mergeCell ref="A3:C3"/>
    <mergeCell ref="A4:E7"/>
  </mergeCells>
  <printOptions horizontalCentered="1" verticalCentered="1"/>
  <pageMargins left="0" right="0" top="0" bottom="0" header="0" footer="0"/>
  <pageSetup paperSize="9" fitToHeight="0" orientation="landscape" r:id="rId1"/>
  <headerFooter>
    <oddFooter>&amp;L_x000D_&amp;1#&amp;"Calibri"&amp;8&amp;K008000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E2C8-2976-4034-B3E0-CBDC62C20F02}">
  <dimension ref="B1:D10"/>
  <sheetViews>
    <sheetView zoomScale="70" zoomScaleNormal="70" workbookViewId="0">
      <selection activeCell="C22" sqref="C22"/>
    </sheetView>
  </sheetViews>
  <sheetFormatPr defaultRowHeight="14.5" x14ac:dyDescent="0.35"/>
  <cols>
    <col min="1" max="1" width="11.08984375" customWidth="1"/>
    <col min="2" max="2" width="34.81640625" bestFit="1" customWidth="1"/>
    <col min="3" max="3" width="105.81640625" customWidth="1"/>
    <col min="4" max="4" width="104.6328125" bestFit="1" customWidth="1"/>
  </cols>
  <sheetData>
    <row r="1" spans="2:4" s="224" customFormat="1" ht="16" x14ac:dyDescent="0.35">
      <c r="B1" s="248" t="s">
        <v>413</v>
      </c>
      <c r="C1" s="248"/>
      <c r="D1" s="248"/>
    </row>
    <row r="2" spans="2:4" x14ac:dyDescent="0.35">
      <c r="B2" s="225" t="s">
        <v>414</v>
      </c>
      <c r="C2" s="225"/>
      <c r="D2" s="225"/>
    </row>
    <row r="3" spans="2:4" x14ac:dyDescent="0.35">
      <c r="B3" s="226" t="s">
        <v>415</v>
      </c>
      <c r="C3" s="227" t="s">
        <v>416</v>
      </c>
      <c r="D3" s="228" t="s">
        <v>417</v>
      </c>
    </row>
    <row r="4" spans="2:4" x14ac:dyDescent="0.35">
      <c r="B4" s="229" t="s">
        <v>418</v>
      </c>
      <c r="C4" s="182" t="s">
        <v>5</v>
      </c>
      <c r="D4" s="221" t="s">
        <v>6</v>
      </c>
    </row>
    <row r="5" spans="2:4" x14ac:dyDescent="0.35">
      <c r="B5" s="229" t="s">
        <v>419</v>
      </c>
      <c r="C5" t="s">
        <v>7</v>
      </c>
      <c r="D5" s="221" t="s">
        <v>8</v>
      </c>
    </row>
    <row r="6" spans="2:4" x14ac:dyDescent="0.35">
      <c r="B6" s="229" t="s">
        <v>423</v>
      </c>
      <c r="C6" s="220" t="s">
        <v>395</v>
      </c>
      <c r="D6" s="221" t="s">
        <v>394</v>
      </c>
    </row>
    <row r="7" spans="2:4" x14ac:dyDescent="0.35">
      <c r="B7" s="229" t="s">
        <v>420</v>
      </c>
      <c r="C7" s="182" t="s">
        <v>9</v>
      </c>
      <c r="D7" s="221" t="s">
        <v>10</v>
      </c>
    </row>
    <row r="8" spans="2:4" x14ac:dyDescent="0.35">
      <c r="B8" s="229" t="s">
        <v>421</v>
      </c>
      <c r="C8" t="s">
        <v>11</v>
      </c>
      <c r="D8" t="s">
        <v>12</v>
      </c>
    </row>
    <row r="9" spans="2:4" ht="16" x14ac:dyDescent="0.35">
      <c r="B9" s="230"/>
      <c r="C9" s="230"/>
      <c r="D9" s="231"/>
    </row>
    <row r="10" spans="2:4" x14ac:dyDescent="0.35">
      <c r="B10" s="247" t="s">
        <v>422</v>
      </c>
      <c r="C10" s="247"/>
      <c r="D10" s="247"/>
    </row>
  </sheetData>
  <sheetProtection algorithmName="SHA-512" hashValue="QKnKZvR2mFMuCu2BQYJXaVc7VDQQ5s0OayhXas1Nrh01FSLX7MxWCLPoBcQY7tAP6yzzkzwwOPZKYzKfAquukQ==" saltValue="/jp3/cvDlkm0U/np1VEhRQ==" spinCount="100000" sheet="1" objects="1" scenarios="1" selectLockedCells="1" autoFilter="0" selectUnlockedCells="1"/>
  <mergeCells count="2">
    <mergeCell ref="B10:D10"/>
    <mergeCell ref="B1:D1"/>
  </mergeCells>
  <hyperlinks>
    <hyperlink ref="D4" r:id="rId1" xr:uid="{19A107DF-BDC5-453F-B93B-FBF594CCD657}"/>
    <hyperlink ref="D5" r:id="rId2" xr:uid="{AF64E119-7E54-47F2-A61F-5BF2A6A059F5}"/>
    <hyperlink ref="D6" r:id="rId3" xr:uid="{564DDBB5-3FB1-4CED-ADE3-26E4F23E77BA}"/>
    <hyperlink ref="D7" r:id="rId4" xr:uid="{5B4706A5-C2B8-4B83-A4EE-2A138088394C}"/>
  </hyperlinks>
  <pageMargins left="0.7" right="0.7" top="0.75" bottom="0.75" header="0.3" footer="0.3"/>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0DF97-F5ED-469F-818C-B26FEFCA7AC3}">
  <sheetPr codeName="Sheet3">
    <pageSetUpPr fitToPage="1"/>
  </sheetPr>
  <dimension ref="B2:E14"/>
  <sheetViews>
    <sheetView tabSelected="1" zoomScale="70" zoomScaleNormal="70" workbookViewId="0">
      <pane xSplit="2" ySplit="3" topLeftCell="C4" activePane="bottomRight" state="frozen"/>
      <selection pane="topRight" activeCell="C1" sqref="C1"/>
      <selection pane="bottomLeft" activeCell="A4" sqref="A4"/>
      <selection pane="bottomRight" activeCell="E5" sqref="E5"/>
    </sheetView>
  </sheetViews>
  <sheetFormatPr defaultColWidth="9.1796875" defaultRowHeight="14.5" x14ac:dyDescent="0.35"/>
  <cols>
    <col min="1" max="1" width="9.1796875" style="7"/>
    <col min="2" max="2" width="17.1796875" style="7" bestFit="1" customWidth="1"/>
    <col min="3" max="3" width="38" style="7" bestFit="1" customWidth="1"/>
    <col min="4" max="4" width="112.54296875" style="7" customWidth="1"/>
    <col min="5" max="5" width="61.54296875" style="7" customWidth="1"/>
    <col min="6" max="16384" width="9.1796875" style="7"/>
  </cols>
  <sheetData>
    <row r="2" spans="2:5" ht="15.75" customHeight="1" thickBot="1" x14ac:dyDescent="0.4">
      <c r="B2" s="253" t="s">
        <v>13</v>
      </c>
      <c r="C2" s="253"/>
      <c r="D2" s="253"/>
    </row>
    <row r="3" spans="2:5" x14ac:dyDescent="0.35">
      <c r="B3" s="72" t="s">
        <v>14</v>
      </c>
      <c r="C3" s="72" t="s">
        <v>15</v>
      </c>
      <c r="D3" s="73" t="s">
        <v>411</v>
      </c>
    </row>
    <row r="4" spans="2:5" ht="285.64999999999998" customHeight="1" x14ac:dyDescent="0.35">
      <c r="B4" s="254" t="s">
        <v>16</v>
      </c>
      <c r="C4" s="114" t="s">
        <v>17</v>
      </c>
      <c r="D4" s="15" t="s">
        <v>18</v>
      </c>
      <c r="E4" s="9"/>
    </row>
    <row r="5" spans="2:5" ht="137.5" customHeight="1" x14ac:dyDescent="0.35">
      <c r="B5" s="255"/>
      <c r="C5" s="114" t="s">
        <v>19</v>
      </c>
      <c r="D5" s="15" t="s">
        <v>20</v>
      </c>
      <c r="E5" s="9"/>
    </row>
    <row r="6" spans="2:5" ht="145" x14ac:dyDescent="0.35">
      <c r="B6" s="256" t="s">
        <v>21</v>
      </c>
      <c r="C6" s="87" t="s">
        <v>22</v>
      </c>
      <c r="D6" s="15" t="s">
        <v>23</v>
      </c>
      <c r="E6" s="9"/>
    </row>
    <row r="7" spans="2:5" ht="131.5" customHeight="1" x14ac:dyDescent="0.35">
      <c r="B7" s="257"/>
      <c r="C7" s="87" t="s">
        <v>24</v>
      </c>
      <c r="D7" s="180" t="s">
        <v>25</v>
      </c>
      <c r="E7" s="9"/>
    </row>
    <row r="8" spans="2:5" ht="173.5" customHeight="1" x14ac:dyDescent="0.35">
      <c r="B8" s="222" t="s">
        <v>26</v>
      </c>
      <c r="C8" s="76" t="s">
        <v>370</v>
      </c>
      <c r="D8" s="15" t="s">
        <v>402</v>
      </c>
      <c r="E8" s="9"/>
    </row>
    <row r="9" spans="2:5" ht="174" x14ac:dyDescent="0.35">
      <c r="B9" s="222" t="s">
        <v>27</v>
      </c>
      <c r="C9" s="76" t="s">
        <v>28</v>
      </c>
      <c r="D9" s="15" t="s">
        <v>29</v>
      </c>
      <c r="E9" s="9"/>
    </row>
    <row r="10" spans="2:5" ht="181.5" customHeight="1" x14ac:dyDescent="0.35">
      <c r="B10" s="249" t="s">
        <v>30</v>
      </c>
      <c r="C10" s="8" t="s">
        <v>31</v>
      </c>
      <c r="D10" s="113" t="s">
        <v>32</v>
      </c>
      <c r="E10" s="9"/>
    </row>
    <row r="11" spans="2:5" ht="181.5" customHeight="1" x14ac:dyDescent="0.35">
      <c r="B11" s="251"/>
      <c r="C11" s="114" t="s">
        <v>33</v>
      </c>
      <c r="D11" s="15" t="s">
        <v>34</v>
      </c>
      <c r="E11" s="9"/>
    </row>
    <row r="12" spans="2:5" ht="157.5" customHeight="1" x14ac:dyDescent="0.35">
      <c r="B12" s="252"/>
      <c r="C12" s="114" t="s">
        <v>35</v>
      </c>
      <c r="D12" s="15" t="s">
        <v>36</v>
      </c>
      <c r="E12" s="9"/>
    </row>
    <row r="13" spans="2:5" ht="142.5" customHeight="1" x14ac:dyDescent="0.35">
      <c r="B13" s="249" t="s">
        <v>37</v>
      </c>
      <c r="C13" s="8" t="s">
        <v>38</v>
      </c>
      <c r="D13" s="78" t="s">
        <v>39</v>
      </c>
    </row>
    <row r="14" spans="2:5" ht="140.15" customHeight="1" x14ac:dyDescent="0.35">
      <c r="B14" s="250"/>
      <c r="C14" s="76" t="s">
        <v>40</v>
      </c>
      <c r="D14" s="15" t="s">
        <v>41</v>
      </c>
      <c r="E14" s="9"/>
    </row>
  </sheetData>
  <sheetProtection algorithmName="SHA-512" hashValue="FiqgVfIErZj/D0q9LuTihaZt+/Q5OPgBlq9KjFUol7Bv7k1HCM1pf9yxtqDHzoWpwSIneLkK/D0Xfsga4KANxg==" saltValue="EL78e/gw91N/nuqzyAGRCg==" spinCount="100000" sheet="1" objects="1" scenarios="1" selectLockedCells="1" autoFilter="0" selectUnlockedCells="1"/>
  <mergeCells count="5">
    <mergeCell ref="B13:B14"/>
    <mergeCell ref="B10:B12"/>
    <mergeCell ref="B2:D2"/>
    <mergeCell ref="B4:B5"/>
    <mergeCell ref="B6:B7"/>
  </mergeCells>
  <printOptions horizontalCentered="1" verticalCentered="1"/>
  <pageMargins left="0" right="0" top="0" bottom="0" header="0" footer="0"/>
  <pageSetup paperSize="9" scale="35" fitToWidth="0" orientation="landscape" r:id="rId1"/>
  <headerFooter>
    <oddFooter>&amp;L_x000D_&amp;1#&amp;"Calibri"&amp;8&amp;K008000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L30"/>
  <sheetViews>
    <sheetView showGridLines="0" zoomScale="70" zoomScaleNormal="70" zoomScaleSheetLayoutView="80" workbookViewId="0">
      <pane xSplit="1" ySplit="3" topLeftCell="B4" activePane="bottomRight" state="frozen"/>
      <selection pane="topRight" activeCell="B1" sqref="B1"/>
      <selection pane="bottomLeft" activeCell="A4" sqref="A4"/>
      <selection pane="bottomRight" activeCell="D9" sqref="D9"/>
    </sheetView>
  </sheetViews>
  <sheetFormatPr defaultRowHeight="14.5" x14ac:dyDescent="0.35"/>
  <cols>
    <col min="1" max="1" width="40" customWidth="1"/>
    <col min="2" max="3" width="46.54296875" customWidth="1"/>
    <col min="4" max="5" width="51.54296875" customWidth="1"/>
    <col min="6" max="6" width="40" customWidth="1"/>
    <col min="7" max="7" width="37.1796875" customWidth="1"/>
    <col min="8" max="8" width="44.81640625" style="80" customWidth="1"/>
    <col min="9" max="9" width="46.81640625" bestFit="1" customWidth="1"/>
    <col min="10" max="10" width="38.1796875" customWidth="1"/>
    <col min="11" max="11" width="46.453125" customWidth="1"/>
    <col min="12" max="12" width="37.1796875" customWidth="1"/>
  </cols>
  <sheetData>
    <row r="1" spans="1:12" ht="55.5" customHeight="1" x14ac:dyDescent="0.35">
      <c r="A1" s="258" t="s">
        <v>42</v>
      </c>
      <c r="B1" s="258"/>
      <c r="C1" s="258"/>
      <c r="D1" s="258"/>
      <c r="E1" s="258"/>
      <c r="F1" s="258"/>
      <c r="G1" s="258"/>
      <c r="H1" s="258"/>
      <c r="I1" s="258"/>
      <c r="J1" s="258"/>
      <c r="K1" s="258"/>
      <c r="L1" s="258"/>
    </row>
    <row r="2" spans="1:12" s="79" customFormat="1" x14ac:dyDescent="0.35">
      <c r="A2" s="211" t="s">
        <v>43</v>
      </c>
      <c r="B2" s="211" t="s">
        <v>16</v>
      </c>
      <c r="C2" s="211" t="s">
        <v>16</v>
      </c>
      <c r="D2" s="211" t="s">
        <v>44</v>
      </c>
      <c r="E2" s="211" t="s">
        <v>44</v>
      </c>
      <c r="F2" s="211" t="s">
        <v>26</v>
      </c>
      <c r="G2" s="211" t="s">
        <v>27</v>
      </c>
      <c r="H2" s="211" t="s">
        <v>30</v>
      </c>
      <c r="I2" s="211" t="s">
        <v>30</v>
      </c>
      <c r="J2" s="211" t="s">
        <v>30</v>
      </c>
      <c r="K2" s="223" t="s">
        <v>37</v>
      </c>
      <c r="L2" s="211" t="s">
        <v>37</v>
      </c>
    </row>
    <row r="3" spans="1:12" s="80" customFormat="1" x14ac:dyDescent="0.35">
      <c r="A3" s="211" t="s">
        <v>45</v>
      </c>
      <c r="B3" s="211" t="s">
        <v>17</v>
      </c>
      <c r="C3" s="211" t="s">
        <v>19</v>
      </c>
      <c r="D3" s="211" t="s">
        <v>390</v>
      </c>
      <c r="E3" s="211" t="s">
        <v>46</v>
      </c>
      <c r="F3" s="211" t="s">
        <v>370</v>
      </c>
      <c r="G3" s="211" t="s">
        <v>28</v>
      </c>
      <c r="H3" s="211" t="s">
        <v>31</v>
      </c>
      <c r="I3" s="211" t="s">
        <v>33</v>
      </c>
      <c r="J3" s="211" t="s">
        <v>35</v>
      </c>
      <c r="K3" s="223" t="s">
        <v>38</v>
      </c>
      <c r="L3" s="211" t="s">
        <v>40</v>
      </c>
    </row>
    <row r="4" spans="1:12" s="80" customFormat="1" x14ac:dyDescent="0.35">
      <c r="A4" s="13" t="s">
        <v>47</v>
      </c>
      <c r="B4" s="14" t="s">
        <v>48</v>
      </c>
      <c r="C4" s="14" t="s">
        <v>48</v>
      </c>
      <c r="D4" s="81" t="s">
        <v>49</v>
      </c>
      <c r="E4" s="81" t="s">
        <v>49</v>
      </c>
      <c r="F4" s="81" t="s">
        <v>48</v>
      </c>
      <c r="G4" s="81" t="s">
        <v>48</v>
      </c>
      <c r="H4" s="81" t="s">
        <v>49</v>
      </c>
      <c r="I4" s="81" t="s">
        <v>49</v>
      </c>
      <c r="J4" s="14" t="s">
        <v>49</v>
      </c>
      <c r="K4" s="81" t="s">
        <v>49</v>
      </c>
      <c r="L4" s="81" t="s">
        <v>49</v>
      </c>
    </row>
    <row r="5" spans="1:12" s="80" customFormat="1" x14ac:dyDescent="0.35">
      <c r="A5" s="13" t="s">
        <v>50</v>
      </c>
      <c r="B5" s="103" t="s">
        <v>51</v>
      </c>
      <c r="C5" s="101" t="s">
        <v>52</v>
      </c>
      <c r="D5" s="103" t="s">
        <v>51</v>
      </c>
      <c r="E5" s="103" t="s">
        <v>51</v>
      </c>
      <c r="F5" s="81" t="s">
        <v>53</v>
      </c>
      <c r="G5" s="81" t="s">
        <v>54</v>
      </c>
      <c r="H5" s="101" t="s">
        <v>55</v>
      </c>
      <c r="I5" s="81" t="s">
        <v>53</v>
      </c>
      <c r="J5" s="83" t="s">
        <v>53</v>
      </c>
      <c r="K5" s="83" t="s">
        <v>56</v>
      </c>
      <c r="L5" s="83" t="s">
        <v>56</v>
      </c>
    </row>
    <row r="6" spans="1:12" s="80" customFormat="1" x14ac:dyDescent="0.35">
      <c r="A6" s="13" t="s">
        <v>57</v>
      </c>
      <c r="B6" s="82" t="s">
        <v>58</v>
      </c>
      <c r="C6" s="82" t="s">
        <v>59</v>
      </c>
      <c r="D6" s="83" t="s">
        <v>60</v>
      </c>
      <c r="E6" s="81" t="s">
        <v>61</v>
      </c>
      <c r="F6" s="86" t="s">
        <v>383</v>
      </c>
      <c r="G6" s="86" t="s">
        <v>62</v>
      </c>
      <c r="H6" s="119" t="s">
        <v>63</v>
      </c>
      <c r="I6" s="81" t="s">
        <v>61</v>
      </c>
      <c r="J6" s="81">
        <v>3</v>
      </c>
      <c r="K6" s="81" t="s">
        <v>61</v>
      </c>
      <c r="L6" s="81" t="s">
        <v>64</v>
      </c>
    </row>
    <row r="7" spans="1:12" s="80" customFormat="1" ht="77.150000000000006" customHeight="1" x14ac:dyDescent="0.35">
      <c r="A7" s="13" t="s">
        <v>65</v>
      </c>
      <c r="B7" s="84" t="s">
        <v>66</v>
      </c>
      <c r="C7" s="84" t="s">
        <v>67</v>
      </c>
      <c r="D7" s="85" t="s">
        <v>68</v>
      </c>
      <c r="E7" s="85" t="s">
        <v>68</v>
      </c>
      <c r="F7" s="81" t="s">
        <v>69</v>
      </c>
      <c r="G7" s="85" t="s">
        <v>70</v>
      </c>
      <c r="H7" s="85" t="s">
        <v>72</v>
      </c>
      <c r="I7" s="104" t="s">
        <v>71</v>
      </c>
      <c r="J7" s="82" t="s">
        <v>73</v>
      </c>
      <c r="K7" s="104" t="s">
        <v>75</v>
      </c>
      <c r="L7" s="122" t="s">
        <v>74</v>
      </c>
    </row>
    <row r="8" spans="1:12" s="80" customFormat="1" ht="29" x14ac:dyDescent="0.35">
      <c r="A8" s="13" t="s">
        <v>76</v>
      </c>
      <c r="B8" s="84" t="s">
        <v>77</v>
      </c>
      <c r="C8" s="84" t="s">
        <v>78</v>
      </c>
      <c r="D8" s="81" t="s">
        <v>79</v>
      </c>
      <c r="E8" s="81" t="s">
        <v>79</v>
      </c>
      <c r="F8" s="81" t="s">
        <v>80</v>
      </c>
      <c r="G8" s="81" t="s">
        <v>81</v>
      </c>
      <c r="H8" s="82" t="s">
        <v>82</v>
      </c>
      <c r="I8" s="120" t="s">
        <v>82</v>
      </c>
      <c r="J8" s="82" t="s">
        <v>83</v>
      </c>
      <c r="K8" s="104" t="s">
        <v>85</v>
      </c>
      <c r="L8" s="85" t="s">
        <v>84</v>
      </c>
    </row>
    <row r="9" spans="1:12" s="80" customFormat="1" ht="219" customHeight="1" x14ac:dyDescent="0.35">
      <c r="A9" s="13" t="s">
        <v>86</v>
      </c>
      <c r="B9" s="15" t="s">
        <v>87</v>
      </c>
      <c r="C9" s="15" t="s">
        <v>88</v>
      </c>
      <c r="D9" s="89" t="s">
        <v>89</v>
      </c>
      <c r="E9" s="15" t="s">
        <v>90</v>
      </c>
      <c r="F9" s="85" t="s">
        <v>372</v>
      </c>
      <c r="G9" s="85" t="s">
        <v>91</v>
      </c>
      <c r="H9" s="114" t="s">
        <v>93</v>
      </c>
      <c r="I9" s="85" t="s">
        <v>92</v>
      </c>
      <c r="J9" s="84" t="s">
        <v>94</v>
      </c>
      <c r="K9" s="85" t="s">
        <v>96</v>
      </c>
      <c r="L9" s="85" t="s">
        <v>95</v>
      </c>
    </row>
    <row r="10" spans="1:12" s="80" customFormat="1" ht="43.5" x14ac:dyDescent="0.35">
      <c r="A10" s="13" t="s">
        <v>97</v>
      </c>
      <c r="B10" s="87" t="s">
        <v>98</v>
      </c>
      <c r="C10" s="87" t="s">
        <v>99</v>
      </c>
      <c r="D10" s="81" t="s">
        <v>98</v>
      </c>
      <c r="E10" s="83" t="s">
        <v>100</v>
      </c>
      <c r="F10" s="87" t="s">
        <v>373</v>
      </c>
      <c r="G10" s="87" t="s">
        <v>99</v>
      </c>
      <c r="H10" s="85" t="s">
        <v>101</v>
      </c>
      <c r="I10" s="85" t="s">
        <v>101</v>
      </c>
      <c r="J10" s="85" t="s">
        <v>101</v>
      </c>
      <c r="K10" s="81" t="s">
        <v>98</v>
      </c>
      <c r="L10" s="87" t="s">
        <v>99</v>
      </c>
    </row>
    <row r="11" spans="1:12" s="80" customFormat="1" ht="14.5" customHeight="1" x14ac:dyDescent="0.35">
      <c r="A11" s="13" t="s">
        <v>102</v>
      </c>
      <c r="B11" s="87" t="s">
        <v>103</v>
      </c>
      <c r="C11" s="87" t="s">
        <v>103</v>
      </c>
      <c r="D11" s="83" t="s">
        <v>103</v>
      </c>
      <c r="E11" s="83" t="s">
        <v>103</v>
      </c>
      <c r="F11" s="83" t="s">
        <v>103</v>
      </c>
      <c r="G11" s="83" t="s">
        <v>103</v>
      </c>
      <c r="H11" s="81" t="s">
        <v>103</v>
      </c>
      <c r="I11" s="81" t="s">
        <v>103</v>
      </c>
      <c r="J11" s="14" t="s">
        <v>103</v>
      </c>
      <c r="K11" s="81" t="s">
        <v>103</v>
      </c>
      <c r="L11" s="83" t="s">
        <v>103</v>
      </c>
    </row>
    <row r="12" spans="1:12" s="80" customFormat="1" ht="14.5" customHeight="1" x14ac:dyDescent="0.35">
      <c r="A12" s="13" t="s">
        <v>104</v>
      </c>
      <c r="B12" s="87" t="s">
        <v>105</v>
      </c>
      <c r="C12" s="87" t="s">
        <v>105</v>
      </c>
      <c r="D12" s="83" t="s">
        <v>105</v>
      </c>
      <c r="E12" s="83" t="s">
        <v>105</v>
      </c>
      <c r="F12" s="83" t="s">
        <v>105</v>
      </c>
      <c r="G12" s="83" t="s">
        <v>105</v>
      </c>
      <c r="H12" s="81" t="s">
        <v>105</v>
      </c>
      <c r="I12" s="81" t="s">
        <v>105</v>
      </c>
      <c r="J12" s="14" t="s">
        <v>105</v>
      </c>
      <c r="K12" s="81" t="s">
        <v>105</v>
      </c>
      <c r="L12" s="83" t="s">
        <v>105</v>
      </c>
    </row>
    <row r="13" spans="1:12" s="80" customFormat="1" ht="409.4" customHeight="1" x14ac:dyDescent="0.35">
      <c r="A13" s="116" t="s">
        <v>106</v>
      </c>
      <c r="B13" s="92" t="s">
        <v>107</v>
      </c>
      <c r="C13" s="93" t="s">
        <v>108</v>
      </c>
      <c r="D13" s="91" t="s">
        <v>109</v>
      </c>
      <c r="E13" s="91" t="s">
        <v>110</v>
      </c>
      <c r="F13" s="124" t="s">
        <v>382</v>
      </c>
      <c r="G13" s="161" t="s">
        <v>111</v>
      </c>
      <c r="H13" s="90" t="s">
        <v>113</v>
      </c>
      <c r="I13" s="91" t="s">
        <v>112</v>
      </c>
      <c r="J13" s="183" t="s">
        <v>114</v>
      </c>
      <c r="K13" s="161" t="s">
        <v>116</v>
      </c>
      <c r="L13" s="91" t="s">
        <v>115</v>
      </c>
    </row>
    <row r="14" spans="1:12" s="80" customFormat="1" ht="388" customHeight="1" x14ac:dyDescent="0.35">
      <c r="A14" s="107" t="s">
        <v>117</v>
      </c>
      <c r="B14" s="93" t="s">
        <v>118</v>
      </c>
      <c r="C14" s="93" t="s">
        <v>119</v>
      </c>
      <c r="D14" s="92" t="s">
        <v>120</v>
      </c>
      <c r="E14" s="92" t="s">
        <v>121</v>
      </c>
      <c r="F14" s="93" t="s">
        <v>391</v>
      </c>
      <c r="G14" s="162" t="s">
        <v>122</v>
      </c>
      <c r="H14" s="117" t="s">
        <v>124</v>
      </c>
      <c r="I14" s="93" t="s">
        <v>123</v>
      </c>
      <c r="J14" s="183" t="s">
        <v>125</v>
      </c>
      <c r="K14" s="174" t="s">
        <v>127</v>
      </c>
      <c r="L14" s="93" t="s">
        <v>126</v>
      </c>
    </row>
    <row r="15" spans="1:12" s="105" customFormat="1" ht="174" x14ac:dyDescent="0.35">
      <c r="A15" s="108" t="s">
        <v>128</v>
      </c>
      <c r="B15" s="94" t="s">
        <v>129</v>
      </c>
      <c r="C15" s="95" t="s">
        <v>130</v>
      </c>
      <c r="D15" s="94" t="s">
        <v>129</v>
      </c>
      <c r="E15" s="94" t="s">
        <v>129</v>
      </c>
      <c r="F15" s="95" t="s">
        <v>131</v>
      </c>
      <c r="G15" s="95" t="s">
        <v>132</v>
      </c>
      <c r="H15" s="95" t="s">
        <v>133</v>
      </c>
      <c r="I15" s="95" t="s">
        <v>133</v>
      </c>
      <c r="J15" s="95" t="s">
        <v>133</v>
      </c>
      <c r="K15" s="95" t="s">
        <v>134</v>
      </c>
      <c r="L15" s="95" t="s">
        <v>134</v>
      </c>
    </row>
    <row r="16" spans="1:12" s="80" customFormat="1" ht="36" customHeight="1" x14ac:dyDescent="0.35">
      <c r="A16" s="108" t="s">
        <v>135</v>
      </c>
      <c r="B16" s="94" t="s">
        <v>136</v>
      </c>
      <c r="C16" s="94" t="s">
        <v>136</v>
      </c>
      <c r="D16" s="94" t="s">
        <v>137</v>
      </c>
      <c r="E16" s="94" t="s">
        <v>137</v>
      </c>
      <c r="F16" s="94" t="s">
        <v>136</v>
      </c>
      <c r="G16" s="94" t="s">
        <v>138</v>
      </c>
      <c r="H16" s="94" t="s">
        <v>136</v>
      </c>
      <c r="I16" s="94" t="s">
        <v>139</v>
      </c>
      <c r="J16" s="94" t="s">
        <v>136</v>
      </c>
      <c r="K16" s="94" t="s">
        <v>136</v>
      </c>
      <c r="L16" s="94" t="s">
        <v>136</v>
      </c>
    </row>
    <row r="17" spans="1:12" s="80" customFormat="1" ht="145" x14ac:dyDescent="0.35">
      <c r="A17" s="108" t="s">
        <v>140</v>
      </c>
      <c r="B17" s="95" t="s">
        <v>141</v>
      </c>
      <c r="C17" s="95" t="s">
        <v>142</v>
      </c>
      <c r="D17" s="96" t="s">
        <v>143</v>
      </c>
      <c r="E17" s="96" t="s">
        <v>144</v>
      </c>
      <c r="F17" s="95" t="s">
        <v>145</v>
      </c>
      <c r="G17" s="95" t="s">
        <v>145</v>
      </c>
      <c r="H17" s="87" t="s">
        <v>142</v>
      </c>
      <c r="I17" s="94" t="s">
        <v>146</v>
      </c>
      <c r="J17" s="95" t="s">
        <v>145</v>
      </c>
      <c r="K17" s="94" t="s">
        <v>142</v>
      </c>
      <c r="L17" s="94" t="s">
        <v>142</v>
      </c>
    </row>
    <row r="18" spans="1:12" s="80" customFormat="1" ht="201.5" customHeight="1" x14ac:dyDescent="0.35">
      <c r="A18" s="108" t="s">
        <v>147</v>
      </c>
      <c r="B18" s="160" t="s">
        <v>148</v>
      </c>
      <c r="C18" s="95" t="s">
        <v>149</v>
      </c>
      <c r="D18" s="96" t="s">
        <v>150</v>
      </c>
      <c r="E18" s="96" t="s">
        <v>150</v>
      </c>
      <c r="F18" s="95" t="s">
        <v>371</v>
      </c>
      <c r="G18" s="95" t="s">
        <v>151</v>
      </c>
      <c r="H18" s="88" t="s">
        <v>153</v>
      </c>
      <c r="I18" s="95" t="s">
        <v>152</v>
      </c>
      <c r="J18" s="88" t="s">
        <v>154</v>
      </c>
      <c r="K18" s="95" t="s">
        <v>155</v>
      </c>
      <c r="L18" s="95" t="s">
        <v>155</v>
      </c>
    </row>
    <row r="19" spans="1:12" s="80" customFormat="1" ht="87" x14ac:dyDescent="0.35">
      <c r="A19" s="13" t="s">
        <v>156</v>
      </c>
      <c r="B19" s="97" t="s">
        <v>157</v>
      </c>
      <c r="C19" s="97" t="s">
        <v>158</v>
      </c>
      <c r="D19" s="97" t="s">
        <v>158</v>
      </c>
      <c r="E19" s="97" t="s">
        <v>159</v>
      </c>
      <c r="F19" s="98" t="s">
        <v>374</v>
      </c>
      <c r="G19" s="98" t="s">
        <v>160</v>
      </c>
      <c r="H19" s="118" t="s">
        <v>162</v>
      </c>
      <c r="I19" s="121" t="s">
        <v>161</v>
      </c>
      <c r="J19" s="97" t="s">
        <v>158</v>
      </c>
      <c r="K19" s="175" t="s">
        <v>164</v>
      </c>
      <c r="L19" s="98" t="s">
        <v>163</v>
      </c>
    </row>
    <row r="20" spans="1:12" s="80" customFormat="1" ht="64.5" customHeight="1" x14ac:dyDescent="0.35">
      <c r="A20" s="109" t="s">
        <v>165</v>
      </c>
      <c r="B20" s="98" t="s">
        <v>376</v>
      </c>
      <c r="C20" s="98" t="s">
        <v>166</v>
      </c>
      <c r="D20" s="97" t="s">
        <v>167</v>
      </c>
      <c r="E20" s="97" t="s">
        <v>167</v>
      </c>
      <c r="F20" s="98" t="s">
        <v>375</v>
      </c>
      <c r="G20" s="98" t="s">
        <v>168</v>
      </c>
      <c r="H20" s="115" t="s">
        <v>170</v>
      </c>
      <c r="I20" s="97" t="s">
        <v>169</v>
      </c>
      <c r="J20" s="98" t="s">
        <v>169</v>
      </c>
      <c r="K20" s="98" t="s">
        <v>171</v>
      </c>
      <c r="L20" s="98" t="s">
        <v>171</v>
      </c>
    </row>
    <row r="21" spans="1:12" s="80" customFormat="1" ht="67.5" customHeight="1" x14ac:dyDescent="0.35">
      <c r="A21" s="13" t="s">
        <v>172</v>
      </c>
      <c r="B21" s="14" t="s">
        <v>173</v>
      </c>
      <c r="C21" s="81" t="s">
        <v>173</v>
      </c>
      <c r="D21" s="81" t="s">
        <v>173</v>
      </c>
      <c r="E21" s="81" t="s">
        <v>173</v>
      </c>
      <c r="F21" s="85" t="s">
        <v>174</v>
      </c>
      <c r="G21" s="83" t="s">
        <v>173</v>
      </c>
      <c r="H21" s="81" t="s">
        <v>173</v>
      </c>
      <c r="I21" s="83" t="s">
        <v>173</v>
      </c>
      <c r="J21" s="14" t="s">
        <v>173</v>
      </c>
      <c r="K21" s="120" t="s">
        <v>176</v>
      </c>
      <c r="L21" s="120" t="s">
        <v>175</v>
      </c>
    </row>
    <row r="22" spans="1:12" s="80" customFormat="1" ht="309" customHeight="1" x14ac:dyDescent="0.35">
      <c r="A22" s="109" t="s">
        <v>177</v>
      </c>
      <c r="B22" s="88" t="s">
        <v>178</v>
      </c>
      <c r="C22" s="88" t="s">
        <v>179</v>
      </c>
      <c r="D22" s="104" t="s">
        <v>180</v>
      </c>
      <c r="E22" s="104" t="s">
        <v>181</v>
      </c>
      <c r="F22" s="104" t="s">
        <v>182</v>
      </c>
      <c r="G22" s="104" t="s">
        <v>183</v>
      </c>
      <c r="H22" s="104" t="s">
        <v>185</v>
      </c>
      <c r="I22" s="120" t="s">
        <v>184</v>
      </c>
      <c r="J22" s="120" t="s">
        <v>184</v>
      </c>
      <c r="K22" s="104" t="s">
        <v>187</v>
      </c>
      <c r="L22" s="104" t="s">
        <v>186</v>
      </c>
    </row>
    <row r="23" spans="1:12" s="80" customFormat="1" ht="144.65" customHeight="1" x14ac:dyDescent="0.35">
      <c r="A23" s="108" t="s">
        <v>188</v>
      </c>
      <c r="B23" s="98" t="s">
        <v>189</v>
      </c>
      <c r="C23" s="98" t="s">
        <v>190</v>
      </c>
      <c r="D23" s="97" t="s">
        <v>189</v>
      </c>
      <c r="E23" s="98" t="s">
        <v>191</v>
      </c>
      <c r="F23" s="99" t="s">
        <v>192</v>
      </c>
      <c r="G23" s="99" t="s">
        <v>193</v>
      </c>
      <c r="H23" s="99" t="s">
        <v>195</v>
      </c>
      <c r="I23" s="99" t="s">
        <v>194</v>
      </c>
      <c r="J23" s="99" t="s">
        <v>195</v>
      </c>
      <c r="K23" s="99" t="s">
        <v>196</v>
      </c>
      <c r="L23" s="99" t="s">
        <v>196</v>
      </c>
    </row>
    <row r="24" spans="1:12" s="80" customFormat="1" ht="75" customHeight="1" x14ac:dyDescent="0.35">
      <c r="A24" s="108" t="s">
        <v>197</v>
      </c>
      <c r="B24" s="98" t="s">
        <v>189</v>
      </c>
      <c r="C24" s="97" t="s">
        <v>189</v>
      </c>
      <c r="D24" s="97" t="s">
        <v>189</v>
      </c>
      <c r="E24" s="97" t="s">
        <v>189</v>
      </c>
      <c r="F24" s="97" t="s">
        <v>189</v>
      </c>
      <c r="G24" s="98" t="s">
        <v>198</v>
      </c>
      <c r="H24" s="97" t="s">
        <v>189</v>
      </c>
      <c r="I24" s="97" t="s">
        <v>189</v>
      </c>
      <c r="J24" s="97" t="s">
        <v>189</v>
      </c>
      <c r="K24" s="97" t="s">
        <v>189</v>
      </c>
      <c r="L24" s="97" t="s">
        <v>189</v>
      </c>
    </row>
    <row r="25" spans="1:12" s="80" customFormat="1" ht="31.5" customHeight="1" x14ac:dyDescent="0.35">
      <c r="A25" s="108" t="s">
        <v>199</v>
      </c>
      <c r="B25" s="98" t="s">
        <v>200</v>
      </c>
      <c r="C25" s="97" t="s">
        <v>200</v>
      </c>
      <c r="D25" s="97" t="s">
        <v>200</v>
      </c>
      <c r="E25" s="97" t="s">
        <v>200</v>
      </c>
      <c r="F25" s="97" t="s">
        <v>200</v>
      </c>
      <c r="G25" s="97" t="s">
        <v>200</v>
      </c>
      <c r="H25" s="100" t="s">
        <v>201</v>
      </c>
      <c r="I25" s="100" t="s">
        <v>201</v>
      </c>
      <c r="J25" s="100" t="s">
        <v>201</v>
      </c>
      <c r="K25" s="97" t="s">
        <v>200</v>
      </c>
      <c r="L25" s="97" t="s">
        <v>200</v>
      </c>
    </row>
    <row r="26" spans="1:12" s="105" customFormat="1" ht="164.9" customHeight="1" x14ac:dyDescent="0.35">
      <c r="A26" s="109" t="s">
        <v>202</v>
      </c>
      <c r="B26" s="98" t="s">
        <v>200</v>
      </c>
      <c r="C26" s="98" t="s">
        <v>200</v>
      </c>
      <c r="D26" s="97" t="s">
        <v>200</v>
      </c>
      <c r="E26" s="97" t="s">
        <v>200</v>
      </c>
      <c r="F26" s="97" t="s">
        <v>200</v>
      </c>
      <c r="G26" s="97" t="s">
        <v>200</v>
      </c>
      <c r="H26" s="99" t="s">
        <v>204</v>
      </c>
      <c r="I26" s="99" t="s">
        <v>203</v>
      </c>
      <c r="J26" s="87" t="s">
        <v>200</v>
      </c>
      <c r="K26" s="97" t="s">
        <v>200</v>
      </c>
      <c r="L26" s="97" t="s">
        <v>200</v>
      </c>
    </row>
    <row r="27" spans="1:12" s="80" customFormat="1" ht="44.25" customHeight="1" x14ac:dyDescent="0.35">
      <c r="A27" s="108" t="s">
        <v>377</v>
      </c>
      <c r="B27" s="98" t="s">
        <v>205</v>
      </c>
      <c r="C27" s="98" t="s">
        <v>205</v>
      </c>
      <c r="D27" s="98" t="s">
        <v>206</v>
      </c>
      <c r="E27" s="98" t="s">
        <v>206</v>
      </c>
      <c r="F27" s="98" t="s">
        <v>392</v>
      </c>
      <c r="G27" s="98" t="s">
        <v>207</v>
      </c>
      <c r="H27" s="88" t="s">
        <v>208</v>
      </c>
      <c r="I27" s="88" t="s">
        <v>208</v>
      </c>
      <c r="J27" s="88" t="s">
        <v>208</v>
      </c>
      <c r="K27" s="97" t="s">
        <v>209</v>
      </c>
      <c r="L27" s="98" t="s">
        <v>379</v>
      </c>
    </row>
    <row r="28" spans="1:12" s="80" customFormat="1" ht="44.25" customHeight="1" x14ac:dyDescent="0.35">
      <c r="A28" s="108" t="s">
        <v>378</v>
      </c>
      <c r="B28" s="98" t="s">
        <v>210</v>
      </c>
      <c r="C28" s="98" t="s">
        <v>210</v>
      </c>
      <c r="D28" s="98" t="s">
        <v>211</v>
      </c>
      <c r="E28" s="98" t="s">
        <v>211</v>
      </c>
      <c r="F28" s="88" t="s">
        <v>381</v>
      </c>
      <c r="G28" s="98" t="s">
        <v>212</v>
      </c>
      <c r="H28" s="88" t="s">
        <v>213</v>
      </c>
      <c r="I28" s="88" t="s">
        <v>213</v>
      </c>
      <c r="J28" s="88" t="s">
        <v>213</v>
      </c>
      <c r="K28" s="88" t="s">
        <v>214</v>
      </c>
      <c r="L28" s="88" t="s">
        <v>380</v>
      </c>
    </row>
    <row r="29" spans="1:12" s="80" customFormat="1" ht="99" customHeight="1" x14ac:dyDescent="0.35">
      <c r="A29" s="13" t="s">
        <v>215</v>
      </c>
      <c r="B29" s="101" t="s">
        <v>216</v>
      </c>
      <c r="C29" s="101" t="s">
        <v>216</v>
      </c>
      <c r="D29" s="102" t="s">
        <v>217</v>
      </c>
      <c r="E29" s="102" t="s">
        <v>217</v>
      </c>
      <c r="F29" s="97" t="s">
        <v>189</v>
      </c>
      <c r="G29" s="163" t="s">
        <v>218</v>
      </c>
      <c r="H29" s="102" t="s">
        <v>220</v>
      </c>
      <c r="I29" s="101" t="s">
        <v>219</v>
      </c>
      <c r="J29" s="84" t="s">
        <v>221</v>
      </c>
      <c r="K29" s="103" t="s">
        <v>222</v>
      </c>
      <c r="L29" s="97" t="s">
        <v>189</v>
      </c>
    </row>
    <row r="30" spans="1:12" s="80" customFormat="1" ht="266.5" customHeight="1" x14ac:dyDescent="0.35">
      <c r="A30" s="13" t="s">
        <v>223</v>
      </c>
      <c r="B30" s="101" t="s">
        <v>224</v>
      </c>
      <c r="C30" s="101" t="s">
        <v>225</v>
      </c>
      <c r="D30" s="101" t="s">
        <v>226</v>
      </c>
      <c r="E30" s="101" t="s">
        <v>227</v>
      </c>
      <c r="F30" s="101" t="s">
        <v>393</v>
      </c>
      <c r="G30" s="101" t="s">
        <v>228</v>
      </c>
      <c r="H30" s="101" t="s">
        <v>230</v>
      </c>
      <c r="I30" s="101" t="s">
        <v>229</v>
      </c>
      <c r="J30" s="101" t="s">
        <v>231</v>
      </c>
      <c r="K30" s="101" t="s">
        <v>233</v>
      </c>
      <c r="L30" s="101" t="s">
        <v>232</v>
      </c>
    </row>
  </sheetData>
  <sheetProtection algorithmName="SHA-512" hashValue="Czj7W72+Cx1o4CHovqymzYKiyrNEmawxoLOEigdNEESo6W0/gTWCROn5kE12wCYxOEA3EgNX4W3uGn05/Ap3CQ==" saltValue="5B3atC1gamZGd0QuJmqo1w==" spinCount="100000" sheet="1" objects="1" scenarios="1" selectLockedCells="1" autoFilter="0" selectUnlockedCells="1"/>
  <mergeCells count="1">
    <mergeCell ref="A1:L1"/>
  </mergeCells>
  <printOptions horizontalCentered="1" verticalCentered="1"/>
  <pageMargins left="0" right="0" top="0" bottom="0" header="0" footer="0"/>
  <pageSetup paperSize="9" scale="56" fitToHeight="0" orientation="landscape" r:id="rId1"/>
  <headerFooter>
    <oddFooter>&amp;L_x000D_&amp;1#&amp;"Calibri"&amp;8&amp;K008000 Public</oddFooter>
  </headerFooter>
  <ignoredErrors>
    <ignoredError sqref="C6" twoDigitTextYear="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L94"/>
  <sheetViews>
    <sheetView showGridLines="0" zoomScale="70" zoomScaleNormal="70" workbookViewId="0">
      <pane xSplit="1" ySplit="7" topLeftCell="B8" activePane="bottomRight" state="frozen"/>
      <selection pane="topRight" activeCell="B1" sqref="B1"/>
      <selection pane="bottomLeft" activeCell="A8" sqref="A8"/>
      <selection pane="bottomRight" activeCell="E11" sqref="E11:E19"/>
    </sheetView>
  </sheetViews>
  <sheetFormatPr defaultColWidth="9.1796875" defaultRowHeight="15.5" x14ac:dyDescent="0.35"/>
  <cols>
    <col min="1" max="1" width="48.81640625" style="17" customWidth="1"/>
    <col min="2" max="2" width="34.90625" style="17" bestFit="1" customWidth="1"/>
    <col min="3" max="3" width="25.90625" style="17" bestFit="1" customWidth="1"/>
    <col min="4" max="4" width="34.453125" style="17" customWidth="1"/>
    <col min="5" max="6" width="23.6328125" style="17" bestFit="1" customWidth="1"/>
    <col min="7" max="7" width="21.90625" style="17" bestFit="1" customWidth="1"/>
    <col min="8" max="8" width="4.81640625" style="17" customWidth="1"/>
    <col min="9" max="9" width="70.453125" style="17" customWidth="1"/>
    <col min="10" max="16384" width="9.1796875" style="17"/>
  </cols>
  <sheetData>
    <row r="1" spans="1:12" x14ac:dyDescent="0.35">
      <c r="A1" s="273" t="s">
        <v>234</v>
      </c>
      <c r="B1" s="273"/>
      <c r="C1" s="273"/>
      <c r="D1" s="157"/>
      <c r="E1" s="157"/>
      <c r="F1" s="157"/>
      <c r="G1" s="157"/>
      <c r="H1" s="16"/>
      <c r="I1" s="16"/>
      <c r="J1" s="16"/>
      <c r="K1" s="16"/>
      <c r="L1" s="16"/>
    </row>
    <row r="2" spans="1:12" x14ac:dyDescent="0.35">
      <c r="A2" s="273"/>
      <c r="B2" s="273"/>
      <c r="C2" s="273"/>
      <c r="D2" s="157"/>
      <c r="E2" s="157"/>
      <c r="F2" s="157"/>
      <c r="G2" s="157"/>
      <c r="H2" s="16"/>
      <c r="I2" s="16"/>
      <c r="J2" s="16"/>
      <c r="K2" s="16"/>
      <c r="L2" s="16"/>
    </row>
    <row r="3" spans="1:12" x14ac:dyDescent="0.35">
      <c r="A3" s="18" t="s">
        <v>235</v>
      </c>
      <c r="B3" s="18"/>
      <c r="C3" s="18"/>
    </row>
    <row r="4" spans="1:12" x14ac:dyDescent="0.35">
      <c r="A4" s="18" t="s">
        <v>236</v>
      </c>
      <c r="B4" s="18"/>
      <c r="C4" s="18"/>
      <c r="F4" s="157"/>
      <c r="G4" s="157"/>
    </row>
    <row r="5" spans="1:12" ht="31.5" thickBot="1" x14ac:dyDescent="0.4">
      <c r="A5" s="18" t="s">
        <v>237</v>
      </c>
      <c r="B5" s="18"/>
      <c r="C5" s="18"/>
    </row>
    <row r="6" spans="1:12" ht="16" thickBot="1" x14ac:dyDescent="0.4">
      <c r="A6" s="274" t="s">
        <v>238</v>
      </c>
      <c r="B6" s="178" t="s">
        <v>16</v>
      </c>
      <c r="C6" s="178" t="s">
        <v>16</v>
      </c>
      <c r="D6" s="178" t="s">
        <v>26</v>
      </c>
      <c r="E6" s="178" t="s">
        <v>27</v>
      </c>
      <c r="F6" s="178" t="s">
        <v>37</v>
      </c>
      <c r="G6" s="178" t="s">
        <v>30</v>
      </c>
      <c r="H6" s="19"/>
      <c r="I6" s="20" t="s">
        <v>239</v>
      </c>
      <c r="J6" s="19"/>
      <c r="L6" s="21"/>
    </row>
    <row r="7" spans="1:12" x14ac:dyDescent="0.35">
      <c r="A7" s="274"/>
      <c r="B7" s="178" t="s">
        <v>240</v>
      </c>
      <c r="C7" s="178" t="s">
        <v>241</v>
      </c>
      <c r="D7" s="178" t="s">
        <v>370</v>
      </c>
      <c r="E7" s="178" t="s">
        <v>28</v>
      </c>
      <c r="F7" s="178" t="s">
        <v>40</v>
      </c>
      <c r="G7" s="178" t="s">
        <v>35</v>
      </c>
      <c r="H7" s="22"/>
      <c r="I7" s="259" t="s">
        <v>409</v>
      </c>
      <c r="J7" s="22"/>
      <c r="L7" s="23"/>
    </row>
    <row r="8" spans="1:12" x14ac:dyDescent="0.35">
      <c r="A8" s="24" t="s">
        <v>242</v>
      </c>
      <c r="B8" s="25">
        <v>4.2500000000000003E-2</v>
      </c>
      <c r="C8" s="25">
        <v>4.2500000000000003E-2</v>
      </c>
      <c r="D8" s="25">
        <v>4.2500000000000003E-2</v>
      </c>
      <c r="E8" s="25">
        <v>4.2500000000000003E-2</v>
      </c>
      <c r="F8" s="25">
        <v>4.2500000000000003E-2</v>
      </c>
      <c r="G8" s="25">
        <v>4.2500000000000003E-2</v>
      </c>
      <c r="H8" s="26"/>
      <c r="I8" s="260"/>
      <c r="J8" s="26"/>
      <c r="L8" s="27"/>
    </row>
    <row r="9" spans="1:12" x14ac:dyDescent="0.35">
      <c r="A9" s="28" t="s">
        <v>243</v>
      </c>
      <c r="B9" s="29" t="s">
        <v>244</v>
      </c>
      <c r="C9" s="29" t="s">
        <v>244</v>
      </c>
      <c r="D9" s="29" t="s">
        <v>244</v>
      </c>
      <c r="E9" s="29" t="s">
        <v>244</v>
      </c>
      <c r="F9" s="29" t="s">
        <v>245</v>
      </c>
      <c r="G9" s="29" t="s">
        <v>245</v>
      </c>
      <c r="H9" s="30"/>
      <c r="I9" s="260"/>
      <c r="J9" s="30"/>
    </row>
    <row r="10" spans="1:12" x14ac:dyDescent="0.35">
      <c r="A10" s="31" t="s">
        <v>57</v>
      </c>
      <c r="B10" s="32">
        <v>3</v>
      </c>
      <c r="C10" s="32">
        <v>3</v>
      </c>
      <c r="D10" s="32">
        <v>3</v>
      </c>
      <c r="E10" s="32">
        <v>3</v>
      </c>
      <c r="F10" s="32">
        <v>3</v>
      </c>
      <c r="G10" s="32">
        <v>3</v>
      </c>
      <c r="H10" s="30"/>
      <c r="I10" s="260"/>
      <c r="J10" s="30"/>
    </row>
    <row r="11" spans="1:12" ht="46.5" x14ac:dyDescent="0.35">
      <c r="A11" s="31" t="s">
        <v>246</v>
      </c>
      <c r="B11" s="33" t="s">
        <v>247</v>
      </c>
      <c r="C11" s="33" t="s">
        <v>248</v>
      </c>
      <c r="D11" s="219" t="s">
        <v>400</v>
      </c>
      <c r="E11" s="123" t="s">
        <v>250</v>
      </c>
      <c r="F11" s="123" t="s">
        <v>249</v>
      </c>
      <c r="G11" s="33" t="s">
        <v>247</v>
      </c>
      <c r="H11" s="30"/>
      <c r="I11" s="260"/>
      <c r="J11" s="30"/>
    </row>
    <row r="12" spans="1:12" x14ac:dyDescent="0.35">
      <c r="A12" s="31" t="s">
        <v>251</v>
      </c>
      <c r="B12" s="34">
        <v>273000</v>
      </c>
      <c r="C12" s="146">
        <v>600000</v>
      </c>
      <c r="D12" s="35" t="s">
        <v>252</v>
      </c>
      <c r="E12" s="131">
        <v>900000</v>
      </c>
      <c r="F12" s="146">
        <v>740800</v>
      </c>
      <c r="G12" s="146">
        <v>333333.34999999998</v>
      </c>
      <c r="H12" s="30"/>
      <c r="I12" s="260"/>
      <c r="J12" s="30"/>
    </row>
    <row r="13" spans="1:12" x14ac:dyDescent="0.35">
      <c r="A13" s="281" t="s">
        <v>253</v>
      </c>
      <c r="B13" s="286">
        <v>6006</v>
      </c>
      <c r="C13" s="129" t="s">
        <v>254</v>
      </c>
      <c r="D13" s="262">
        <v>6030</v>
      </c>
      <c r="E13" s="131" t="s">
        <v>255</v>
      </c>
      <c r="F13" s="262">
        <v>6000</v>
      </c>
      <c r="G13" s="262">
        <v>6000</v>
      </c>
      <c r="H13" s="37"/>
      <c r="I13" s="260"/>
      <c r="J13" s="37"/>
    </row>
    <row r="14" spans="1:12" x14ac:dyDescent="0.35">
      <c r="A14" s="282"/>
      <c r="B14" s="287"/>
      <c r="C14" s="133">
        <v>6000</v>
      </c>
      <c r="D14" s="263"/>
      <c r="E14" s="52">
        <f>E25*0.02</f>
        <v>6000</v>
      </c>
      <c r="F14" s="263"/>
      <c r="G14" s="263"/>
      <c r="H14" s="37"/>
      <c r="I14" s="260"/>
      <c r="J14" s="37"/>
    </row>
    <row r="15" spans="1:12" x14ac:dyDescent="0.35">
      <c r="A15" s="282"/>
      <c r="B15" s="287"/>
      <c r="C15" s="129" t="s">
        <v>256</v>
      </c>
      <c r="D15" s="263"/>
      <c r="E15" s="154" t="s">
        <v>257</v>
      </c>
      <c r="F15" s="263"/>
      <c r="G15" s="263"/>
      <c r="H15" s="37"/>
      <c r="I15" s="260"/>
      <c r="J15" s="37"/>
    </row>
    <row r="16" spans="1:12" x14ac:dyDescent="0.35">
      <c r="A16" s="282"/>
      <c r="B16" s="287"/>
      <c r="C16" s="130">
        <v>7680</v>
      </c>
      <c r="D16" s="263"/>
      <c r="E16" s="154">
        <f>E25*0.03</f>
        <v>9000</v>
      </c>
      <c r="F16" s="263"/>
      <c r="G16" s="263"/>
      <c r="H16" s="37"/>
      <c r="I16" s="260"/>
      <c r="J16" s="37"/>
    </row>
    <row r="17" spans="1:10" x14ac:dyDescent="0.35">
      <c r="A17" s="282"/>
      <c r="B17" s="287"/>
      <c r="C17" s="133" t="s">
        <v>258</v>
      </c>
      <c r="D17" s="263"/>
      <c r="E17" s="154"/>
      <c r="F17" s="263"/>
      <c r="G17" s="263"/>
      <c r="H17" s="37"/>
      <c r="I17" s="260"/>
      <c r="J17" s="37"/>
    </row>
    <row r="18" spans="1:10" x14ac:dyDescent="0.35">
      <c r="A18" s="282"/>
      <c r="B18" s="287"/>
      <c r="C18" s="130">
        <v>8220</v>
      </c>
      <c r="D18" s="264"/>
      <c r="E18" s="52"/>
      <c r="F18" s="264"/>
      <c r="G18" s="264"/>
      <c r="H18" s="37"/>
      <c r="I18" s="260"/>
      <c r="J18" s="37"/>
    </row>
    <row r="19" spans="1:10" x14ac:dyDescent="0.35">
      <c r="A19" s="278" t="s">
        <v>259</v>
      </c>
      <c r="B19" s="129" t="s">
        <v>260</v>
      </c>
      <c r="C19" s="201" t="s">
        <v>254</v>
      </c>
      <c r="D19" s="289" t="s">
        <v>385</v>
      </c>
      <c r="E19" s="131" t="s">
        <v>255</v>
      </c>
      <c r="F19" s="262">
        <v>24001</v>
      </c>
      <c r="G19" s="188" t="s">
        <v>261</v>
      </c>
      <c r="H19" s="37"/>
      <c r="I19" s="260"/>
      <c r="J19" s="37"/>
    </row>
    <row r="20" spans="1:10" x14ac:dyDescent="0.35">
      <c r="A20" s="279"/>
      <c r="B20" s="133">
        <v>14196</v>
      </c>
      <c r="C20" s="201">
        <v>13920</v>
      </c>
      <c r="D20" s="263"/>
      <c r="E20" s="52">
        <f>E25*7%</f>
        <v>21000.000000000004</v>
      </c>
      <c r="F20" s="263"/>
      <c r="G20" s="190">
        <f>6000+11900</f>
        <v>17900</v>
      </c>
      <c r="H20" s="37"/>
      <c r="I20" s="260"/>
      <c r="J20" s="37"/>
    </row>
    <row r="21" spans="1:10" x14ac:dyDescent="0.35">
      <c r="A21" s="279"/>
      <c r="B21" s="133" t="s">
        <v>262</v>
      </c>
      <c r="C21" s="129" t="s">
        <v>256</v>
      </c>
      <c r="D21" s="263"/>
      <c r="E21" s="154" t="s">
        <v>257</v>
      </c>
      <c r="F21" s="263"/>
      <c r="G21" s="189" t="s">
        <v>263</v>
      </c>
      <c r="H21" s="37"/>
      <c r="I21" s="260"/>
      <c r="J21" s="37"/>
    </row>
    <row r="22" spans="1:10" x14ac:dyDescent="0.35">
      <c r="A22" s="279"/>
      <c r="B22" s="202">
        <v>15561</v>
      </c>
      <c r="C22" s="130">
        <v>20280</v>
      </c>
      <c r="D22" s="290"/>
      <c r="E22" s="154">
        <f>E25*10.2%</f>
        <v>30599.999999999996</v>
      </c>
      <c r="F22" s="265"/>
      <c r="G22" s="191">
        <f>6000+14867</f>
        <v>20867</v>
      </c>
      <c r="H22" s="37"/>
      <c r="I22" s="260"/>
      <c r="J22" s="37"/>
    </row>
    <row r="23" spans="1:10" x14ac:dyDescent="0.35">
      <c r="A23" s="279"/>
      <c r="B23" s="202"/>
      <c r="C23" s="201" t="s">
        <v>258</v>
      </c>
      <c r="D23" s="263"/>
      <c r="E23" s="154"/>
      <c r="F23" s="263"/>
      <c r="G23" s="186"/>
      <c r="H23" s="37"/>
      <c r="I23" s="260"/>
      <c r="J23" s="37"/>
    </row>
    <row r="24" spans="1:10" x14ac:dyDescent="0.35">
      <c r="A24" s="280"/>
      <c r="B24" s="203"/>
      <c r="C24" s="204">
        <v>21720</v>
      </c>
      <c r="D24" s="264"/>
      <c r="E24" s="52"/>
      <c r="F24" s="264"/>
      <c r="G24" s="187"/>
      <c r="H24" s="37"/>
      <c r="I24" s="260"/>
      <c r="J24" s="37"/>
    </row>
    <row r="25" spans="1:10" x14ac:dyDescent="0.35">
      <c r="A25" s="31" t="s">
        <v>264</v>
      </c>
      <c r="B25" s="136">
        <v>150248.29999999999</v>
      </c>
      <c r="C25" s="136">
        <v>199999.8</v>
      </c>
      <c r="D25" s="206">
        <v>134000</v>
      </c>
      <c r="E25" s="35">
        <v>300000</v>
      </c>
      <c r="F25" s="35">
        <v>246686</v>
      </c>
      <c r="G25" s="35">
        <v>201093.9</v>
      </c>
      <c r="H25" s="37"/>
      <c r="I25" s="260"/>
      <c r="J25" s="37"/>
    </row>
    <row r="26" spans="1:10" x14ac:dyDescent="0.35">
      <c r="A26" s="31" t="s">
        <v>265</v>
      </c>
      <c r="B26" s="67">
        <f>B25*3</f>
        <v>450744.89999999997</v>
      </c>
      <c r="C26" s="67">
        <f>C25*3</f>
        <v>599999.39999999991</v>
      </c>
      <c r="D26" s="207">
        <f>D25*3</f>
        <v>402000</v>
      </c>
      <c r="E26" s="67">
        <f>E25*E10</f>
        <v>900000</v>
      </c>
      <c r="F26" s="67">
        <f>F25*3</f>
        <v>740058</v>
      </c>
      <c r="G26" s="67">
        <f>G25*3</f>
        <v>603281.69999999995</v>
      </c>
      <c r="H26" s="37"/>
      <c r="I26" s="260"/>
      <c r="J26" s="37"/>
    </row>
    <row r="27" spans="1:10" x14ac:dyDescent="0.35">
      <c r="A27" s="283" t="s">
        <v>266</v>
      </c>
      <c r="B27" s="288">
        <f>B13/B26</f>
        <v>1.3324609995587305E-2</v>
      </c>
      <c r="C27" s="148" t="s">
        <v>254</v>
      </c>
      <c r="D27" s="266">
        <f>D13/D26</f>
        <v>1.4999999999999999E-2</v>
      </c>
      <c r="E27" s="155" t="s">
        <v>255</v>
      </c>
      <c r="F27" s="266">
        <f>F13/F26</f>
        <v>8.1074726575484628E-3</v>
      </c>
      <c r="G27" s="266">
        <f>G13/G26</f>
        <v>9.9456025269786912E-3</v>
      </c>
      <c r="H27" s="37"/>
      <c r="I27" s="260"/>
      <c r="J27" s="37"/>
    </row>
    <row r="28" spans="1:10" x14ac:dyDescent="0.35">
      <c r="A28" s="284"/>
      <c r="B28" s="288"/>
      <c r="C28" s="140">
        <f>C14/C26</f>
        <v>1.0000010000010001E-2</v>
      </c>
      <c r="D28" s="267"/>
      <c r="E28" s="169">
        <f>E14/E26</f>
        <v>6.6666666666666671E-3</v>
      </c>
      <c r="F28" s="267"/>
      <c r="G28" s="267"/>
      <c r="H28" s="37"/>
      <c r="I28" s="260"/>
      <c r="J28" s="37"/>
    </row>
    <row r="29" spans="1:10" x14ac:dyDescent="0.35">
      <c r="A29" s="284"/>
      <c r="B29" s="288"/>
      <c r="C29" s="147" t="s">
        <v>256</v>
      </c>
      <c r="D29" s="267"/>
      <c r="E29" s="165" t="s">
        <v>257</v>
      </c>
      <c r="F29" s="267"/>
      <c r="G29" s="267"/>
      <c r="H29" s="37"/>
      <c r="I29" s="260"/>
      <c r="J29" s="37"/>
    </row>
    <row r="30" spans="1:10" x14ac:dyDescent="0.35">
      <c r="A30" s="284"/>
      <c r="B30" s="288"/>
      <c r="C30" s="141">
        <f>C16/C26</f>
        <v>1.2800012800012802E-2</v>
      </c>
      <c r="D30" s="267"/>
      <c r="E30" s="168">
        <f>E16/E26</f>
        <v>0.01</v>
      </c>
      <c r="F30" s="267"/>
      <c r="G30" s="267"/>
      <c r="H30" s="37"/>
      <c r="I30" s="260"/>
      <c r="J30" s="37"/>
    </row>
    <row r="31" spans="1:10" x14ac:dyDescent="0.35">
      <c r="A31" s="284"/>
      <c r="B31" s="288"/>
      <c r="C31" s="148" t="s">
        <v>258</v>
      </c>
      <c r="D31" s="267"/>
      <c r="E31" s="140"/>
      <c r="F31" s="267"/>
      <c r="G31" s="267"/>
      <c r="H31" s="37"/>
      <c r="I31" s="260"/>
      <c r="J31" s="37"/>
    </row>
    <row r="32" spans="1:10" x14ac:dyDescent="0.35">
      <c r="A32" s="285"/>
      <c r="B32" s="288"/>
      <c r="C32" s="141">
        <f>C18/C26</f>
        <v>1.3700013700013702E-2</v>
      </c>
      <c r="D32" s="268"/>
      <c r="E32" s="141"/>
      <c r="F32" s="268"/>
      <c r="G32" s="268"/>
      <c r="H32" s="37"/>
      <c r="I32" s="260"/>
      <c r="J32" s="37"/>
    </row>
    <row r="33" spans="1:10" x14ac:dyDescent="0.35">
      <c r="A33" s="275" t="s">
        <v>267</v>
      </c>
      <c r="B33" s="134" t="s">
        <v>260</v>
      </c>
      <c r="C33" s="149" t="s">
        <v>254</v>
      </c>
      <c r="D33" s="291" t="s">
        <v>401</v>
      </c>
      <c r="E33" s="155" t="s">
        <v>255</v>
      </c>
      <c r="F33" s="266">
        <f>F19/F26</f>
        <v>3.2431241875636771E-2</v>
      </c>
      <c r="G33" s="134" t="s">
        <v>261</v>
      </c>
      <c r="H33" s="37"/>
      <c r="I33" s="260"/>
      <c r="J33" s="37"/>
    </row>
    <row r="34" spans="1:10" x14ac:dyDescent="0.35">
      <c r="A34" s="276"/>
      <c r="B34" s="140">
        <f>B20/B26</f>
        <v>3.1494532716842723E-2</v>
      </c>
      <c r="C34" s="143">
        <f>C20/C26</f>
        <v>2.3200023200023203E-2</v>
      </c>
      <c r="D34" s="292"/>
      <c r="E34" s="167">
        <f>E20/E26</f>
        <v>2.3333333333333338E-2</v>
      </c>
      <c r="F34" s="267"/>
      <c r="G34" s="140">
        <f>G20/G26</f>
        <v>2.9671047538819762E-2</v>
      </c>
      <c r="H34" s="37"/>
      <c r="I34" s="260"/>
      <c r="J34" s="37"/>
    </row>
    <row r="35" spans="1:10" x14ac:dyDescent="0.35">
      <c r="A35" s="276"/>
      <c r="B35" s="145" t="s">
        <v>268</v>
      </c>
      <c r="C35" s="147" t="s">
        <v>256</v>
      </c>
      <c r="D35" s="292"/>
      <c r="E35" s="165" t="s">
        <v>257</v>
      </c>
      <c r="F35" s="267"/>
      <c r="G35" s="145" t="s">
        <v>263</v>
      </c>
      <c r="H35" s="37"/>
      <c r="I35" s="260"/>
      <c r="J35" s="37"/>
    </row>
    <row r="36" spans="1:10" x14ac:dyDescent="0.35">
      <c r="A36" s="276"/>
      <c r="B36" s="140">
        <f>B22/B26</f>
        <v>3.4522853170385288E-2</v>
      </c>
      <c r="C36" s="141">
        <f>C22/C26</f>
        <v>3.3800033800033803E-2</v>
      </c>
      <c r="D36" s="292"/>
      <c r="E36" s="205">
        <f>E22/E26</f>
        <v>3.3999999999999996E-2</v>
      </c>
      <c r="F36" s="267"/>
      <c r="G36" s="140">
        <f>G22/G26</f>
        <v>3.4589147988410722E-2</v>
      </c>
      <c r="H36" s="37"/>
      <c r="I36" s="260"/>
      <c r="J36" s="37"/>
    </row>
    <row r="37" spans="1:10" ht="30.5" customHeight="1" x14ac:dyDescent="0.35">
      <c r="A37" s="276"/>
      <c r="B37" s="145"/>
      <c r="C37" s="149" t="s">
        <v>258</v>
      </c>
      <c r="D37" s="292"/>
      <c r="E37" s="140"/>
      <c r="F37" s="267"/>
      <c r="G37" s="184"/>
      <c r="H37" s="37"/>
      <c r="I37" s="260"/>
      <c r="J37" s="37"/>
    </row>
    <row r="38" spans="1:10" ht="29" customHeight="1" x14ac:dyDescent="0.35">
      <c r="A38" s="277"/>
      <c r="B38" s="135"/>
      <c r="C38" s="195">
        <f>C24/C26</f>
        <v>3.6200036200036208E-2</v>
      </c>
      <c r="D38" s="293"/>
      <c r="E38" s="141"/>
      <c r="F38" s="268"/>
      <c r="G38" s="185"/>
      <c r="H38" s="37"/>
      <c r="I38" s="260"/>
      <c r="J38" s="37"/>
    </row>
    <row r="39" spans="1:10" x14ac:dyDescent="0.35">
      <c r="A39" s="49" t="s">
        <v>269</v>
      </c>
      <c r="B39" s="50" t="s">
        <v>270</v>
      </c>
      <c r="C39" s="74" t="s">
        <v>271</v>
      </c>
      <c r="D39" s="50" t="s">
        <v>270</v>
      </c>
      <c r="E39" s="61" t="s">
        <v>270</v>
      </c>
      <c r="F39" s="75" t="s">
        <v>273</v>
      </c>
      <c r="G39" s="50" t="s">
        <v>270</v>
      </c>
      <c r="H39" s="37"/>
      <c r="I39" s="260"/>
      <c r="J39" s="37"/>
    </row>
    <row r="40" spans="1:10" x14ac:dyDescent="0.35">
      <c r="A40" s="270" t="s">
        <v>274</v>
      </c>
      <c r="B40" s="270"/>
      <c r="C40" s="270"/>
      <c r="D40" s="270"/>
      <c r="E40" s="270"/>
      <c r="F40" s="270"/>
      <c r="G40" s="270"/>
      <c r="H40" s="37"/>
      <c r="I40" s="260"/>
      <c r="J40" s="37"/>
    </row>
    <row r="41" spans="1:10" x14ac:dyDescent="0.35">
      <c r="A41" s="39" t="s">
        <v>275</v>
      </c>
      <c r="B41" s="42">
        <v>455252</v>
      </c>
      <c r="C41" s="42">
        <v>593999</v>
      </c>
      <c r="D41" s="42">
        <v>422100</v>
      </c>
      <c r="E41" s="42">
        <v>909000</v>
      </c>
      <c r="F41" s="42">
        <v>747460</v>
      </c>
      <c r="G41" s="42">
        <v>633446</v>
      </c>
      <c r="H41" s="37"/>
      <c r="I41" s="260"/>
      <c r="J41" s="37"/>
    </row>
    <row r="42" spans="1:10" x14ac:dyDescent="0.35">
      <c r="A42" s="39" t="s">
        <v>276</v>
      </c>
      <c r="B42" s="42">
        <v>456514</v>
      </c>
      <c r="C42" s="42">
        <v>640258</v>
      </c>
      <c r="D42" s="42">
        <v>423386</v>
      </c>
      <c r="E42" s="42">
        <v>913500</v>
      </c>
      <c r="F42" s="42">
        <v>761535</v>
      </c>
      <c r="G42" s="42">
        <v>633979</v>
      </c>
      <c r="H42" s="37"/>
      <c r="I42" s="260"/>
      <c r="J42" s="37"/>
    </row>
    <row r="43" spans="1:10" x14ac:dyDescent="0.35">
      <c r="A43" s="47" t="s">
        <v>277</v>
      </c>
      <c r="B43" s="153">
        <f>B41/B26</f>
        <v>1.0099992257261259</v>
      </c>
      <c r="C43" s="153">
        <f t="shared" ref="C43:G43" si="0">C41/C26</f>
        <v>0.98999932333265683</v>
      </c>
      <c r="D43" s="213">
        <f t="shared" si="0"/>
        <v>1.05</v>
      </c>
      <c r="E43" s="153">
        <f t="shared" si="0"/>
        <v>1.01</v>
      </c>
      <c r="F43" s="153">
        <f t="shared" si="0"/>
        <v>1.010001918768529</v>
      </c>
      <c r="G43" s="153">
        <f t="shared" si="0"/>
        <v>1.0500003563840907</v>
      </c>
      <c r="H43" s="37"/>
      <c r="I43" s="260"/>
      <c r="J43" s="37"/>
    </row>
    <row r="44" spans="1:10" x14ac:dyDescent="0.35">
      <c r="A44" s="47" t="s">
        <v>278</v>
      </c>
      <c r="B44" s="153">
        <f>B42/B26</f>
        <v>1.0127990355520384</v>
      </c>
      <c r="C44" s="153">
        <f t="shared" ref="C44:G44" si="1">C42/C26</f>
        <v>1.0670977337644005</v>
      </c>
      <c r="D44" s="153">
        <f t="shared" si="1"/>
        <v>1.0531990049751243</v>
      </c>
      <c r="E44" s="153">
        <f t="shared" si="1"/>
        <v>1.0149999999999999</v>
      </c>
      <c r="F44" s="153">
        <f t="shared" si="1"/>
        <v>1.0290206983776948</v>
      </c>
      <c r="G44" s="153">
        <f t="shared" si="1"/>
        <v>1.0508838574085706</v>
      </c>
      <c r="H44" s="37"/>
      <c r="I44" s="260"/>
      <c r="J44" s="37"/>
    </row>
    <row r="45" spans="1:10" x14ac:dyDescent="0.35">
      <c r="A45" s="269" t="s">
        <v>279</v>
      </c>
      <c r="B45" s="269"/>
      <c r="C45" s="269"/>
      <c r="D45" s="269"/>
      <c r="E45" s="269"/>
      <c r="F45" s="269"/>
      <c r="G45" s="269"/>
      <c r="H45" s="37"/>
      <c r="I45" s="260"/>
      <c r="J45" s="37"/>
    </row>
    <row r="46" spans="1:10" x14ac:dyDescent="0.35">
      <c r="A46" s="39" t="s">
        <v>280</v>
      </c>
      <c r="B46" s="42">
        <f>($B$13*3)</f>
        <v>18018</v>
      </c>
      <c r="C46" s="42">
        <v>12000</v>
      </c>
      <c r="D46" s="42">
        <v>12060</v>
      </c>
      <c r="E46" s="42">
        <v>12000</v>
      </c>
      <c r="F46" s="42">
        <v>6000</v>
      </c>
      <c r="G46" s="42">
        <v>18000</v>
      </c>
      <c r="H46" s="37"/>
      <c r="I46" s="260"/>
      <c r="J46" s="37"/>
    </row>
    <row r="47" spans="1:10" x14ac:dyDescent="0.35">
      <c r="A47" s="31" t="s">
        <v>281</v>
      </c>
      <c r="B47" s="67">
        <v>450744</v>
      </c>
      <c r="C47" s="67">
        <v>479999</v>
      </c>
      <c r="D47" s="67">
        <v>402000</v>
      </c>
      <c r="E47" s="35">
        <v>909000</v>
      </c>
      <c r="F47" s="35">
        <v>740800</v>
      </c>
      <c r="G47" s="35">
        <v>603282</v>
      </c>
      <c r="H47" s="37"/>
      <c r="I47" s="260"/>
      <c r="J47" s="37"/>
    </row>
    <row r="48" spans="1:10" x14ac:dyDescent="0.35">
      <c r="A48" s="49" t="s">
        <v>282</v>
      </c>
      <c r="B48" s="153">
        <f>(B46+B47)/B26</f>
        <v>1.0399718332919574</v>
      </c>
      <c r="C48" s="153">
        <f t="shared" ref="C48:G48" si="2">(C46+C47)/C26</f>
        <v>0.81999915333248674</v>
      </c>
      <c r="D48" s="153">
        <f t="shared" si="2"/>
        <v>1.03</v>
      </c>
      <c r="E48" s="153">
        <f t="shared" si="2"/>
        <v>1.0233333333333334</v>
      </c>
      <c r="F48" s="153">
        <f t="shared" si="2"/>
        <v>1.0091100967761986</v>
      </c>
      <c r="G48" s="153">
        <f t="shared" si="2"/>
        <v>1.0298373048610625</v>
      </c>
      <c r="H48" s="37"/>
      <c r="I48" s="260"/>
      <c r="J48" s="37"/>
    </row>
    <row r="49" spans="1:10" x14ac:dyDescent="0.35">
      <c r="A49" s="272" t="s">
        <v>283</v>
      </c>
      <c r="B49" s="272"/>
      <c r="C49" s="272"/>
      <c r="D49" s="272"/>
      <c r="E49" s="272"/>
      <c r="F49" s="272"/>
      <c r="G49" s="272"/>
      <c r="H49" s="37"/>
      <c r="I49" s="260"/>
      <c r="J49" s="37"/>
    </row>
    <row r="50" spans="1:10" x14ac:dyDescent="0.35">
      <c r="A50" s="31" t="s">
        <v>284</v>
      </c>
      <c r="B50" s="42">
        <f>3*14196</f>
        <v>42588</v>
      </c>
      <c r="C50" s="67">
        <v>27840</v>
      </c>
      <c r="D50" s="35">
        <f>28562-422</f>
        <v>28140</v>
      </c>
      <c r="E50" s="35">
        <v>42000</v>
      </c>
      <c r="F50" s="35">
        <v>24001</v>
      </c>
      <c r="G50" s="35">
        <v>44767</v>
      </c>
      <c r="H50" s="37"/>
      <c r="I50" s="260"/>
      <c r="J50" s="37"/>
    </row>
    <row r="51" spans="1:10" s="44" customFormat="1" x14ac:dyDescent="0.35">
      <c r="A51" s="31" t="s">
        <v>285</v>
      </c>
      <c r="B51" s="67">
        <v>452006</v>
      </c>
      <c r="C51" s="67">
        <v>484678</v>
      </c>
      <c r="D51" s="35">
        <v>403005</v>
      </c>
      <c r="E51" s="35">
        <v>912600</v>
      </c>
      <c r="F51" s="35">
        <v>754875</v>
      </c>
      <c r="G51" s="35">
        <v>603815</v>
      </c>
      <c r="H51" s="43"/>
      <c r="I51" s="260"/>
      <c r="J51" s="43"/>
    </row>
    <row r="52" spans="1:10" x14ac:dyDescent="0.35">
      <c r="A52" s="49" t="s">
        <v>286</v>
      </c>
      <c r="B52" s="153">
        <f>(B50+B51)/B26</f>
        <v>1.0972814112816363</v>
      </c>
      <c r="C52" s="153">
        <f t="shared" ref="C52:G52" si="3">(C50+C51)/C26</f>
        <v>0.85419752086418765</v>
      </c>
      <c r="D52" s="153">
        <f t="shared" si="3"/>
        <v>1.0725</v>
      </c>
      <c r="E52" s="153">
        <f t="shared" si="3"/>
        <v>1.0606666666666666</v>
      </c>
      <c r="F52" s="153">
        <f t="shared" si="3"/>
        <v>1.0524526456034526</v>
      </c>
      <c r="G52" s="153">
        <f t="shared" si="3"/>
        <v>1.0750897963588155</v>
      </c>
      <c r="H52" s="37"/>
      <c r="I52" s="260"/>
      <c r="J52" s="37"/>
    </row>
    <row r="53" spans="1:10" x14ac:dyDescent="0.35">
      <c r="A53" s="271" t="s">
        <v>287</v>
      </c>
      <c r="B53" s="271"/>
      <c r="C53" s="271"/>
      <c r="D53" s="271"/>
      <c r="E53" s="271"/>
      <c r="F53" s="271"/>
      <c r="G53" s="271"/>
      <c r="H53" s="37"/>
      <c r="I53" s="260"/>
      <c r="J53" s="37"/>
    </row>
    <row r="54" spans="1:10" x14ac:dyDescent="0.35">
      <c r="A54" s="39" t="s">
        <v>275</v>
      </c>
      <c r="B54" s="67">
        <v>501814</v>
      </c>
      <c r="C54" s="67">
        <v>479999</v>
      </c>
      <c r="D54" s="42">
        <v>434160</v>
      </c>
      <c r="E54" s="42">
        <v>1035900</v>
      </c>
      <c r="F54" s="42">
        <v>747460</v>
      </c>
      <c r="G54" s="42">
        <v>633446</v>
      </c>
      <c r="H54" s="37"/>
      <c r="I54" s="260"/>
      <c r="J54" s="37"/>
    </row>
    <row r="55" spans="1:10" x14ac:dyDescent="0.35">
      <c r="A55" s="39" t="s">
        <v>276</v>
      </c>
      <c r="B55" s="67">
        <v>525207</v>
      </c>
      <c r="C55" s="67">
        <v>575218</v>
      </c>
      <c r="D55" s="42">
        <v>458280</v>
      </c>
      <c r="E55" s="42">
        <v>1067400</v>
      </c>
      <c r="F55" s="42">
        <v>851172</v>
      </c>
      <c r="G55" s="42">
        <v>643612</v>
      </c>
      <c r="H55" s="37"/>
      <c r="I55" s="260"/>
      <c r="J55" s="37"/>
    </row>
    <row r="56" spans="1:10" x14ac:dyDescent="0.35">
      <c r="A56" s="47" t="s">
        <v>277</v>
      </c>
      <c r="B56" s="153">
        <f>B54/B26</f>
        <v>1.1132993407135612</v>
      </c>
      <c r="C56" s="153">
        <f t="shared" ref="C56:G56" si="4">C54/C26</f>
        <v>0.79999913333246675</v>
      </c>
      <c r="D56" s="153">
        <f t="shared" si="4"/>
        <v>1.08</v>
      </c>
      <c r="E56" s="153">
        <f t="shared" si="4"/>
        <v>1.151</v>
      </c>
      <c r="F56" s="153">
        <f t="shared" si="4"/>
        <v>1.010001918768529</v>
      </c>
      <c r="G56" s="153">
        <f t="shared" si="4"/>
        <v>1.0500003563840907</v>
      </c>
      <c r="H56" s="37"/>
      <c r="I56" s="260"/>
      <c r="J56" s="37"/>
    </row>
    <row r="57" spans="1:10" x14ac:dyDescent="0.35">
      <c r="A57" s="47" t="s">
        <v>278</v>
      </c>
      <c r="B57" s="153">
        <f>B55/B26</f>
        <v>1.165197875782954</v>
      </c>
      <c r="C57" s="153">
        <f t="shared" ref="C57:G57" si="5">C55/C26</f>
        <v>0.95869762536429215</v>
      </c>
      <c r="D57" s="153">
        <f t="shared" si="5"/>
        <v>1.1399999999999999</v>
      </c>
      <c r="E57" s="153">
        <f t="shared" si="5"/>
        <v>1.1859999999999999</v>
      </c>
      <c r="F57" s="153">
        <f t="shared" si="5"/>
        <v>1.15014228614514</v>
      </c>
      <c r="G57" s="153">
        <f t="shared" si="5"/>
        <v>1.066851522265635</v>
      </c>
      <c r="H57" s="37"/>
      <c r="I57" s="260"/>
      <c r="J57" s="37"/>
    </row>
    <row r="58" spans="1:10" x14ac:dyDescent="0.35">
      <c r="A58" s="269" t="s">
        <v>279</v>
      </c>
      <c r="B58" s="269"/>
      <c r="C58" s="269"/>
      <c r="D58" s="269"/>
      <c r="E58" s="269"/>
      <c r="F58" s="269"/>
      <c r="G58" s="269"/>
      <c r="H58" s="37"/>
      <c r="I58" s="260"/>
      <c r="J58" s="37"/>
    </row>
    <row r="59" spans="1:10" x14ac:dyDescent="0.35">
      <c r="A59" s="39" t="s">
        <v>280</v>
      </c>
      <c r="B59" s="42">
        <f>48*B13</f>
        <v>288288</v>
      </c>
      <c r="C59" s="42">
        <v>374880</v>
      </c>
      <c r="D59" s="42">
        <v>283410</v>
      </c>
      <c r="E59" s="42">
        <v>417000</v>
      </c>
      <c r="F59" s="42">
        <v>276022</v>
      </c>
      <c r="G59" s="42">
        <v>288000</v>
      </c>
      <c r="H59" s="37"/>
      <c r="I59" s="260"/>
      <c r="J59" s="37"/>
    </row>
    <row r="60" spans="1:10" s="44" customFormat="1" x14ac:dyDescent="0.35">
      <c r="A60" s="31" t="s">
        <v>281</v>
      </c>
      <c r="B60" s="67">
        <v>501814</v>
      </c>
      <c r="C60" s="67">
        <v>479999</v>
      </c>
      <c r="D60" s="42">
        <v>434160</v>
      </c>
      <c r="E60" s="42">
        <v>1035900</v>
      </c>
      <c r="F60" s="35">
        <v>740800</v>
      </c>
      <c r="G60" s="35">
        <v>603282</v>
      </c>
      <c r="H60" s="43"/>
      <c r="I60" s="260"/>
      <c r="J60" s="43"/>
    </row>
    <row r="61" spans="1:10" x14ac:dyDescent="0.35">
      <c r="A61" s="49" t="s">
        <v>288</v>
      </c>
      <c r="B61" s="153">
        <f>B59/B26</f>
        <v>0.63958127978819068</v>
      </c>
      <c r="C61" s="153">
        <f t="shared" ref="C61:G61" si="6">C59/C26</f>
        <v>0.62480062480062493</v>
      </c>
      <c r="D61" s="153">
        <f t="shared" si="6"/>
        <v>0.70499999999999996</v>
      </c>
      <c r="E61" s="153">
        <f t="shared" si="6"/>
        <v>0.46333333333333332</v>
      </c>
      <c r="F61" s="153">
        <f t="shared" si="6"/>
        <v>0.37297346964697364</v>
      </c>
      <c r="G61" s="153">
        <f t="shared" si="6"/>
        <v>0.47738892129497718</v>
      </c>
      <c r="H61" s="37"/>
      <c r="I61" s="260"/>
      <c r="J61" s="37"/>
    </row>
    <row r="62" spans="1:10" x14ac:dyDescent="0.35">
      <c r="A62" s="49" t="s">
        <v>282</v>
      </c>
      <c r="B62" s="153">
        <f>(B59+B60)/B26</f>
        <v>1.7528806205017518</v>
      </c>
      <c r="C62" s="153">
        <f t="shared" ref="C62:G62" si="7">(C59+C60)/C26</f>
        <v>1.4247997581330918</v>
      </c>
      <c r="D62" s="153">
        <f t="shared" si="7"/>
        <v>1.7849999999999999</v>
      </c>
      <c r="E62" s="153">
        <f t="shared" si="7"/>
        <v>1.6143333333333334</v>
      </c>
      <c r="F62" s="153">
        <f t="shared" si="7"/>
        <v>1.3739760937656238</v>
      </c>
      <c r="G62" s="153">
        <f t="shared" si="7"/>
        <v>1.4773894185751035</v>
      </c>
      <c r="H62" s="37"/>
      <c r="I62" s="260"/>
      <c r="J62" s="37"/>
    </row>
    <row r="63" spans="1:10" x14ac:dyDescent="0.35">
      <c r="A63" s="269" t="s">
        <v>283</v>
      </c>
      <c r="B63" s="269"/>
      <c r="C63" s="269"/>
      <c r="D63" s="269"/>
      <c r="E63" s="269"/>
      <c r="F63" s="269"/>
      <c r="G63" s="269"/>
      <c r="H63" s="37"/>
      <c r="I63" s="260"/>
      <c r="J63" s="37"/>
    </row>
    <row r="64" spans="1:10" s="44" customFormat="1" x14ac:dyDescent="0.35">
      <c r="A64" s="31" t="s">
        <v>284</v>
      </c>
      <c r="B64" s="67">
        <f>(46*14196)+(2*15561)</f>
        <v>684138</v>
      </c>
      <c r="C64" s="67">
        <v>986520</v>
      </c>
      <c r="D64" s="67">
        <f>1440939-757137</f>
        <v>683802</v>
      </c>
      <c r="E64" s="67">
        <v>1419000</v>
      </c>
      <c r="F64" s="67">
        <f>2347895-1243807</f>
        <v>1104088</v>
      </c>
      <c r="G64" s="67">
        <v>983782</v>
      </c>
      <c r="H64" s="43"/>
      <c r="I64" s="260"/>
      <c r="J64" s="43"/>
    </row>
    <row r="65" spans="1:10" x14ac:dyDescent="0.35">
      <c r="A65" s="31" t="s">
        <v>285</v>
      </c>
      <c r="B65" s="67">
        <v>525207</v>
      </c>
      <c r="C65" s="67">
        <v>570478</v>
      </c>
      <c r="D65" s="42">
        <v>450240</v>
      </c>
      <c r="E65" s="42">
        <v>1067400</v>
      </c>
      <c r="F65" s="42">
        <v>844512</v>
      </c>
      <c r="G65" s="42">
        <v>613448</v>
      </c>
      <c r="H65" s="37"/>
      <c r="I65" s="260"/>
      <c r="J65" s="37"/>
    </row>
    <row r="66" spans="1:10" x14ac:dyDescent="0.35">
      <c r="A66" s="49" t="s">
        <v>289</v>
      </c>
      <c r="B66" s="153">
        <f>B64/B26</f>
        <v>1.5177942113155358</v>
      </c>
      <c r="C66" s="153">
        <f t="shared" ref="C66:G66" si="8">C64/C26</f>
        <v>1.6442016442016445</v>
      </c>
      <c r="D66" s="153">
        <f t="shared" si="8"/>
        <v>1.7010000000000001</v>
      </c>
      <c r="E66" s="153">
        <f t="shared" si="8"/>
        <v>1.5766666666666667</v>
      </c>
      <c r="F66" s="153">
        <f t="shared" si="8"/>
        <v>1.4918938785878946</v>
      </c>
      <c r="G66" s="153">
        <f t="shared" si="8"/>
        <v>1.6307174575326917</v>
      </c>
      <c r="H66" s="37"/>
      <c r="I66" s="260"/>
      <c r="J66" s="37"/>
    </row>
    <row r="67" spans="1:10" x14ac:dyDescent="0.35">
      <c r="A67" s="49" t="s">
        <v>286</v>
      </c>
      <c r="B67" s="153">
        <f>(B64+B65)/B26</f>
        <v>2.6829920870984898</v>
      </c>
      <c r="C67" s="153">
        <f t="shared" ref="C67:G67" si="9">(C64+C65)/C26</f>
        <v>2.5949992616659285</v>
      </c>
      <c r="D67" s="153">
        <f t="shared" si="9"/>
        <v>2.8210000000000002</v>
      </c>
      <c r="E67" s="153">
        <f t="shared" si="9"/>
        <v>2.7626666666666666</v>
      </c>
      <c r="F67" s="153">
        <f t="shared" si="9"/>
        <v>2.6330368700831555</v>
      </c>
      <c r="G67" s="153">
        <f t="shared" si="9"/>
        <v>2.6475691206943623</v>
      </c>
      <c r="H67" s="37"/>
      <c r="I67" s="260"/>
      <c r="J67" s="37"/>
    </row>
    <row r="68" spans="1:10" x14ac:dyDescent="0.35">
      <c r="A68" s="271" t="s">
        <v>290</v>
      </c>
      <c r="B68" s="271"/>
      <c r="C68" s="271"/>
      <c r="D68" s="271"/>
      <c r="E68" s="271"/>
      <c r="F68" s="271"/>
      <c r="G68" s="271"/>
      <c r="H68" s="37"/>
      <c r="I68" s="260"/>
      <c r="J68" s="37"/>
    </row>
    <row r="69" spans="1:10" x14ac:dyDescent="0.35">
      <c r="A69" s="39" t="s">
        <v>275</v>
      </c>
      <c r="B69" s="67">
        <v>527551</v>
      </c>
      <c r="C69" s="67">
        <v>479999</v>
      </c>
      <c r="D69" s="42">
        <v>434160</v>
      </c>
      <c r="E69" s="42">
        <v>1099800</v>
      </c>
      <c r="F69" s="42">
        <v>747460</v>
      </c>
      <c r="G69" s="42">
        <v>633446</v>
      </c>
      <c r="H69" s="37"/>
      <c r="I69" s="260"/>
      <c r="J69" s="37"/>
    </row>
    <row r="70" spans="1:10" x14ac:dyDescent="0.35">
      <c r="A70" s="39" t="s">
        <v>276</v>
      </c>
      <c r="B70" s="67">
        <v>565909</v>
      </c>
      <c r="C70" s="67">
        <v>575218</v>
      </c>
      <c r="D70" s="42">
        <v>494460</v>
      </c>
      <c r="E70" s="42">
        <v>1167300</v>
      </c>
      <c r="F70" s="42">
        <v>902287</v>
      </c>
      <c r="G70" s="42">
        <v>650146</v>
      </c>
      <c r="H70" s="37"/>
      <c r="I70" s="260"/>
      <c r="J70" s="37"/>
    </row>
    <row r="71" spans="1:10" x14ac:dyDescent="0.35">
      <c r="A71" s="47" t="s">
        <v>277</v>
      </c>
      <c r="B71" s="153">
        <f t="shared" ref="B71:G71" si="10">B69/B26</f>
        <v>1.1703981564738726</v>
      </c>
      <c r="C71" s="153">
        <f t="shared" si="10"/>
        <v>0.79999913333246675</v>
      </c>
      <c r="D71" s="153">
        <f t="shared" si="10"/>
        <v>1.08</v>
      </c>
      <c r="E71" s="153">
        <f t="shared" si="10"/>
        <v>1.222</v>
      </c>
      <c r="F71" s="153">
        <f t="shared" si="10"/>
        <v>1.010001918768529</v>
      </c>
      <c r="G71" s="153">
        <f t="shared" si="10"/>
        <v>1.0500003563840907</v>
      </c>
      <c r="H71" s="37"/>
      <c r="I71" s="260"/>
      <c r="J71" s="37"/>
    </row>
    <row r="72" spans="1:10" x14ac:dyDescent="0.35">
      <c r="A72" s="47" t="s">
        <v>278</v>
      </c>
      <c r="B72" s="153">
        <f>B70/B26</f>
        <v>1.2554972890430929</v>
      </c>
      <c r="C72" s="153">
        <f t="shared" ref="C72:G72" si="11">C70/C26</f>
        <v>0.95869762536429215</v>
      </c>
      <c r="D72" s="153">
        <f t="shared" si="11"/>
        <v>1.23</v>
      </c>
      <c r="E72" s="153">
        <f t="shared" si="11"/>
        <v>1.2969999999999999</v>
      </c>
      <c r="F72" s="153">
        <f t="shared" si="11"/>
        <v>1.2192111969602382</v>
      </c>
      <c r="G72" s="153">
        <f t="shared" si="11"/>
        <v>1.0776822834175146</v>
      </c>
      <c r="H72" s="37"/>
      <c r="I72" s="260"/>
      <c r="J72" s="37"/>
    </row>
    <row r="73" spans="1:10" x14ac:dyDescent="0.35">
      <c r="A73" s="269" t="s">
        <v>279</v>
      </c>
      <c r="B73" s="269"/>
      <c r="C73" s="269"/>
      <c r="D73" s="269"/>
      <c r="E73" s="269"/>
      <c r="F73" s="269"/>
      <c r="G73" s="269"/>
      <c r="H73" s="37"/>
      <c r="I73" s="260"/>
      <c r="J73" s="37"/>
    </row>
    <row r="74" spans="1:10" x14ac:dyDescent="0.35">
      <c r="A74" s="39" t="s">
        <v>280</v>
      </c>
      <c r="B74" s="42">
        <f>68*B13</f>
        <v>408408</v>
      </c>
      <c r="C74" s="42">
        <v>539280</v>
      </c>
      <c r="D74" s="42">
        <v>404010</v>
      </c>
      <c r="E74" s="42">
        <v>597000</v>
      </c>
      <c r="F74" s="42">
        <v>396032</v>
      </c>
      <c r="G74" s="42">
        <v>408000</v>
      </c>
      <c r="H74" s="37"/>
      <c r="I74" s="260"/>
      <c r="J74" s="37"/>
    </row>
    <row r="75" spans="1:10" x14ac:dyDescent="0.35">
      <c r="A75" s="31" t="s">
        <v>281</v>
      </c>
      <c r="B75" s="67">
        <v>527551</v>
      </c>
      <c r="C75" s="67">
        <v>479999</v>
      </c>
      <c r="D75" s="42">
        <v>434160</v>
      </c>
      <c r="E75" s="42">
        <v>1099800</v>
      </c>
      <c r="F75" s="42">
        <v>740800</v>
      </c>
      <c r="G75" s="42">
        <v>603282</v>
      </c>
      <c r="H75" s="37"/>
      <c r="I75" s="260"/>
      <c r="J75" s="37"/>
    </row>
    <row r="76" spans="1:10" x14ac:dyDescent="0.35">
      <c r="A76" s="49" t="s">
        <v>288</v>
      </c>
      <c r="B76" s="153">
        <f>B74/B26</f>
        <v>0.90607347969993679</v>
      </c>
      <c r="C76" s="153">
        <f t="shared" ref="C76:G76" si="12">C74/C26</f>
        <v>0.89880089880089897</v>
      </c>
      <c r="D76" s="153">
        <f t="shared" si="12"/>
        <v>1.0049999999999999</v>
      </c>
      <c r="E76" s="153">
        <f t="shared" si="12"/>
        <v>0.66333333333333333</v>
      </c>
      <c r="F76" s="153">
        <f t="shared" si="12"/>
        <v>0.53513643525237209</v>
      </c>
      <c r="G76" s="153">
        <f t="shared" si="12"/>
        <v>0.67630097183455096</v>
      </c>
      <c r="H76" s="37"/>
      <c r="I76" s="260"/>
      <c r="J76" s="37"/>
    </row>
    <row r="77" spans="1:10" x14ac:dyDescent="0.35">
      <c r="A77" s="49" t="s">
        <v>282</v>
      </c>
      <c r="B77" s="153">
        <f>(B74+B75)/B26</f>
        <v>2.0764716361738094</v>
      </c>
      <c r="C77" s="153">
        <f t="shared" ref="C77:G77" si="13">(C74+C75)/C26</f>
        <v>1.6988000321333658</v>
      </c>
      <c r="D77" s="153">
        <f t="shared" si="13"/>
        <v>2.085</v>
      </c>
      <c r="E77" s="153">
        <f t="shared" si="13"/>
        <v>1.8853333333333333</v>
      </c>
      <c r="F77" s="153">
        <f t="shared" si="13"/>
        <v>1.5361390593710222</v>
      </c>
      <c r="G77" s="153">
        <f t="shared" si="13"/>
        <v>1.6763014691146774</v>
      </c>
      <c r="H77" s="37"/>
      <c r="I77" s="260"/>
      <c r="J77" s="37"/>
    </row>
    <row r="78" spans="1:10" x14ac:dyDescent="0.35">
      <c r="A78" s="269" t="s">
        <v>283</v>
      </c>
      <c r="B78" s="269"/>
      <c r="C78" s="269"/>
      <c r="D78" s="269"/>
      <c r="E78" s="269"/>
      <c r="F78" s="269"/>
      <c r="G78" s="269"/>
      <c r="H78" s="37"/>
      <c r="I78" s="260"/>
      <c r="J78" s="37"/>
    </row>
    <row r="79" spans="1:10" x14ac:dyDescent="0.35">
      <c r="A79" s="31" t="s">
        <v>284</v>
      </c>
      <c r="B79" s="67">
        <f>(14196*46)+(22*15561)</f>
        <v>995358</v>
      </c>
      <c r="C79" s="67">
        <v>1420920</v>
      </c>
      <c r="D79" s="67">
        <f>3018369-2025027</f>
        <v>993342</v>
      </c>
      <c r="E79" s="67">
        <v>2031000</v>
      </c>
      <c r="F79" s="67">
        <f>4894319-3310192</f>
        <v>1584127</v>
      </c>
      <c r="G79" s="67">
        <v>1401122</v>
      </c>
      <c r="H79" s="37"/>
      <c r="I79" s="260"/>
      <c r="J79" s="37"/>
    </row>
    <row r="80" spans="1:10" x14ac:dyDescent="0.35">
      <c r="A80" s="31" t="s">
        <v>285</v>
      </c>
      <c r="B80" s="67">
        <v>565909</v>
      </c>
      <c r="C80" s="67">
        <v>570478</v>
      </c>
      <c r="D80" s="42">
        <v>494460</v>
      </c>
      <c r="E80" s="42">
        <v>1167300</v>
      </c>
      <c r="F80" s="42">
        <v>895627</v>
      </c>
      <c r="G80" s="42">
        <v>619982</v>
      </c>
      <c r="H80" s="37"/>
      <c r="I80" s="260"/>
      <c r="J80" s="37"/>
    </row>
    <row r="81" spans="1:10" x14ac:dyDescent="0.35">
      <c r="A81" s="49" t="s">
        <v>289</v>
      </c>
      <c r="B81" s="153">
        <f>B79/B26</f>
        <v>2.2082512747232417</v>
      </c>
      <c r="C81" s="153">
        <f t="shared" ref="C81:G81" si="14">C79/C26</f>
        <v>2.3682023682023687</v>
      </c>
      <c r="D81" s="153">
        <f t="shared" si="14"/>
        <v>2.4710000000000001</v>
      </c>
      <c r="E81" s="153">
        <f t="shared" si="14"/>
        <v>2.2566666666666668</v>
      </c>
      <c r="F81" s="153">
        <f t="shared" si="14"/>
        <v>2.1405443897640457</v>
      </c>
      <c r="G81" s="153">
        <f t="shared" si="14"/>
        <v>2.3225004173009061</v>
      </c>
      <c r="H81" s="37"/>
      <c r="I81" s="260"/>
      <c r="J81" s="37"/>
    </row>
    <row r="82" spans="1:10" x14ac:dyDescent="0.35">
      <c r="A82" s="49" t="s">
        <v>286</v>
      </c>
      <c r="B82" s="153">
        <f>(B79+B80)/B26</f>
        <v>3.4637485637663348</v>
      </c>
      <c r="C82" s="153">
        <f t="shared" ref="C82:G82" si="15">(C79+C80)/C26</f>
        <v>3.318999985666653</v>
      </c>
      <c r="D82" s="153">
        <f t="shared" si="15"/>
        <v>3.7010000000000001</v>
      </c>
      <c r="E82" s="153">
        <f t="shared" si="15"/>
        <v>3.5536666666666665</v>
      </c>
      <c r="F82" s="153">
        <f t="shared" si="15"/>
        <v>3.3507562920744052</v>
      </c>
      <c r="G82" s="153">
        <f t="shared" si="15"/>
        <v>3.3501828416144566</v>
      </c>
      <c r="H82" s="37"/>
      <c r="I82" s="260"/>
      <c r="J82" s="37"/>
    </row>
    <row r="83" spans="1:10" x14ac:dyDescent="0.35">
      <c r="H83" s="37"/>
      <c r="I83" s="260"/>
      <c r="J83" s="37"/>
    </row>
    <row r="84" spans="1:10" x14ac:dyDescent="0.35">
      <c r="H84" s="37"/>
      <c r="I84" s="260"/>
      <c r="J84" s="37"/>
    </row>
    <row r="85" spans="1:10" x14ac:dyDescent="0.35">
      <c r="H85" s="37"/>
      <c r="I85" s="260"/>
      <c r="J85" s="37"/>
    </row>
    <row r="86" spans="1:10" x14ac:dyDescent="0.35">
      <c r="H86" s="37"/>
      <c r="I86" s="260"/>
      <c r="J86" s="37"/>
    </row>
    <row r="87" spans="1:10" x14ac:dyDescent="0.35">
      <c r="H87" s="37"/>
      <c r="I87" s="260"/>
      <c r="J87" s="37"/>
    </row>
    <row r="88" spans="1:10" x14ac:dyDescent="0.35">
      <c r="H88" s="37"/>
      <c r="I88" s="260"/>
      <c r="J88" s="37"/>
    </row>
    <row r="89" spans="1:10" x14ac:dyDescent="0.35">
      <c r="H89" s="37"/>
      <c r="I89" s="260"/>
      <c r="J89" s="37"/>
    </row>
    <row r="90" spans="1:10" x14ac:dyDescent="0.35">
      <c r="H90" s="37"/>
      <c r="I90" s="260"/>
      <c r="J90" s="37"/>
    </row>
    <row r="91" spans="1:10" x14ac:dyDescent="0.35">
      <c r="H91" s="37"/>
      <c r="I91" s="260"/>
      <c r="J91" s="37"/>
    </row>
    <row r="92" spans="1:10" x14ac:dyDescent="0.35">
      <c r="H92" s="37"/>
      <c r="I92" s="260"/>
      <c r="J92" s="37"/>
    </row>
    <row r="93" spans="1:10" x14ac:dyDescent="0.35">
      <c r="H93" s="37"/>
      <c r="I93" s="260"/>
      <c r="J93" s="37"/>
    </row>
    <row r="94" spans="1:10" ht="16" thickBot="1" x14ac:dyDescent="0.4">
      <c r="H94" s="37"/>
      <c r="I94" s="261"/>
      <c r="J94" s="37"/>
    </row>
  </sheetData>
  <sheetProtection algorithmName="SHA-512" hashValue="q8PCXkBMAqptbrYevzAbeYbof/vDVV+shYH1ZF5IiMDwcBfPOaifRi6D1gkj3qmr2ii0Tb6KwsmQirOJibaMIQ==" saltValue="BJezS/h1aG8wtcn+yU1ERQ==" spinCount="100000" sheet="1" objects="1" scenarios="1" selectLockedCells="1" autoFilter="0" selectUnlockedCells="1"/>
  <mergeCells count="28">
    <mergeCell ref="A63:G63"/>
    <mergeCell ref="A1:C2"/>
    <mergeCell ref="A6:A7"/>
    <mergeCell ref="A33:A38"/>
    <mergeCell ref="A19:A24"/>
    <mergeCell ref="A13:A18"/>
    <mergeCell ref="A27:A32"/>
    <mergeCell ref="B13:B18"/>
    <mergeCell ref="B27:B32"/>
    <mergeCell ref="D19:D24"/>
    <mergeCell ref="D27:D32"/>
    <mergeCell ref="D33:D38"/>
    <mergeCell ref="I7:I94"/>
    <mergeCell ref="F13:F18"/>
    <mergeCell ref="F19:F24"/>
    <mergeCell ref="F27:F32"/>
    <mergeCell ref="F33:F38"/>
    <mergeCell ref="G13:G18"/>
    <mergeCell ref="G27:G32"/>
    <mergeCell ref="A73:G73"/>
    <mergeCell ref="A78:G78"/>
    <mergeCell ref="A58:G58"/>
    <mergeCell ref="D13:D18"/>
    <mergeCell ref="A40:G40"/>
    <mergeCell ref="A53:G53"/>
    <mergeCell ref="A68:G68"/>
    <mergeCell ref="A49:G49"/>
    <mergeCell ref="A45:G45"/>
  </mergeCells>
  <conditionalFormatting sqref="B43:G43">
    <cfRule type="top10" dxfId="136" priority="642" rank="1"/>
  </conditionalFormatting>
  <conditionalFormatting sqref="B44:G44">
    <cfRule type="top10" dxfId="135" priority="643" rank="1"/>
  </conditionalFormatting>
  <conditionalFormatting sqref="B48:G48">
    <cfRule type="top10" dxfId="134" priority="644" rank="1"/>
  </conditionalFormatting>
  <conditionalFormatting sqref="B52:G52">
    <cfRule type="top10" dxfId="133" priority="645" rank="1"/>
  </conditionalFormatting>
  <conditionalFormatting sqref="B56:G56">
    <cfRule type="top10" dxfId="132" priority="646" rank="1"/>
  </conditionalFormatting>
  <conditionalFormatting sqref="B57:G57">
    <cfRule type="top10" dxfId="131" priority="647" rank="1"/>
  </conditionalFormatting>
  <conditionalFormatting sqref="B61:G61">
    <cfRule type="top10" dxfId="130" priority="648" rank="1"/>
  </conditionalFormatting>
  <conditionalFormatting sqref="B62:G62">
    <cfRule type="top10" dxfId="129" priority="649" rank="1"/>
  </conditionalFormatting>
  <conditionalFormatting sqref="B66:G66">
    <cfRule type="top10" dxfId="128" priority="650" rank="1"/>
  </conditionalFormatting>
  <conditionalFormatting sqref="B67:G67">
    <cfRule type="top10" dxfId="127" priority="651" rank="1"/>
  </conditionalFormatting>
  <conditionalFormatting sqref="B71:G71">
    <cfRule type="top10" dxfId="126" priority="652" rank="1"/>
  </conditionalFormatting>
  <conditionalFormatting sqref="B72:G72">
    <cfRule type="top10" dxfId="125" priority="653" rank="1"/>
  </conditionalFormatting>
  <conditionalFormatting sqref="B76:G76">
    <cfRule type="top10" dxfId="124" priority="654" rank="1"/>
  </conditionalFormatting>
  <conditionalFormatting sqref="B77:G77">
    <cfRule type="top10" dxfId="123" priority="655" rank="1"/>
  </conditionalFormatting>
  <conditionalFormatting sqref="B81:G81">
    <cfRule type="top10" dxfId="122" priority="656" rank="1"/>
  </conditionalFormatting>
  <conditionalFormatting sqref="B82:G82">
    <cfRule type="top10" dxfId="121" priority="657" rank="1"/>
  </conditionalFormatting>
  <conditionalFormatting sqref="C34 C36 C38">
    <cfRule type="top10" dxfId="120" priority="65" rank="1"/>
  </conditionalFormatting>
  <conditionalFormatting sqref="D27">
    <cfRule type="top10" dxfId="119" priority="1" rank="1"/>
  </conditionalFormatting>
  <conditionalFormatting sqref="F27:G27 C28 C30 C32 B27">
    <cfRule type="top10" dxfId="118" priority="531" rank="1"/>
  </conditionalFormatting>
  <printOptions horizontalCentered="1" verticalCentered="1"/>
  <pageMargins left="0" right="0" top="0" bottom="0" header="0" footer="0"/>
  <pageSetup paperSize="9" scale="40" fitToHeight="0" orientation="portrait" r:id="rId1"/>
  <headerFooter>
    <oddFooter>&amp;L_x000D_&amp;1#&amp;"Calibri"&amp;8&amp;K008000 Public</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83"/>
  <sheetViews>
    <sheetView showGridLines="0" zoomScale="70" zoomScaleNormal="70" workbookViewId="0">
      <pane xSplit="1" ySplit="7" topLeftCell="D8" activePane="bottomRight" state="frozen"/>
      <selection pane="topRight" activeCell="B1" sqref="B1"/>
      <selection pane="bottomLeft" activeCell="A8" sqref="A8"/>
      <selection pane="bottomRight" activeCell="J13" sqref="J13:J18"/>
    </sheetView>
  </sheetViews>
  <sheetFormatPr defaultColWidth="9.1796875" defaultRowHeight="15.5" x14ac:dyDescent="0.35"/>
  <cols>
    <col min="1" max="1" width="65" style="17" customWidth="1"/>
    <col min="2" max="2" width="23.453125" style="17" bestFit="1" customWidth="1"/>
    <col min="3" max="3" width="17.26953125" style="17" bestFit="1" customWidth="1"/>
    <col min="4" max="4" width="18.7265625" style="17" customWidth="1"/>
    <col min="5" max="5" width="22.90625" style="17" bestFit="1" customWidth="1"/>
    <col min="6" max="6" width="24.36328125" style="19" customWidth="1"/>
    <col min="7" max="7" width="23" style="17" customWidth="1"/>
    <col min="8" max="8" width="23.1796875" style="17" bestFit="1" customWidth="1"/>
    <col min="9" max="9" width="17.6328125" style="17" customWidth="1"/>
    <col min="10" max="10" width="16.90625" style="17" bestFit="1" customWidth="1"/>
    <col min="11" max="11" width="22.08984375" style="17" bestFit="1" customWidth="1"/>
    <col min="12" max="12" width="4.81640625" style="17" customWidth="1"/>
    <col min="13" max="13" width="70.453125" style="17" customWidth="1"/>
    <col min="14" max="16384" width="9.1796875" style="17"/>
  </cols>
  <sheetData>
    <row r="1" spans="1:16" ht="15" customHeight="1" x14ac:dyDescent="0.35">
      <c r="A1" s="273" t="s">
        <v>234</v>
      </c>
      <c r="B1" s="273"/>
      <c r="C1" s="273"/>
      <c r="D1" s="273"/>
      <c r="E1" s="273"/>
      <c r="F1" s="273"/>
      <c r="G1" s="273"/>
      <c r="H1" s="273"/>
      <c r="I1" s="273"/>
      <c r="J1" s="273"/>
      <c r="K1" s="273"/>
      <c r="L1" s="16"/>
      <c r="M1" s="16"/>
      <c r="N1" s="16"/>
      <c r="O1" s="16"/>
      <c r="P1" s="16"/>
    </row>
    <row r="2" spans="1:16" x14ac:dyDescent="0.35">
      <c r="A2" s="273"/>
      <c r="B2" s="273"/>
      <c r="C2" s="273"/>
      <c r="D2" s="273"/>
      <c r="E2" s="273"/>
      <c r="F2" s="273"/>
      <c r="G2" s="273"/>
      <c r="H2" s="273"/>
      <c r="I2" s="273"/>
      <c r="J2" s="273"/>
      <c r="K2" s="273"/>
      <c r="L2" s="16"/>
      <c r="M2" s="16"/>
      <c r="N2" s="16"/>
      <c r="O2" s="16"/>
      <c r="P2" s="16"/>
    </row>
    <row r="3" spans="1:16" x14ac:dyDescent="0.35">
      <c r="A3" s="18" t="s">
        <v>235</v>
      </c>
      <c r="B3" s="18"/>
      <c r="C3" s="18"/>
      <c r="F3" s="192"/>
    </row>
    <row r="4" spans="1:16" x14ac:dyDescent="0.35">
      <c r="A4" s="18" t="s">
        <v>236</v>
      </c>
      <c r="B4" s="18"/>
      <c r="C4" s="18"/>
      <c r="F4" s="192"/>
    </row>
    <row r="5" spans="1:16" ht="20.25" customHeight="1" thickBot="1" x14ac:dyDescent="0.4">
      <c r="A5" s="18" t="s">
        <v>237</v>
      </c>
      <c r="B5" s="18"/>
      <c r="C5" s="18"/>
      <c r="F5" s="192"/>
    </row>
    <row r="6" spans="1:16" ht="16" thickBot="1" x14ac:dyDescent="0.4">
      <c r="A6" s="274" t="s">
        <v>238</v>
      </c>
      <c r="B6" s="178" t="s">
        <v>16</v>
      </c>
      <c r="C6" s="178" t="s">
        <v>16</v>
      </c>
      <c r="D6" s="178" t="s">
        <v>21</v>
      </c>
      <c r="E6" s="178" t="s">
        <v>21</v>
      </c>
      <c r="F6" s="178" t="s">
        <v>26</v>
      </c>
      <c r="G6" s="178" t="s">
        <v>27</v>
      </c>
      <c r="H6" s="178" t="s">
        <v>30</v>
      </c>
      <c r="I6" s="178" t="s">
        <v>30</v>
      </c>
      <c r="J6" s="178" t="s">
        <v>37</v>
      </c>
      <c r="K6" s="178" t="s">
        <v>37</v>
      </c>
      <c r="L6" s="19"/>
      <c r="M6" s="20" t="s">
        <v>239</v>
      </c>
      <c r="N6" s="19"/>
      <c r="P6" s="21"/>
    </row>
    <row r="7" spans="1:16" ht="81.5" customHeight="1" x14ac:dyDescent="0.35">
      <c r="A7" s="274"/>
      <c r="B7" s="178" t="s">
        <v>240</v>
      </c>
      <c r="C7" s="178" t="s">
        <v>241</v>
      </c>
      <c r="D7" s="178" t="s">
        <v>291</v>
      </c>
      <c r="E7" s="178" t="s">
        <v>46</v>
      </c>
      <c r="F7" s="178" t="s">
        <v>370</v>
      </c>
      <c r="G7" s="178" t="s">
        <v>28</v>
      </c>
      <c r="H7" s="178" t="s">
        <v>33</v>
      </c>
      <c r="I7" s="178" t="s">
        <v>31</v>
      </c>
      <c r="J7" s="178" t="s">
        <v>40</v>
      </c>
      <c r="K7" s="178" t="s">
        <v>38</v>
      </c>
      <c r="L7" s="22"/>
      <c r="M7" s="323" t="s">
        <v>408</v>
      </c>
      <c r="N7" s="22"/>
      <c r="P7" s="23"/>
    </row>
    <row r="8" spans="1:16" ht="21" customHeight="1" x14ac:dyDescent="0.35">
      <c r="A8" s="24" t="s">
        <v>242</v>
      </c>
      <c r="B8" s="25">
        <v>4.2500000000000003E-2</v>
      </c>
      <c r="C8" s="25">
        <v>4.2500000000000003E-2</v>
      </c>
      <c r="D8" s="25">
        <v>4.2500000000000003E-2</v>
      </c>
      <c r="E8" s="25">
        <v>4.2500000000000003E-2</v>
      </c>
      <c r="F8" s="25">
        <v>4.2500000000000003E-2</v>
      </c>
      <c r="G8" s="25">
        <v>4.2500000000000003E-2</v>
      </c>
      <c r="H8" s="25">
        <v>4.2500000000000003E-2</v>
      </c>
      <c r="I8" s="25">
        <v>4.2500000000000003E-2</v>
      </c>
      <c r="J8" s="25">
        <v>4.2500000000000003E-2</v>
      </c>
      <c r="K8" s="25">
        <v>4.2500000000000003E-2</v>
      </c>
      <c r="L8" s="26"/>
      <c r="M8" s="324"/>
      <c r="N8" s="26"/>
      <c r="P8" s="27"/>
    </row>
    <row r="9" spans="1:16" ht="19.5" customHeight="1" x14ac:dyDescent="0.35">
      <c r="A9" s="28" t="s">
        <v>243</v>
      </c>
      <c r="B9" s="29" t="s">
        <v>244</v>
      </c>
      <c r="C9" s="29" t="s">
        <v>244</v>
      </c>
      <c r="D9" s="29" t="s">
        <v>245</v>
      </c>
      <c r="E9" s="29" t="s">
        <v>245</v>
      </c>
      <c r="F9" s="29" t="s">
        <v>244</v>
      </c>
      <c r="G9" s="29" t="s">
        <v>244</v>
      </c>
      <c r="H9" s="63" t="s">
        <v>245</v>
      </c>
      <c r="I9" s="63" t="s">
        <v>245</v>
      </c>
      <c r="J9" s="29" t="s">
        <v>245</v>
      </c>
      <c r="K9" s="29" t="s">
        <v>245</v>
      </c>
      <c r="L9" s="30"/>
      <c r="M9" s="324"/>
      <c r="N9" s="30"/>
    </row>
    <row r="10" spans="1:16" x14ac:dyDescent="0.35">
      <c r="A10" s="31" t="s">
        <v>57</v>
      </c>
      <c r="B10" s="32">
        <v>5</v>
      </c>
      <c r="C10" s="32">
        <v>5</v>
      </c>
      <c r="D10" s="32">
        <v>5</v>
      </c>
      <c r="E10" s="32">
        <v>5</v>
      </c>
      <c r="F10" s="32">
        <v>5</v>
      </c>
      <c r="G10" s="32">
        <v>5</v>
      </c>
      <c r="H10" s="32">
        <v>5</v>
      </c>
      <c r="I10" s="32">
        <v>5</v>
      </c>
      <c r="J10" s="32">
        <v>5</v>
      </c>
      <c r="K10" s="32">
        <v>5</v>
      </c>
      <c r="L10" s="30"/>
      <c r="M10" s="324"/>
      <c r="N10" s="30"/>
    </row>
    <row r="11" spans="1:16" ht="73.5" customHeight="1" x14ac:dyDescent="0.35">
      <c r="A11" s="31" t="s">
        <v>246</v>
      </c>
      <c r="B11" s="33" t="s">
        <v>292</v>
      </c>
      <c r="C11" s="33" t="s">
        <v>293</v>
      </c>
      <c r="D11" s="33" t="s">
        <v>292</v>
      </c>
      <c r="E11" s="33" t="s">
        <v>292</v>
      </c>
      <c r="F11" s="32" t="s">
        <v>384</v>
      </c>
      <c r="G11" s="123" t="s">
        <v>294</v>
      </c>
      <c r="H11" s="33" t="s">
        <v>292</v>
      </c>
      <c r="I11" s="33" t="s">
        <v>295</v>
      </c>
      <c r="J11" s="123" t="s">
        <v>296</v>
      </c>
      <c r="K11" s="33" t="s">
        <v>297</v>
      </c>
      <c r="L11" s="30"/>
      <c r="M11" s="324"/>
      <c r="N11" s="30"/>
    </row>
    <row r="12" spans="1:16" ht="16.5" customHeight="1" x14ac:dyDescent="0.35">
      <c r="A12" s="31" t="s">
        <v>251</v>
      </c>
      <c r="B12" s="34">
        <v>273000</v>
      </c>
      <c r="C12" s="146">
        <v>600000</v>
      </c>
      <c r="D12" s="35">
        <v>600000</v>
      </c>
      <c r="E12" s="35">
        <v>333000</v>
      </c>
      <c r="F12" s="32"/>
      <c r="G12" s="35">
        <v>600000</v>
      </c>
      <c r="H12" s="35">
        <v>300000</v>
      </c>
      <c r="I12" s="35">
        <v>200000</v>
      </c>
      <c r="J12" s="35">
        <v>740800</v>
      </c>
      <c r="K12" s="35">
        <v>750000</v>
      </c>
      <c r="L12" s="30"/>
      <c r="M12" s="324"/>
      <c r="N12" s="30"/>
    </row>
    <row r="13" spans="1:16" x14ac:dyDescent="0.35">
      <c r="A13" s="281" t="s">
        <v>253</v>
      </c>
      <c r="B13" s="286">
        <v>6006</v>
      </c>
      <c r="C13" s="129" t="s">
        <v>298</v>
      </c>
      <c r="D13" s="262">
        <v>6000</v>
      </c>
      <c r="E13" s="262">
        <v>5994</v>
      </c>
      <c r="F13" s="317">
        <v>6020</v>
      </c>
      <c r="G13" s="131" t="s">
        <v>299</v>
      </c>
      <c r="H13" s="262">
        <v>6000</v>
      </c>
      <c r="I13" s="262">
        <v>6000</v>
      </c>
      <c r="J13" s="262">
        <v>6000</v>
      </c>
      <c r="K13" s="330">
        <v>6000</v>
      </c>
      <c r="L13" s="37"/>
      <c r="M13" s="324"/>
      <c r="N13" s="37"/>
    </row>
    <row r="14" spans="1:16" x14ac:dyDescent="0.35">
      <c r="A14" s="282"/>
      <c r="B14" s="287"/>
      <c r="C14" s="133">
        <v>6000</v>
      </c>
      <c r="D14" s="263"/>
      <c r="E14" s="263"/>
      <c r="F14" s="318"/>
      <c r="G14" s="52">
        <f>G25*5%</f>
        <v>6000</v>
      </c>
      <c r="H14" s="263"/>
      <c r="I14" s="263"/>
      <c r="J14" s="263"/>
      <c r="K14" s="331"/>
      <c r="L14" s="37"/>
      <c r="M14" s="324"/>
      <c r="N14" s="37"/>
    </row>
    <row r="15" spans="1:16" x14ac:dyDescent="0.35">
      <c r="A15" s="282"/>
      <c r="B15" s="287"/>
      <c r="C15" s="129" t="s">
        <v>300</v>
      </c>
      <c r="D15" s="265"/>
      <c r="E15" s="263"/>
      <c r="F15" s="318"/>
      <c r="G15" s="154" t="s">
        <v>301</v>
      </c>
      <c r="H15" s="263"/>
      <c r="I15" s="263"/>
      <c r="J15" s="263"/>
      <c r="K15" s="331"/>
      <c r="L15" s="37"/>
      <c r="M15" s="324"/>
      <c r="N15" s="37"/>
    </row>
    <row r="16" spans="1:16" x14ac:dyDescent="0.35">
      <c r="A16" s="282"/>
      <c r="B16" s="287"/>
      <c r="C16" s="130">
        <v>7680</v>
      </c>
      <c r="D16" s="265"/>
      <c r="E16" s="263"/>
      <c r="F16" s="318"/>
      <c r="G16" s="154">
        <f>G25*6.3%</f>
        <v>7560</v>
      </c>
      <c r="H16" s="263"/>
      <c r="I16" s="263"/>
      <c r="J16" s="263"/>
      <c r="K16" s="331"/>
      <c r="L16" s="37"/>
      <c r="M16" s="324"/>
      <c r="N16" s="37"/>
    </row>
    <row r="17" spans="1:14" x14ac:dyDescent="0.35">
      <c r="A17" s="282"/>
      <c r="B17" s="287"/>
      <c r="C17" s="133" t="s">
        <v>302</v>
      </c>
      <c r="D17" s="263"/>
      <c r="E17" s="263"/>
      <c r="F17" s="318"/>
      <c r="G17" s="154"/>
      <c r="H17" s="263"/>
      <c r="I17" s="263"/>
      <c r="J17" s="263"/>
      <c r="K17" s="331"/>
      <c r="L17" s="37"/>
      <c r="M17" s="324"/>
      <c r="N17" s="37"/>
    </row>
    <row r="18" spans="1:14" x14ac:dyDescent="0.35">
      <c r="A18" s="316"/>
      <c r="B18" s="287"/>
      <c r="C18" s="130">
        <v>8220</v>
      </c>
      <c r="D18" s="264"/>
      <c r="E18" s="264"/>
      <c r="F18" s="319"/>
      <c r="G18" s="52"/>
      <c r="H18" s="264"/>
      <c r="I18" s="264"/>
      <c r="J18" s="264"/>
      <c r="K18" s="332"/>
      <c r="L18" s="37"/>
      <c r="M18" s="324"/>
      <c r="N18" s="37"/>
    </row>
    <row r="19" spans="1:14" ht="30" customHeight="1" x14ac:dyDescent="0.35">
      <c r="A19" s="278" t="s">
        <v>259</v>
      </c>
      <c r="B19" s="129" t="s">
        <v>260</v>
      </c>
      <c r="C19" s="129" t="s">
        <v>298</v>
      </c>
      <c r="D19" s="303">
        <v>34200</v>
      </c>
      <c r="E19" s="289">
        <v>19980</v>
      </c>
      <c r="F19" s="317" t="s">
        <v>396</v>
      </c>
      <c r="G19" s="131" t="s">
        <v>299</v>
      </c>
      <c r="H19" s="212" t="s">
        <v>303</v>
      </c>
      <c r="I19" s="262">
        <v>16800</v>
      </c>
      <c r="J19" s="303">
        <v>24001</v>
      </c>
      <c r="K19" s="194" t="s">
        <v>304</v>
      </c>
      <c r="L19" s="37"/>
      <c r="M19" s="324"/>
      <c r="N19" s="37"/>
    </row>
    <row r="20" spans="1:14" x14ac:dyDescent="0.35">
      <c r="A20" s="279"/>
      <c r="B20" s="130">
        <v>14196</v>
      </c>
      <c r="C20" s="130">
        <v>13860</v>
      </c>
      <c r="D20" s="290"/>
      <c r="E20" s="328"/>
      <c r="F20" s="318"/>
      <c r="G20" s="52">
        <f>G14+(5%*G25)</f>
        <v>12000</v>
      </c>
      <c r="H20" s="154">
        <v>27900</v>
      </c>
      <c r="I20" s="263"/>
      <c r="J20" s="290"/>
      <c r="K20" s="130">
        <v>15000</v>
      </c>
      <c r="L20" s="37"/>
      <c r="M20" s="324"/>
      <c r="N20" s="37"/>
    </row>
    <row r="21" spans="1:14" ht="31" x14ac:dyDescent="0.35">
      <c r="A21" s="279"/>
      <c r="B21" s="133" t="s">
        <v>268</v>
      </c>
      <c r="C21" s="129" t="s">
        <v>300</v>
      </c>
      <c r="D21" s="290"/>
      <c r="E21" s="328"/>
      <c r="F21" s="318"/>
      <c r="G21" s="154" t="s">
        <v>301</v>
      </c>
      <c r="H21" s="131" t="s">
        <v>305</v>
      </c>
      <c r="I21" s="265"/>
      <c r="J21" s="290"/>
      <c r="K21" s="194" t="s">
        <v>306</v>
      </c>
      <c r="L21" s="37"/>
      <c r="M21" s="324"/>
      <c r="N21" s="37"/>
    </row>
    <row r="22" spans="1:14" x14ac:dyDescent="0.35">
      <c r="A22" s="279"/>
      <c r="B22" s="309">
        <v>15561</v>
      </c>
      <c r="C22" s="130">
        <v>20160</v>
      </c>
      <c r="D22" s="290"/>
      <c r="E22" s="328"/>
      <c r="F22" s="318"/>
      <c r="G22" s="154">
        <f>G16+(12.7%*G25)</f>
        <v>22800</v>
      </c>
      <c r="H22" s="154">
        <v>29700</v>
      </c>
      <c r="I22" s="265"/>
      <c r="J22" s="290"/>
      <c r="K22" s="309">
        <v>22500</v>
      </c>
      <c r="L22" s="37"/>
      <c r="M22" s="324"/>
      <c r="N22" s="37"/>
    </row>
    <row r="23" spans="1:14" x14ac:dyDescent="0.35">
      <c r="A23" s="279"/>
      <c r="B23" s="309"/>
      <c r="C23" s="133" t="s">
        <v>302</v>
      </c>
      <c r="D23" s="290"/>
      <c r="E23" s="328"/>
      <c r="F23" s="318"/>
      <c r="G23" s="154"/>
      <c r="H23" s="154"/>
      <c r="I23" s="265"/>
      <c r="J23" s="290"/>
      <c r="K23" s="309"/>
      <c r="L23" s="37"/>
      <c r="M23" s="324"/>
      <c r="N23" s="37"/>
    </row>
    <row r="24" spans="1:14" x14ac:dyDescent="0.35">
      <c r="A24" s="280"/>
      <c r="B24" s="310"/>
      <c r="C24" s="130">
        <v>21540</v>
      </c>
      <c r="D24" s="304"/>
      <c r="E24" s="329"/>
      <c r="F24" s="319"/>
      <c r="G24" s="52"/>
      <c r="H24" s="132"/>
      <c r="I24" s="308"/>
      <c r="J24" s="304"/>
      <c r="K24" s="310"/>
      <c r="L24" s="37"/>
      <c r="M24" s="324"/>
      <c r="N24" s="37"/>
    </row>
    <row r="25" spans="1:14" x14ac:dyDescent="0.35">
      <c r="A25" s="31" t="s">
        <v>264</v>
      </c>
      <c r="B25" s="69">
        <v>92031.05</v>
      </c>
      <c r="C25" s="69">
        <v>120000</v>
      </c>
      <c r="D25" s="35">
        <v>197898</v>
      </c>
      <c r="E25" s="52">
        <v>117549</v>
      </c>
      <c r="F25" s="69">
        <v>86000</v>
      </c>
      <c r="G25" s="35">
        <v>120000</v>
      </c>
      <c r="H25" s="52">
        <v>176470.6</v>
      </c>
      <c r="I25" s="138">
        <v>120000</v>
      </c>
      <c r="J25" s="35">
        <v>148160</v>
      </c>
      <c r="K25" s="52">
        <v>150000</v>
      </c>
      <c r="L25" s="37"/>
      <c r="M25" s="324"/>
      <c r="N25" s="37"/>
    </row>
    <row r="26" spans="1:14" x14ac:dyDescent="0.35">
      <c r="A26" s="31" t="s">
        <v>265</v>
      </c>
      <c r="B26" s="67">
        <f>$B$25*$B$10</f>
        <v>460155.25</v>
      </c>
      <c r="C26" s="67">
        <f>$C$25*$C$10</f>
        <v>600000</v>
      </c>
      <c r="D26" s="67">
        <f>$D$25*$D$10</f>
        <v>989490</v>
      </c>
      <c r="E26" s="67">
        <f>$E$25*$E$10</f>
        <v>587745</v>
      </c>
      <c r="F26" s="67">
        <f>F25*5</f>
        <v>430000</v>
      </c>
      <c r="G26" s="67">
        <f>$G$25*$G$10</f>
        <v>600000</v>
      </c>
      <c r="H26" s="67">
        <f>$H$25*$H$10</f>
        <v>882353</v>
      </c>
      <c r="I26" s="67">
        <f>$I$25*$I$10</f>
        <v>600000</v>
      </c>
      <c r="J26" s="67">
        <f>$J$25*$J$10</f>
        <v>740800</v>
      </c>
      <c r="K26" s="67">
        <f>$K$25*$K$10</f>
        <v>750000</v>
      </c>
      <c r="L26" s="37"/>
      <c r="M26" s="324"/>
      <c r="N26" s="37"/>
    </row>
    <row r="27" spans="1:14" x14ac:dyDescent="0.35">
      <c r="A27" s="283" t="s">
        <v>266</v>
      </c>
      <c r="B27" s="266">
        <f>B13/$B$26</f>
        <v>1.305211664976114E-2</v>
      </c>
      <c r="C27" s="147" t="s">
        <v>298</v>
      </c>
      <c r="D27" s="266">
        <f>D13/D26</f>
        <v>6.0637298002001027E-3</v>
      </c>
      <c r="E27" s="266">
        <f t="shared" ref="E27" si="0">E13/E26</f>
        <v>1.0198300283286119E-2</v>
      </c>
      <c r="F27" s="320">
        <f>F13/F26</f>
        <v>1.4E-2</v>
      </c>
      <c r="G27" s="155" t="s">
        <v>299</v>
      </c>
      <c r="H27" s="266">
        <f t="shared" ref="H27" si="1">H13/H26</f>
        <v>6.7999995466666973E-3</v>
      </c>
      <c r="I27" s="266">
        <f t="shared" ref="I27" si="2">I13/I26</f>
        <v>0.01</v>
      </c>
      <c r="J27" s="266">
        <f t="shared" ref="J27" si="3">J13/J26</f>
        <v>8.099352051835854E-3</v>
      </c>
      <c r="K27" s="266">
        <f t="shared" ref="K27" si="4">K13/K26</f>
        <v>8.0000000000000002E-3</v>
      </c>
      <c r="L27" s="37"/>
      <c r="M27" s="324"/>
      <c r="N27" s="37"/>
    </row>
    <row r="28" spans="1:14" x14ac:dyDescent="0.35">
      <c r="A28" s="284"/>
      <c r="B28" s="267"/>
      <c r="C28" s="150">
        <f>C14/C26</f>
        <v>0.01</v>
      </c>
      <c r="D28" s="267"/>
      <c r="E28" s="267"/>
      <c r="F28" s="321"/>
      <c r="G28" s="169">
        <f>G14/G26</f>
        <v>0.01</v>
      </c>
      <c r="H28" s="267"/>
      <c r="I28" s="267"/>
      <c r="J28" s="267"/>
      <c r="K28" s="267"/>
      <c r="L28" s="37"/>
      <c r="M28" s="324"/>
      <c r="N28" s="37"/>
    </row>
    <row r="29" spans="1:14" x14ac:dyDescent="0.35">
      <c r="A29" s="284"/>
      <c r="B29" s="267"/>
      <c r="C29" s="148" t="s">
        <v>300</v>
      </c>
      <c r="D29" s="267"/>
      <c r="E29" s="267"/>
      <c r="F29" s="321"/>
      <c r="G29" s="165" t="s">
        <v>301</v>
      </c>
      <c r="H29" s="267"/>
      <c r="I29" s="267"/>
      <c r="J29" s="267"/>
      <c r="K29" s="267"/>
      <c r="L29" s="37"/>
      <c r="M29" s="324"/>
      <c r="N29" s="37"/>
    </row>
    <row r="30" spans="1:14" x14ac:dyDescent="0.35">
      <c r="A30" s="284"/>
      <c r="B30" s="267"/>
      <c r="C30" s="156">
        <f>C16/C26</f>
        <v>1.2800000000000001E-2</v>
      </c>
      <c r="D30" s="267"/>
      <c r="E30" s="267"/>
      <c r="F30" s="321"/>
      <c r="G30" s="168">
        <f>G16/G26</f>
        <v>1.26E-2</v>
      </c>
      <c r="H30" s="267"/>
      <c r="I30" s="267"/>
      <c r="J30" s="267"/>
      <c r="K30" s="267"/>
      <c r="L30" s="37"/>
      <c r="M30" s="324"/>
      <c r="N30" s="37"/>
    </row>
    <row r="31" spans="1:14" x14ac:dyDescent="0.35">
      <c r="A31" s="284"/>
      <c r="B31" s="267"/>
      <c r="C31" s="147" t="s">
        <v>302</v>
      </c>
      <c r="D31" s="267"/>
      <c r="E31" s="267"/>
      <c r="F31" s="321"/>
      <c r="G31" s="140"/>
      <c r="H31" s="267"/>
      <c r="I31" s="267"/>
      <c r="J31" s="267"/>
      <c r="K31" s="267"/>
      <c r="L31" s="37"/>
      <c r="M31" s="324"/>
      <c r="N31" s="37"/>
    </row>
    <row r="32" spans="1:14" x14ac:dyDescent="0.35">
      <c r="A32" s="285"/>
      <c r="B32" s="268"/>
      <c r="C32" s="150">
        <f>C18/C26</f>
        <v>1.37E-2</v>
      </c>
      <c r="D32" s="268"/>
      <c r="E32" s="268"/>
      <c r="F32" s="322"/>
      <c r="G32" s="141"/>
      <c r="H32" s="268"/>
      <c r="I32" s="268"/>
      <c r="J32" s="268"/>
      <c r="K32" s="268"/>
      <c r="L32" s="37"/>
      <c r="M32" s="324"/>
      <c r="N32" s="37"/>
    </row>
    <row r="33" spans="1:14" ht="31" customHeight="1" x14ac:dyDescent="0.35">
      <c r="A33" s="275" t="s">
        <v>267</v>
      </c>
      <c r="B33" s="134" t="s">
        <v>260</v>
      </c>
      <c r="C33" s="197" t="s">
        <v>298</v>
      </c>
      <c r="D33" s="314">
        <f>D19/D26</f>
        <v>3.4563259861140588E-2</v>
      </c>
      <c r="E33" s="314">
        <f t="shared" ref="E33" si="5">E19/E26</f>
        <v>3.39943342776204E-2</v>
      </c>
      <c r="F33" s="294" t="s">
        <v>399</v>
      </c>
      <c r="G33" s="155" t="s">
        <v>299</v>
      </c>
      <c r="H33" s="218" t="s">
        <v>303</v>
      </c>
      <c r="I33" s="305">
        <f>I19/I26</f>
        <v>2.8000000000000001E-2</v>
      </c>
      <c r="J33" s="305">
        <f>J19/J26</f>
        <v>3.2398758099352054E-2</v>
      </c>
      <c r="K33" s="134" t="s">
        <v>304</v>
      </c>
      <c r="L33" s="37"/>
      <c r="M33" s="324"/>
      <c r="N33" s="37"/>
    </row>
    <row r="34" spans="1:14" x14ac:dyDescent="0.35">
      <c r="A34" s="276"/>
      <c r="B34" s="141">
        <f>B20/B26</f>
        <v>3.0850457535799059E-2</v>
      </c>
      <c r="C34" s="198">
        <f>C20/C26</f>
        <v>2.3099999999999999E-2</v>
      </c>
      <c r="D34" s="288"/>
      <c r="E34" s="288"/>
      <c r="F34" s="295"/>
      <c r="G34" s="167">
        <f>G20/G26</f>
        <v>0.02</v>
      </c>
      <c r="H34" s="140">
        <f>H20/H26</f>
        <v>3.1619997892000137E-2</v>
      </c>
      <c r="I34" s="306"/>
      <c r="J34" s="306"/>
      <c r="K34" s="199">
        <f>K20/K26</f>
        <v>0.02</v>
      </c>
      <c r="L34" s="37"/>
      <c r="M34" s="324"/>
      <c r="N34" s="37"/>
    </row>
    <row r="35" spans="1:14" ht="31" x14ac:dyDescent="0.35">
      <c r="A35" s="276"/>
      <c r="B35" s="145" t="s">
        <v>262</v>
      </c>
      <c r="C35" s="147" t="s">
        <v>300</v>
      </c>
      <c r="D35" s="288"/>
      <c r="E35" s="288"/>
      <c r="F35" s="295"/>
      <c r="G35" s="165" t="s">
        <v>301</v>
      </c>
      <c r="H35" s="218" t="s">
        <v>305</v>
      </c>
      <c r="I35" s="306"/>
      <c r="J35" s="306"/>
      <c r="K35" s="134" t="s">
        <v>306</v>
      </c>
      <c r="L35" s="37"/>
      <c r="M35" s="324"/>
      <c r="N35" s="37"/>
    </row>
    <row r="36" spans="1:14" x14ac:dyDescent="0.35">
      <c r="A36" s="276"/>
      <c r="B36" s="292">
        <f>B22/B26</f>
        <v>3.3816847683472047E-2</v>
      </c>
      <c r="C36" s="150">
        <f>C22/C26</f>
        <v>3.3599999999999998E-2</v>
      </c>
      <c r="D36" s="288"/>
      <c r="E36" s="288"/>
      <c r="F36" s="295"/>
      <c r="G36" s="173">
        <f>G22/G26</f>
        <v>3.7999999999999999E-2</v>
      </c>
      <c r="H36" s="140">
        <f>H22/H26</f>
        <v>3.3659997756000148E-2</v>
      </c>
      <c r="I36" s="306"/>
      <c r="J36" s="306"/>
      <c r="K36" s="326">
        <f>K22/K26</f>
        <v>0.03</v>
      </c>
      <c r="L36" s="37"/>
      <c r="M36" s="324"/>
      <c r="N36" s="37"/>
    </row>
    <row r="37" spans="1:14" x14ac:dyDescent="0.35">
      <c r="A37" s="276"/>
      <c r="B37" s="292"/>
      <c r="C37" s="149" t="s">
        <v>302</v>
      </c>
      <c r="D37" s="288"/>
      <c r="E37" s="288"/>
      <c r="F37" s="295"/>
      <c r="G37" s="140"/>
      <c r="H37" s="145"/>
      <c r="I37" s="306"/>
      <c r="J37" s="306"/>
      <c r="K37" s="326"/>
      <c r="L37" s="37"/>
      <c r="M37" s="324"/>
      <c r="N37" s="37"/>
    </row>
    <row r="38" spans="1:14" ht="22.5" customHeight="1" x14ac:dyDescent="0.35">
      <c r="A38" s="277"/>
      <c r="B38" s="293"/>
      <c r="C38" s="200">
        <f>C24/C26</f>
        <v>3.5900000000000001E-2</v>
      </c>
      <c r="D38" s="315"/>
      <c r="E38" s="315"/>
      <c r="F38" s="296"/>
      <c r="G38" s="141"/>
      <c r="H38" s="135"/>
      <c r="I38" s="307"/>
      <c r="J38" s="307"/>
      <c r="K38" s="327"/>
      <c r="L38" s="37"/>
      <c r="M38" s="324"/>
      <c r="N38" s="37"/>
    </row>
    <row r="39" spans="1:14" s="44" customFormat="1" ht="40" customHeight="1" x14ac:dyDescent="0.35">
      <c r="A39" s="45" t="s">
        <v>307</v>
      </c>
      <c r="B39" s="50" t="s">
        <v>308</v>
      </c>
      <c r="C39" s="74" t="s">
        <v>309</v>
      </c>
      <c r="D39" s="61" t="s">
        <v>273</v>
      </c>
      <c r="E39" s="61" t="s">
        <v>273</v>
      </c>
      <c r="F39" s="50" t="s">
        <v>308</v>
      </c>
      <c r="G39" s="61" t="s">
        <v>273</v>
      </c>
      <c r="H39" s="61" t="s">
        <v>273</v>
      </c>
      <c r="I39" s="75" t="s">
        <v>310</v>
      </c>
      <c r="J39" s="75" t="s">
        <v>311</v>
      </c>
      <c r="K39" s="66" t="s">
        <v>272</v>
      </c>
      <c r="L39" s="43"/>
      <c r="M39" s="324"/>
      <c r="N39" s="43"/>
    </row>
    <row r="40" spans="1:14" ht="22.5" customHeight="1" x14ac:dyDescent="0.35">
      <c r="A40" s="311" t="s">
        <v>274</v>
      </c>
      <c r="B40" s="312"/>
      <c r="C40" s="312"/>
      <c r="D40" s="312"/>
      <c r="E40" s="312"/>
      <c r="F40" s="312"/>
      <c r="G40" s="312"/>
      <c r="H40" s="312"/>
      <c r="I40" s="312"/>
      <c r="J40" s="312"/>
      <c r="K40" s="313"/>
      <c r="L40" s="37"/>
      <c r="M40" s="324"/>
      <c r="N40" s="37"/>
    </row>
    <row r="41" spans="1:14" ht="22.5" customHeight="1" x14ac:dyDescent="0.35">
      <c r="A41" s="39" t="s">
        <v>275</v>
      </c>
      <c r="B41" s="42">
        <v>464756</v>
      </c>
      <c r="C41" s="42">
        <v>600000</v>
      </c>
      <c r="D41" s="42">
        <v>999384</v>
      </c>
      <c r="E41" s="42">
        <v>593622</v>
      </c>
      <c r="F41" s="56">
        <v>451500</v>
      </c>
      <c r="G41" s="42">
        <v>606000</v>
      </c>
      <c r="H41" s="42">
        <v>926471</v>
      </c>
      <c r="I41" s="42">
        <v>630000</v>
      </c>
      <c r="J41" s="42">
        <v>748208</v>
      </c>
      <c r="K41" s="42">
        <v>757500</v>
      </c>
      <c r="L41" s="37"/>
      <c r="M41" s="324"/>
      <c r="N41" s="37"/>
    </row>
    <row r="42" spans="1:14" ht="22.5" customHeight="1" x14ac:dyDescent="0.35">
      <c r="A42" s="39" t="s">
        <v>276</v>
      </c>
      <c r="B42" s="42">
        <v>476029</v>
      </c>
      <c r="C42" s="42">
        <v>712680</v>
      </c>
      <c r="D42" s="42">
        <v>1029068</v>
      </c>
      <c r="E42" s="42">
        <v>611254</v>
      </c>
      <c r="F42" s="56">
        <v>456875</v>
      </c>
      <c r="G42" s="42">
        <v>609000</v>
      </c>
      <c r="H42" s="42">
        <v>926951</v>
      </c>
      <c r="I42" s="42">
        <v>648000</v>
      </c>
      <c r="J42" s="42">
        <v>752653</v>
      </c>
      <c r="K42" s="42">
        <v>757500</v>
      </c>
      <c r="L42" s="37"/>
      <c r="M42" s="324"/>
      <c r="N42" s="37"/>
    </row>
    <row r="43" spans="1:14" x14ac:dyDescent="0.35">
      <c r="A43" s="47" t="s">
        <v>277</v>
      </c>
      <c r="B43" s="153">
        <f>B41/B26</f>
        <v>1.0099982560233747</v>
      </c>
      <c r="C43" s="153">
        <f t="shared" ref="C43:K43" si="6">C41/C26</f>
        <v>1</v>
      </c>
      <c r="D43" s="153">
        <f t="shared" si="6"/>
        <v>1.00999909044053</v>
      </c>
      <c r="E43" s="153">
        <f t="shared" si="6"/>
        <v>1.0099992343618407</v>
      </c>
      <c r="F43" s="213">
        <f>F41/F26</f>
        <v>1.05</v>
      </c>
      <c r="G43" s="153">
        <f t="shared" si="6"/>
        <v>1.01</v>
      </c>
      <c r="H43" s="153">
        <f t="shared" si="6"/>
        <v>1.0500003966666402</v>
      </c>
      <c r="I43" s="213">
        <f t="shared" si="6"/>
        <v>1.05</v>
      </c>
      <c r="J43" s="153">
        <f t="shared" si="6"/>
        <v>1.01</v>
      </c>
      <c r="K43" s="153">
        <f t="shared" si="6"/>
        <v>1.01</v>
      </c>
      <c r="L43" s="37"/>
      <c r="M43" s="324"/>
      <c r="N43" s="37"/>
    </row>
    <row r="44" spans="1:14" ht="22.5" customHeight="1" x14ac:dyDescent="0.35">
      <c r="A44" s="47" t="s">
        <v>278</v>
      </c>
      <c r="B44" s="153">
        <f>B42/B26</f>
        <v>1.0344965096019223</v>
      </c>
      <c r="C44" s="153">
        <f t="shared" ref="C44:K44" si="7">C42/C26</f>
        <v>1.1878</v>
      </c>
      <c r="D44" s="153">
        <f t="shared" si="7"/>
        <v>1.0399983830053867</v>
      </c>
      <c r="E44" s="153">
        <f t="shared" si="7"/>
        <v>1.0399986388654945</v>
      </c>
      <c r="F44" s="153">
        <f>F42/F26</f>
        <v>1.0625</v>
      </c>
      <c r="G44" s="153">
        <f t="shared" si="7"/>
        <v>1.0149999999999999</v>
      </c>
      <c r="H44" s="153">
        <f t="shared" si="7"/>
        <v>1.0505443966303736</v>
      </c>
      <c r="I44" s="213">
        <f t="shared" si="7"/>
        <v>1.08</v>
      </c>
      <c r="J44" s="153">
        <f t="shared" si="7"/>
        <v>1.0160002699784016</v>
      </c>
      <c r="K44" s="153">
        <f t="shared" si="7"/>
        <v>1.01</v>
      </c>
      <c r="L44" s="37"/>
      <c r="M44" s="324"/>
      <c r="N44" s="37"/>
    </row>
    <row r="45" spans="1:14" ht="27.65" customHeight="1" x14ac:dyDescent="0.35">
      <c r="A45" s="297" t="s">
        <v>279</v>
      </c>
      <c r="B45" s="298"/>
      <c r="C45" s="298"/>
      <c r="D45" s="298"/>
      <c r="E45" s="298"/>
      <c r="F45" s="298"/>
      <c r="G45" s="298"/>
      <c r="H45" s="298"/>
      <c r="I45" s="298"/>
      <c r="J45" s="298"/>
      <c r="K45" s="299"/>
      <c r="L45" s="37"/>
      <c r="M45" s="324"/>
      <c r="N45" s="37"/>
    </row>
    <row r="46" spans="1:14" ht="22.5" customHeight="1" x14ac:dyDescent="0.35">
      <c r="A46" s="55" t="s">
        <v>280</v>
      </c>
      <c r="B46" s="56">
        <v>6006</v>
      </c>
      <c r="C46" s="56">
        <v>0</v>
      </c>
      <c r="D46" s="56">
        <v>6000</v>
      </c>
      <c r="E46" s="56">
        <v>5994</v>
      </c>
      <c r="F46" s="56">
        <v>6020</v>
      </c>
      <c r="G46" s="56">
        <v>0</v>
      </c>
      <c r="H46" s="56">
        <v>6000</v>
      </c>
      <c r="I46" s="56">
        <v>24000</v>
      </c>
      <c r="J46" s="56">
        <v>0</v>
      </c>
      <c r="K46" s="36">
        <v>6000</v>
      </c>
      <c r="L46" s="37"/>
      <c r="M46" s="324"/>
      <c r="N46" s="37"/>
    </row>
    <row r="47" spans="1:14" ht="22.5" customHeight="1" x14ac:dyDescent="0.35">
      <c r="A47" s="31" t="s">
        <v>281</v>
      </c>
      <c r="B47" s="67">
        <v>460155</v>
      </c>
      <c r="C47" s="67">
        <v>360000</v>
      </c>
      <c r="D47" s="35">
        <v>989490</v>
      </c>
      <c r="E47" s="35">
        <v>587745</v>
      </c>
      <c r="F47" s="56">
        <v>430000</v>
      </c>
      <c r="G47" s="35">
        <v>600000</v>
      </c>
      <c r="H47" s="35">
        <v>882354</v>
      </c>
      <c r="I47" s="35">
        <v>91800</v>
      </c>
      <c r="J47" s="35">
        <v>444480</v>
      </c>
      <c r="K47" s="35">
        <v>450000</v>
      </c>
      <c r="L47" s="37"/>
      <c r="M47" s="324"/>
      <c r="N47" s="37"/>
    </row>
    <row r="48" spans="1:14" s="44" customFormat="1" ht="22.5" customHeight="1" x14ac:dyDescent="0.35">
      <c r="A48" s="193" t="s">
        <v>282</v>
      </c>
      <c r="B48" s="153">
        <f>(B46+B47)/B26</f>
        <v>1.0130515733548624</v>
      </c>
      <c r="C48" s="153">
        <f>(C46+C47)/C26</f>
        <v>0.6</v>
      </c>
      <c r="D48" s="213">
        <f t="shared" ref="D48:K48" si="8">(D46+D47)/D26</f>
        <v>1.0060637298002002</v>
      </c>
      <c r="E48" s="213">
        <f t="shared" si="8"/>
        <v>1.0101983002832862</v>
      </c>
      <c r="F48" s="153">
        <f>(F46+F47)/F26</f>
        <v>1.014</v>
      </c>
      <c r="G48" s="153">
        <f t="shared" si="8"/>
        <v>1</v>
      </c>
      <c r="H48" s="213">
        <f t="shared" si="8"/>
        <v>1.0068011328799245</v>
      </c>
      <c r="I48" s="153">
        <f t="shared" si="8"/>
        <v>0.193</v>
      </c>
      <c r="J48" s="153">
        <f t="shared" si="8"/>
        <v>0.6</v>
      </c>
      <c r="K48" s="153">
        <f t="shared" si="8"/>
        <v>0.60799999999999998</v>
      </c>
      <c r="L48" s="43"/>
      <c r="M48" s="324"/>
      <c r="N48" s="43"/>
    </row>
    <row r="49" spans="1:14" ht="35.15" customHeight="1" x14ac:dyDescent="0.35">
      <c r="A49" s="300" t="s">
        <v>283</v>
      </c>
      <c r="B49" s="301"/>
      <c r="C49" s="301"/>
      <c r="D49" s="301"/>
      <c r="E49" s="301"/>
      <c r="F49" s="301"/>
      <c r="G49" s="301"/>
      <c r="H49" s="301"/>
      <c r="I49" s="301"/>
      <c r="J49" s="301"/>
      <c r="K49" s="302"/>
      <c r="L49" s="37"/>
      <c r="M49" s="324"/>
      <c r="N49" s="37"/>
    </row>
    <row r="50" spans="1:14" ht="22.5" customHeight="1" x14ac:dyDescent="0.35">
      <c r="A50" s="24" t="s">
        <v>284</v>
      </c>
      <c r="B50" s="67">
        <v>14196</v>
      </c>
      <c r="C50" s="56">
        <v>0</v>
      </c>
      <c r="D50" s="52">
        <v>34200</v>
      </c>
      <c r="E50" s="52">
        <v>19980</v>
      </c>
      <c r="F50" s="56">
        <v>14620</v>
      </c>
      <c r="G50" s="52">
        <v>0</v>
      </c>
      <c r="H50" s="52">
        <v>18000</v>
      </c>
      <c r="I50" s="52">
        <v>67200</v>
      </c>
      <c r="J50" s="52">
        <v>0</v>
      </c>
      <c r="K50" s="36">
        <v>15000</v>
      </c>
      <c r="L50" s="37"/>
      <c r="M50" s="324"/>
      <c r="N50" s="37"/>
    </row>
    <row r="51" spans="1:14" ht="22.5" customHeight="1" x14ac:dyDescent="0.35">
      <c r="A51" s="31" t="s">
        <v>285</v>
      </c>
      <c r="B51" s="67">
        <v>471428</v>
      </c>
      <c r="C51" s="67">
        <v>370680</v>
      </c>
      <c r="D51" s="35">
        <v>1019174</v>
      </c>
      <c r="E51" s="35">
        <v>605377</v>
      </c>
      <c r="F51" s="56">
        <v>434300</v>
      </c>
      <c r="G51" s="35">
        <v>602400</v>
      </c>
      <c r="H51" s="35">
        <v>882834</v>
      </c>
      <c r="I51" s="35">
        <v>127800</v>
      </c>
      <c r="J51" s="35">
        <v>448925</v>
      </c>
      <c r="K51" s="35">
        <v>450000</v>
      </c>
      <c r="L51" s="37"/>
      <c r="M51" s="324"/>
      <c r="N51" s="37"/>
    </row>
    <row r="52" spans="1:14" s="44" customFormat="1" ht="22.5" customHeight="1" x14ac:dyDescent="0.35">
      <c r="A52" s="193" t="s">
        <v>286</v>
      </c>
      <c r="B52" s="153">
        <f>(B50+B51)/B26</f>
        <v>1.0553481678194478</v>
      </c>
      <c r="C52" s="153">
        <f t="shared" ref="C52:K52" si="9">(C50+C51)/C26</f>
        <v>0.61780000000000002</v>
      </c>
      <c r="D52" s="153">
        <f t="shared" si="9"/>
        <v>1.0645625524259972</v>
      </c>
      <c r="E52" s="153">
        <f t="shared" si="9"/>
        <v>1.0639937387812741</v>
      </c>
      <c r="F52" s="153">
        <f>(F50+F51)/F26</f>
        <v>1.044</v>
      </c>
      <c r="G52" s="153">
        <f t="shared" si="9"/>
        <v>1.004</v>
      </c>
      <c r="H52" s="153">
        <f t="shared" si="9"/>
        <v>1.0209451319369911</v>
      </c>
      <c r="I52" s="153">
        <f t="shared" si="9"/>
        <v>0.32500000000000001</v>
      </c>
      <c r="J52" s="153">
        <f t="shared" si="9"/>
        <v>0.60600026997840173</v>
      </c>
      <c r="K52" s="153">
        <f t="shared" si="9"/>
        <v>0.62</v>
      </c>
      <c r="L52" s="43"/>
      <c r="M52" s="324"/>
      <c r="N52" s="43"/>
    </row>
    <row r="53" spans="1:14" ht="22.5" customHeight="1" x14ac:dyDescent="0.35">
      <c r="A53" s="336" t="s">
        <v>287</v>
      </c>
      <c r="B53" s="337"/>
      <c r="C53" s="337"/>
      <c r="D53" s="337"/>
      <c r="E53" s="337"/>
      <c r="F53" s="337"/>
      <c r="G53" s="337"/>
      <c r="H53" s="337"/>
      <c r="I53" s="337"/>
      <c r="J53" s="337"/>
      <c r="K53" s="338"/>
      <c r="L53" s="37"/>
      <c r="M53" s="324"/>
      <c r="N53" s="37"/>
    </row>
    <row r="54" spans="1:14" ht="22.5" customHeight="1" x14ac:dyDescent="0.35">
      <c r="A54" s="55" t="s">
        <v>275</v>
      </c>
      <c r="B54" s="67">
        <v>509759</v>
      </c>
      <c r="C54" s="69">
        <v>480000</v>
      </c>
      <c r="D54" s="56">
        <v>1096157</v>
      </c>
      <c r="E54" s="56">
        <v>651103</v>
      </c>
      <c r="F54" s="56">
        <v>464400</v>
      </c>
      <c r="G54" s="56">
        <v>689400</v>
      </c>
      <c r="H54" s="56">
        <v>977469</v>
      </c>
      <c r="I54" s="56">
        <v>630000</v>
      </c>
      <c r="J54" s="56">
        <v>748208</v>
      </c>
      <c r="K54" s="42">
        <v>757500</v>
      </c>
      <c r="L54" s="37"/>
      <c r="M54" s="324"/>
      <c r="N54" s="37"/>
    </row>
    <row r="55" spans="1:14" ht="22.5" customHeight="1" x14ac:dyDescent="0.35">
      <c r="A55" s="39" t="s">
        <v>276</v>
      </c>
      <c r="B55" s="67">
        <v>552139</v>
      </c>
      <c r="C55" s="67">
        <v>618540</v>
      </c>
      <c r="D55" s="42">
        <v>1125841</v>
      </c>
      <c r="E55" s="42">
        <v>668735</v>
      </c>
      <c r="F55" s="56">
        <v>503100</v>
      </c>
      <c r="G55" s="42">
        <v>715800</v>
      </c>
      <c r="H55" s="42">
        <v>986619</v>
      </c>
      <c r="I55" s="42">
        <v>882000</v>
      </c>
      <c r="J55" s="42">
        <v>827992</v>
      </c>
      <c r="K55" s="42">
        <v>802095</v>
      </c>
      <c r="L55" s="37"/>
      <c r="M55" s="324"/>
      <c r="N55" s="37"/>
    </row>
    <row r="56" spans="1:14" ht="34.5" customHeight="1" x14ac:dyDescent="0.35">
      <c r="A56" s="47" t="s">
        <v>277</v>
      </c>
      <c r="B56" s="153">
        <f>B54/B26</f>
        <v>1.1077978573535781</v>
      </c>
      <c r="C56" s="153">
        <f t="shared" ref="C56:K56" si="10">C54/C26</f>
        <v>0.8</v>
      </c>
      <c r="D56" s="153">
        <f t="shared" si="10"/>
        <v>1.1077999777663241</v>
      </c>
      <c r="E56" s="153">
        <f t="shared" si="10"/>
        <v>1.1077984500080817</v>
      </c>
      <c r="F56" s="153">
        <f>F54/F26</f>
        <v>1.08</v>
      </c>
      <c r="G56" s="153">
        <f t="shared" si="10"/>
        <v>1.149</v>
      </c>
      <c r="H56" s="153">
        <f t="shared" si="10"/>
        <v>1.1077981261467915</v>
      </c>
      <c r="I56" s="153">
        <f t="shared" si="10"/>
        <v>1.05</v>
      </c>
      <c r="J56" s="153">
        <f t="shared" si="10"/>
        <v>1.01</v>
      </c>
      <c r="K56" s="153">
        <f t="shared" si="10"/>
        <v>1.01</v>
      </c>
      <c r="L56" s="37"/>
      <c r="M56" s="324"/>
      <c r="N56" s="37"/>
    </row>
    <row r="57" spans="1:14" ht="22.5" customHeight="1" x14ac:dyDescent="0.35">
      <c r="A57" s="47" t="s">
        <v>278</v>
      </c>
      <c r="B57" s="153">
        <f>B55/B26</f>
        <v>1.1998972086051392</v>
      </c>
      <c r="C57" s="153">
        <f t="shared" ref="C57:K57" si="11">C55/C26</f>
        <v>1.0308999999999999</v>
      </c>
      <c r="D57" s="153">
        <f t="shared" si="11"/>
        <v>1.1377992703311808</v>
      </c>
      <c r="E57" s="153">
        <f t="shared" si="11"/>
        <v>1.1377978545117355</v>
      </c>
      <c r="F57" s="153">
        <f>F55/F26</f>
        <v>1.17</v>
      </c>
      <c r="G57" s="153">
        <f t="shared" si="11"/>
        <v>1.1930000000000001</v>
      </c>
      <c r="H57" s="153">
        <f t="shared" si="11"/>
        <v>1.1181681254554583</v>
      </c>
      <c r="I57" s="153">
        <f t="shared" si="11"/>
        <v>1.47</v>
      </c>
      <c r="J57" s="153">
        <f t="shared" si="11"/>
        <v>1.1176997840172787</v>
      </c>
      <c r="K57" s="153">
        <f t="shared" si="11"/>
        <v>1.0694600000000001</v>
      </c>
      <c r="L57" s="37"/>
      <c r="M57" s="324"/>
      <c r="N57" s="37"/>
    </row>
    <row r="58" spans="1:14" ht="22.5" customHeight="1" x14ac:dyDescent="0.35">
      <c r="A58" s="297" t="s">
        <v>279</v>
      </c>
      <c r="B58" s="298"/>
      <c r="C58" s="298"/>
      <c r="D58" s="298"/>
      <c r="E58" s="298"/>
      <c r="F58" s="298"/>
      <c r="G58" s="298"/>
      <c r="H58" s="298"/>
      <c r="I58" s="298"/>
      <c r="J58" s="298"/>
      <c r="K58" s="299"/>
      <c r="L58" s="37"/>
      <c r="M58" s="324"/>
      <c r="N58" s="37"/>
    </row>
    <row r="59" spans="1:14" ht="22.5" customHeight="1" x14ac:dyDescent="0.35">
      <c r="A59" s="55" t="s">
        <v>280</v>
      </c>
      <c r="B59" s="56">
        <f>46*B13</f>
        <v>276276</v>
      </c>
      <c r="C59" s="56">
        <v>358440</v>
      </c>
      <c r="D59" s="56">
        <f>46*D13</f>
        <v>276000</v>
      </c>
      <c r="E59" s="56">
        <v>275724</v>
      </c>
      <c r="F59" s="69">
        <v>276920</v>
      </c>
      <c r="G59" s="56">
        <v>332400</v>
      </c>
      <c r="H59" s="56">
        <f>46*H13</f>
        <v>276000</v>
      </c>
      <c r="I59" s="56">
        <v>294000</v>
      </c>
      <c r="J59" s="56">
        <v>270022</v>
      </c>
      <c r="K59" s="56">
        <v>288000</v>
      </c>
      <c r="L59" s="37"/>
      <c r="M59" s="324"/>
      <c r="N59" s="37"/>
    </row>
    <row r="60" spans="1:14" ht="22.5" customHeight="1" x14ac:dyDescent="0.35">
      <c r="A60" s="31" t="s">
        <v>281</v>
      </c>
      <c r="B60" s="56">
        <v>509759</v>
      </c>
      <c r="C60" s="56">
        <v>480000</v>
      </c>
      <c r="D60" s="56">
        <v>1096157</v>
      </c>
      <c r="E60" s="56">
        <v>651103</v>
      </c>
      <c r="F60" s="69">
        <v>464400</v>
      </c>
      <c r="G60" s="56">
        <v>689400</v>
      </c>
      <c r="H60" s="56">
        <v>977469</v>
      </c>
      <c r="I60" s="56">
        <v>457800</v>
      </c>
      <c r="J60" s="56">
        <v>740800</v>
      </c>
      <c r="K60" s="42">
        <v>753150</v>
      </c>
      <c r="L60" s="37"/>
      <c r="M60" s="324"/>
      <c r="N60" s="37"/>
    </row>
    <row r="61" spans="1:14" ht="22.5" customHeight="1" x14ac:dyDescent="0.35">
      <c r="A61" s="49" t="s">
        <v>288</v>
      </c>
      <c r="B61" s="153">
        <f>B59/B26</f>
        <v>0.60039736588901249</v>
      </c>
      <c r="C61" s="153">
        <f t="shared" ref="C61:K61" si="12">C59/C26</f>
        <v>0.59740000000000004</v>
      </c>
      <c r="D61" s="153">
        <f t="shared" si="12"/>
        <v>0.27893157080920472</v>
      </c>
      <c r="E61" s="153">
        <f t="shared" si="12"/>
        <v>0.46912181303116146</v>
      </c>
      <c r="F61" s="153">
        <f>F59/F26</f>
        <v>0.64400000000000002</v>
      </c>
      <c r="G61" s="153">
        <f t="shared" si="12"/>
        <v>0.55400000000000005</v>
      </c>
      <c r="H61" s="153">
        <f t="shared" si="12"/>
        <v>0.31279997914666807</v>
      </c>
      <c r="I61" s="153">
        <f t="shared" si="12"/>
        <v>0.49</v>
      </c>
      <c r="J61" s="153">
        <f t="shared" si="12"/>
        <v>0.36450053995680348</v>
      </c>
      <c r="K61" s="153">
        <f t="shared" si="12"/>
        <v>0.38400000000000001</v>
      </c>
      <c r="L61" s="37"/>
      <c r="M61" s="324"/>
      <c r="N61" s="37"/>
    </row>
    <row r="62" spans="1:14" ht="22.5" customHeight="1" x14ac:dyDescent="0.35">
      <c r="A62" s="49" t="s">
        <v>282</v>
      </c>
      <c r="B62" s="153">
        <f>(B59+B60)/B26</f>
        <v>1.7081952232425903</v>
      </c>
      <c r="C62" s="153">
        <f t="shared" ref="C62:K62" si="13">(C59+C60)/C26</f>
        <v>1.3974</v>
      </c>
      <c r="D62" s="153">
        <f t="shared" si="13"/>
        <v>1.3867315485755287</v>
      </c>
      <c r="E62" s="153">
        <f t="shared" si="13"/>
        <v>1.5769202630392432</v>
      </c>
      <c r="F62" s="153">
        <f>(F59+F60)/F26</f>
        <v>1.724</v>
      </c>
      <c r="G62" s="153">
        <f t="shared" si="13"/>
        <v>1.7030000000000001</v>
      </c>
      <c r="H62" s="153">
        <f t="shared" si="13"/>
        <v>1.4205981052934598</v>
      </c>
      <c r="I62" s="153">
        <f t="shared" si="13"/>
        <v>1.2529999999999999</v>
      </c>
      <c r="J62" s="153">
        <f t="shared" si="13"/>
        <v>1.3645005399568035</v>
      </c>
      <c r="K62" s="153">
        <f t="shared" si="13"/>
        <v>1.3882000000000001</v>
      </c>
      <c r="L62" s="37"/>
      <c r="M62" s="324"/>
      <c r="N62" s="37"/>
    </row>
    <row r="63" spans="1:14" ht="22.5" customHeight="1" x14ac:dyDescent="0.35">
      <c r="A63" s="297" t="s">
        <v>283</v>
      </c>
      <c r="B63" s="298"/>
      <c r="C63" s="298"/>
      <c r="D63" s="298"/>
      <c r="E63" s="298"/>
      <c r="F63" s="298"/>
      <c r="G63" s="298"/>
      <c r="H63" s="298"/>
      <c r="I63" s="298"/>
      <c r="J63" s="298"/>
      <c r="K63" s="299"/>
      <c r="L63" s="37"/>
      <c r="M63" s="324"/>
      <c r="N63" s="37"/>
    </row>
    <row r="64" spans="1:14" ht="22.5" customHeight="1" x14ac:dyDescent="0.35">
      <c r="A64" s="24" t="s">
        <v>284</v>
      </c>
      <c r="B64" s="69">
        <f>(44*14196)+(2*15561)</f>
        <v>655746</v>
      </c>
      <c r="C64" s="69">
        <v>936000</v>
      </c>
      <c r="D64" s="69">
        <f>46*D19</f>
        <v>1573200</v>
      </c>
      <c r="E64" s="69">
        <v>919080</v>
      </c>
      <c r="F64" s="69">
        <f>1445521-745481</f>
        <v>700040</v>
      </c>
      <c r="G64" s="69">
        <v>972000</v>
      </c>
      <c r="H64" s="69">
        <v>1330200</v>
      </c>
      <c r="I64" s="56">
        <v>823200</v>
      </c>
      <c r="J64" s="56">
        <f>2255888-1175801</f>
        <v>1080087</v>
      </c>
      <c r="K64" s="52">
        <v>1035000</v>
      </c>
      <c r="L64" s="37"/>
      <c r="M64" s="324"/>
      <c r="N64" s="37"/>
    </row>
    <row r="65" spans="1:14" ht="22.5" customHeight="1" x14ac:dyDescent="0.35">
      <c r="A65" s="31" t="s">
        <v>285</v>
      </c>
      <c r="B65" s="69">
        <v>552139</v>
      </c>
      <c r="C65" s="69">
        <v>611640</v>
      </c>
      <c r="D65" s="42">
        <v>1125841</v>
      </c>
      <c r="E65" s="42">
        <v>668735</v>
      </c>
      <c r="F65" s="69">
        <v>496650</v>
      </c>
      <c r="G65" s="42">
        <v>715800</v>
      </c>
      <c r="H65" s="42">
        <v>986619</v>
      </c>
      <c r="I65" s="42">
        <v>961800</v>
      </c>
      <c r="J65" s="42">
        <v>820584</v>
      </c>
      <c r="K65" s="38">
        <v>797745</v>
      </c>
      <c r="L65" s="37"/>
      <c r="M65" s="324"/>
      <c r="N65" s="37"/>
    </row>
    <row r="66" spans="1:14" ht="22.5" customHeight="1" x14ac:dyDescent="0.35">
      <c r="A66" s="49" t="s">
        <v>289</v>
      </c>
      <c r="B66" s="153">
        <f>B64/B26</f>
        <v>1.4250538269421027</v>
      </c>
      <c r="C66" s="153">
        <f t="shared" ref="C66:K66" si="14">C64/C26</f>
        <v>1.56</v>
      </c>
      <c r="D66" s="153">
        <f t="shared" si="14"/>
        <v>1.589909953612467</v>
      </c>
      <c r="E66" s="153">
        <f t="shared" si="14"/>
        <v>1.5637393767705383</v>
      </c>
      <c r="F66" s="213">
        <f>F64/F26</f>
        <v>1.6279999999999999</v>
      </c>
      <c r="G66" s="153">
        <f t="shared" si="14"/>
        <v>1.62</v>
      </c>
      <c r="H66" s="153">
        <f t="shared" si="14"/>
        <v>1.5075598994960067</v>
      </c>
      <c r="I66" s="153">
        <f t="shared" si="14"/>
        <v>1.3720000000000001</v>
      </c>
      <c r="J66" s="153">
        <f t="shared" si="14"/>
        <v>1.4580008099352051</v>
      </c>
      <c r="K66" s="153">
        <f t="shared" si="14"/>
        <v>1.38</v>
      </c>
      <c r="L66" s="37"/>
      <c r="M66" s="324"/>
      <c r="N66" s="37"/>
    </row>
    <row r="67" spans="1:14" ht="22.5" customHeight="1" x14ac:dyDescent="0.35">
      <c r="A67" s="49" t="s">
        <v>286</v>
      </c>
      <c r="B67" s="153">
        <f>(B64+B65)/B26</f>
        <v>2.6249510355472419</v>
      </c>
      <c r="C67" s="153">
        <f t="shared" ref="C67:K67" si="15">(C64+C65)/C26</f>
        <v>2.5794000000000001</v>
      </c>
      <c r="D67" s="153">
        <f t="shared" si="15"/>
        <v>2.7277092239436476</v>
      </c>
      <c r="E67" s="153">
        <f t="shared" si="15"/>
        <v>2.7015372312822739</v>
      </c>
      <c r="F67" s="153">
        <f>(F64+F65)/F26</f>
        <v>2.7829999999999999</v>
      </c>
      <c r="G67" s="153">
        <f t="shared" si="15"/>
        <v>2.8130000000000002</v>
      </c>
      <c r="H67" s="153">
        <f t="shared" si="15"/>
        <v>2.625728024951465</v>
      </c>
      <c r="I67" s="153">
        <f t="shared" si="15"/>
        <v>2.9750000000000001</v>
      </c>
      <c r="J67" s="153">
        <f t="shared" si="15"/>
        <v>2.5657005939524837</v>
      </c>
      <c r="K67" s="153">
        <f t="shared" si="15"/>
        <v>2.4436599999999999</v>
      </c>
      <c r="L67" s="37"/>
      <c r="M67" s="324"/>
      <c r="N67" s="37"/>
    </row>
    <row r="68" spans="1:14" ht="22.5" customHeight="1" x14ac:dyDescent="0.35">
      <c r="A68" s="333" t="s">
        <v>290</v>
      </c>
      <c r="B68" s="334"/>
      <c r="C68" s="334"/>
      <c r="D68" s="334"/>
      <c r="E68" s="334"/>
      <c r="F68" s="334"/>
      <c r="G68" s="334"/>
      <c r="H68" s="334"/>
      <c r="I68" s="334"/>
      <c r="J68" s="334"/>
      <c r="K68" s="335"/>
      <c r="L68" s="37"/>
      <c r="M68" s="324"/>
      <c r="N68" s="37"/>
    </row>
    <row r="69" spans="1:14" ht="22.5" customHeight="1" x14ac:dyDescent="0.35">
      <c r="A69" s="55" t="s">
        <v>275</v>
      </c>
      <c r="B69" s="69">
        <v>535850</v>
      </c>
      <c r="C69" s="69">
        <v>480000</v>
      </c>
      <c r="D69" s="56">
        <v>1152261</v>
      </c>
      <c r="E69" s="56">
        <v>684429</v>
      </c>
      <c r="F69" s="69">
        <v>464400</v>
      </c>
      <c r="G69" s="56">
        <v>725400</v>
      </c>
      <c r="H69" s="56">
        <v>1027500</v>
      </c>
      <c r="I69" s="56">
        <v>630000</v>
      </c>
      <c r="J69" s="56">
        <v>748208</v>
      </c>
      <c r="K69" s="56">
        <v>757500</v>
      </c>
      <c r="L69" s="37"/>
      <c r="M69" s="324"/>
      <c r="N69" s="37"/>
    </row>
    <row r="70" spans="1:14" ht="22.5" customHeight="1" x14ac:dyDescent="0.35">
      <c r="A70" s="39" t="s">
        <v>276</v>
      </c>
      <c r="B70" s="69">
        <v>605333</v>
      </c>
      <c r="C70" s="69">
        <v>618540</v>
      </c>
      <c r="D70" s="42">
        <v>1181945</v>
      </c>
      <c r="E70" s="42">
        <v>702061</v>
      </c>
      <c r="F70" s="69">
        <v>550400</v>
      </c>
      <c r="G70" s="42">
        <v>751800</v>
      </c>
      <c r="H70" s="42">
        <v>1042530</v>
      </c>
      <c r="I70" s="42">
        <v>1068000</v>
      </c>
      <c r="J70" s="42">
        <v>867306</v>
      </c>
      <c r="K70" s="42">
        <v>820567</v>
      </c>
      <c r="L70" s="37"/>
      <c r="M70" s="324"/>
      <c r="N70" s="37"/>
    </row>
    <row r="71" spans="1:14" ht="22.5" customHeight="1" x14ac:dyDescent="0.35">
      <c r="A71" s="47" t="s">
        <v>277</v>
      </c>
      <c r="B71" s="153">
        <f>B69/B26</f>
        <v>1.1644982861762416</v>
      </c>
      <c r="C71" s="153">
        <f t="shared" ref="C71:K71" si="16">C69/C26</f>
        <v>0.8</v>
      </c>
      <c r="D71" s="153">
        <f t="shared" si="16"/>
        <v>1.1644998938847284</v>
      </c>
      <c r="E71" s="153">
        <f t="shared" si="16"/>
        <v>1.164499910675548</v>
      </c>
      <c r="F71" s="153">
        <f>F69/F26</f>
        <v>1.08</v>
      </c>
      <c r="G71" s="153">
        <f t="shared" si="16"/>
        <v>1.2090000000000001</v>
      </c>
      <c r="H71" s="153">
        <f t="shared" si="16"/>
        <v>1.1644999223666719</v>
      </c>
      <c r="I71" s="153">
        <f t="shared" si="16"/>
        <v>1.05</v>
      </c>
      <c r="J71" s="153">
        <f t="shared" si="16"/>
        <v>1.01</v>
      </c>
      <c r="K71" s="153">
        <f t="shared" si="16"/>
        <v>1.01</v>
      </c>
      <c r="L71" s="37"/>
      <c r="M71" s="324"/>
      <c r="N71" s="37"/>
    </row>
    <row r="72" spans="1:14" ht="22.5" customHeight="1" x14ac:dyDescent="0.35">
      <c r="A72" s="47" t="s">
        <v>278</v>
      </c>
      <c r="B72" s="153">
        <f>B70/B26</f>
        <v>1.3154973240009757</v>
      </c>
      <c r="C72" s="153">
        <f t="shared" ref="C72:K72" si="17">C70/C26</f>
        <v>1.0308999999999999</v>
      </c>
      <c r="D72" s="153">
        <f t="shared" si="17"/>
        <v>1.1944991864495851</v>
      </c>
      <c r="E72" s="153">
        <f t="shared" si="17"/>
        <v>1.1944993151792018</v>
      </c>
      <c r="F72" s="153">
        <f>F70/F26</f>
        <v>1.28</v>
      </c>
      <c r="G72" s="153">
        <f t="shared" si="17"/>
        <v>1.2529999999999999</v>
      </c>
      <c r="H72" s="153">
        <f t="shared" si="17"/>
        <v>1.1815339212310718</v>
      </c>
      <c r="I72" s="153">
        <f t="shared" si="17"/>
        <v>1.78</v>
      </c>
      <c r="J72" s="153">
        <f t="shared" si="17"/>
        <v>1.1707694384449243</v>
      </c>
      <c r="K72" s="153">
        <f t="shared" si="17"/>
        <v>1.0940893333333332</v>
      </c>
      <c r="L72" s="37"/>
      <c r="M72" s="324"/>
      <c r="N72" s="37"/>
    </row>
    <row r="73" spans="1:14" ht="22.5" customHeight="1" x14ac:dyDescent="0.35">
      <c r="A73" s="297" t="s">
        <v>279</v>
      </c>
      <c r="B73" s="298"/>
      <c r="C73" s="298"/>
      <c r="D73" s="298"/>
      <c r="E73" s="298"/>
      <c r="F73" s="298"/>
      <c r="G73" s="298"/>
      <c r="H73" s="298"/>
      <c r="I73" s="298"/>
      <c r="J73" s="298"/>
      <c r="K73" s="299"/>
      <c r="L73" s="37"/>
      <c r="M73" s="324"/>
      <c r="N73" s="37"/>
    </row>
    <row r="74" spans="1:14" ht="22.5" customHeight="1" x14ac:dyDescent="0.35">
      <c r="A74" s="55" t="s">
        <v>280</v>
      </c>
      <c r="B74" s="56">
        <f>66*B13</f>
        <v>396396</v>
      </c>
      <c r="C74" s="56">
        <v>522840</v>
      </c>
      <c r="D74" s="56">
        <f>66*D13</f>
        <v>396000</v>
      </c>
      <c r="E74" s="56">
        <v>395604</v>
      </c>
      <c r="F74" s="56">
        <v>397320</v>
      </c>
      <c r="G74" s="56">
        <v>483600</v>
      </c>
      <c r="H74" s="56">
        <f>66*H13</f>
        <v>396000</v>
      </c>
      <c r="I74" s="56">
        <v>414000</v>
      </c>
      <c r="J74" s="56">
        <v>390031</v>
      </c>
      <c r="K74" s="56">
        <v>408000</v>
      </c>
      <c r="L74" s="37"/>
      <c r="M74" s="324"/>
      <c r="N74" s="37"/>
    </row>
    <row r="75" spans="1:14" ht="22.5" customHeight="1" x14ac:dyDescent="0.35">
      <c r="A75" s="31" t="s">
        <v>281</v>
      </c>
      <c r="B75" s="56">
        <v>535850</v>
      </c>
      <c r="C75" s="56">
        <v>480000</v>
      </c>
      <c r="D75" s="56">
        <v>1152261</v>
      </c>
      <c r="E75" s="56">
        <v>684429</v>
      </c>
      <c r="F75" s="69">
        <v>464400</v>
      </c>
      <c r="G75" s="56">
        <v>725400</v>
      </c>
      <c r="H75" s="56">
        <v>1027500</v>
      </c>
      <c r="I75" s="56">
        <v>608400</v>
      </c>
      <c r="J75" s="56">
        <v>740800</v>
      </c>
      <c r="K75" s="42">
        <v>754650</v>
      </c>
      <c r="L75" s="37"/>
      <c r="M75" s="324"/>
      <c r="N75" s="37"/>
    </row>
    <row r="76" spans="1:14" ht="22.5" customHeight="1" x14ac:dyDescent="0.35">
      <c r="A76" s="49" t="s">
        <v>288</v>
      </c>
      <c r="B76" s="153">
        <f>B74/B26</f>
        <v>0.86143969888423522</v>
      </c>
      <c r="C76" s="153">
        <f t="shared" ref="C76:K76" si="18">C74/C26</f>
        <v>0.87139999999999995</v>
      </c>
      <c r="D76" s="153">
        <f t="shared" si="18"/>
        <v>0.40020616681320681</v>
      </c>
      <c r="E76" s="153">
        <f t="shared" si="18"/>
        <v>0.67308781869688383</v>
      </c>
      <c r="F76" s="153">
        <f>F74/F26</f>
        <v>0.92400000000000004</v>
      </c>
      <c r="G76" s="153">
        <f t="shared" si="18"/>
        <v>0.80600000000000005</v>
      </c>
      <c r="H76" s="153">
        <f t="shared" si="18"/>
        <v>0.448799970080002</v>
      </c>
      <c r="I76" s="153">
        <f t="shared" si="18"/>
        <v>0.69</v>
      </c>
      <c r="J76" s="153">
        <f t="shared" si="18"/>
        <v>0.52649973002159822</v>
      </c>
      <c r="K76" s="153">
        <f t="shared" si="18"/>
        <v>0.54400000000000004</v>
      </c>
      <c r="L76" s="37"/>
      <c r="M76" s="324"/>
      <c r="N76" s="37"/>
    </row>
    <row r="77" spans="1:14" ht="22.5" customHeight="1" x14ac:dyDescent="0.35">
      <c r="A77" s="49" t="s">
        <v>282</v>
      </c>
      <c r="B77" s="153">
        <f>(B74+B75)/B26</f>
        <v>2.0259379850604771</v>
      </c>
      <c r="C77" s="153">
        <f t="shared" ref="C77:K77" si="19">(C74+C75)/C26</f>
        <v>1.6714</v>
      </c>
      <c r="D77" s="153">
        <f t="shared" si="19"/>
        <v>1.5647060606979353</v>
      </c>
      <c r="E77" s="153">
        <f t="shared" si="19"/>
        <v>1.8375877293724319</v>
      </c>
      <c r="F77" s="153">
        <f>(F74+F75)/F26</f>
        <v>2.004</v>
      </c>
      <c r="G77" s="213">
        <f t="shared" si="19"/>
        <v>2.0150000000000001</v>
      </c>
      <c r="H77" s="153">
        <f t="shared" si="19"/>
        <v>1.6132998924466739</v>
      </c>
      <c r="I77" s="153">
        <f t="shared" si="19"/>
        <v>1.704</v>
      </c>
      <c r="J77" s="153">
        <f t="shared" si="19"/>
        <v>1.5264997300215983</v>
      </c>
      <c r="K77" s="153">
        <f t="shared" si="19"/>
        <v>1.5502</v>
      </c>
      <c r="L77" s="37"/>
      <c r="M77" s="324"/>
      <c r="N77" s="37"/>
    </row>
    <row r="78" spans="1:14" ht="22.5" customHeight="1" x14ac:dyDescent="0.35">
      <c r="A78" s="297" t="s">
        <v>283</v>
      </c>
      <c r="B78" s="298"/>
      <c r="C78" s="298"/>
      <c r="D78" s="298"/>
      <c r="E78" s="298"/>
      <c r="F78" s="298"/>
      <c r="G78" s="298"/>
      <c r="H78" s="298"/>
      <c r="I78" s="298"/>
      <c r="J78" s="298"/>
      <c r="K78" s="299"/>
      <c r="L78" s="37"/>
      <c r="M78" s="324"/>
      <c r="N78" s="37"/>
    </row>
    <row r="79" spans="1:14" ht="22.5" customHeight="1" x14ac:dyDescent="0.35">
      <c r="A79" s="24" t="s">
        <v>284</v>
      </c>
      <c r="B79" s="69">
        <v>966966</v>
      </c>
      <c r="C79" s="69">
        <v>1366800</v>
      </c>
      <c r="D79" s="69">
        <f>66*D19</f>
        <v>2257200</v>
      </c>
      <c r="E79" s="69">
        <v>1318680</v>
      </c>
      <c r="F79" s="69">
        <f>3049833-2022993</f>
        <v>1026840</v>
      </c>
      <c r="G79" s="69">
        <v>1428000</v>
      </c>
      <c r="H79" s="69">
        <v>1924200</v>
      </c>
      <c r="I79" s="69">
        <v>1159200</v>
      </c>
      <c r="J79" s="69">
        <f>4728144-3168019</f>
        <v>1560125</v>
      </c>
      <c r="K79" s="52">
        <v>1485000</v>
      </c>
      <c r="L79" s="37"/>
      <c r="M79" s="324"/>
      <c r="N79" s="37"/>
    </row>
    <row r="80" spans="1:14" ht="22.5" customHeight="1" x14ac:dyDescent="0.35">
      <c r="A80" s="31" t="s">
        <v>285</v>
      </c>
      <c r="B80" s="69">
        <v>605333</v>
      </c>
      <c r="C80" s="69">
        <v>611640</v>
      </c>
      <c r="D80" s="42">
        <v>1181945</v>
      </c>
      <c r="E80" s="42">
        <v>702061</v>
      </c>
      <c r="F80" s="69">
        <v>550400</v>
      </c>
      <c r="G80" s="42">
        <v>751800</v>
      </c>
      <c r="H80" s="42">
        <v>1042530</v>
      </c>
      <c r="I80" s="42">
        <v>1484400</v>
      </c>
      <c r="J80" s="42">
        <v>859898</v>
      </c>
      <c r="K80" s="35">
        <v>817717</v>
      </c>
      <c r="L80" s="37"/>
      <c r="M80" s="324"/>
      <c r="N80" s="37"/>
    </row>
    <row r="81" spans="1:14" ht="22.5" customHeight="1" x14ac:dyDescent="0.35">
      <c r="A81" s="49" t="s">
        <v>289</v>
      </c>
      <c r="B81" s="153">
        <f>B79/B26</f>
        <v>2.1013907806115437</v>
      </c>
      <c r="C81" s="153">
        <f t="shared" ref="C81:K81" si="20">C79/C26</f>
        <v>2.278</v>
      </c>
      <c r="D81" s="153">
        <f t="shared" si="20"/>
        <v>2.2811751508352787</v>
      </c>
      <c r="E81" s="153">
        <f t="shared" si="20"/>
        <v>2.2436260623229463</v>
      </c>
      <c r="F81" s="213">
        <f>F79/F26</f>
        <v>2.3879999999999999</v>
      </c>
      <c r="G81" s="153">
        <f t="shared" si="20"/>
        <v>2.38</v>
      </c>
      <c r="H81" s="153">
        <f t="shared" si="20"/>
        <v>2.1807598546160096</v>
      </c>
      <c r="I81" s="153">
        <f t="shared" si="20"/>
        <v>1.9319999999999999</v>
      </c>
      <c r="J81" s="153">
        <f t="shared" si="20"/>
        <v>2.1060002699784017</v>
      </c>
      <c r="K81" s="153">
        <f t="shared" si="20"/>
        <v>1.98</v>
      </c>
      <c r="L81" s="37"/>
      <c r="M81" s="324"/>
      <c r="N81" s="37"/>
    </row>
    <row r="82" spans="1:14" ht="22.5" customHeight="1" thickBot="1" x14ac:dyDescent="0.4">
      <c r="A82" s="49" t="s">
        <v>286</v>
      </c>
      <c r="B82" s="153">
        <f>(B79+B80)/B26</f>
        <v>3.4168881046125192</v>
      </c>
      <c r="C82" s="153">
        <f t="shared" ref="C82:K82" si="21">(C79+C80)/C26</f>
        <v>3.2974000000000001</v>
      </c>
      <c r="D82" s="153">
        <f t="shared" si="21"/>
        <v>3.4756743372848637</v>
      </c>
      <c r="E82" s="153">
        <f t="shared" si="21"/>
        <v>3.4381253775021481</v>
      </c>
      <c r="F82" s="153">
        <f>(F79+F80)/F26</f>
        <v>3.6680000000000001</v>
      </c>
      <c r="G82" s="153">
        <f t="shared" si="21"/>
        <v>3.633</v>
      </c>
      <c r="H82" s="153">
        <f t="shared" si="21"/>
        <v>3.3622937758470814</v>
      </c>
      <c r="I82" s="153">
        <f t="shared" si="21"/>
        <v>4.4059999999999997</v>
      </c>
      <c r="J82" s="153">
        <f t="shared" si="21"/>
        <v>3.2667697084233263</v>
      </c>
      <c r="K82" s="153">
        <f t="shared" si="21"/>
        <v>3.0702893333333332</v>
      </c>
      <c r="L82" s="37"/>
      <c r="M82" s="325"/>
      <c r="N82" s="37"/>
    </row>
    <row r="83" spans="1:14" x14ac:dyDescent="0.35">
      <c r="M83" s="41"/>
    </row>
  </sheetData>
  <sheetProtection algorithmName="SHA-512" hashValue="JFj1w44jRMDjefE2Yapem0HqkE5NL1jZsBgeyDXiTlyV3trpPQneTANEuGkOyrNWfqHJv850FseOmtLe+Dkwvg==" saltValue="KN21t1jJkB5zkpaSRzv7OA==" spinCount="100000" sheet="1" objects="1" scenarios="1" selectLockedCells="1" autoFilter="0" selectUnlockedCells="1"/>
  <mergeCells count="46">
    <mergeCell ref="M7:M82"/>
    <mergeCell ref="A78:K78"/>
    <mergeCell ref="K36:K38"/>
    <mergeCell ref="B36:B38"/>
    <mergeCell ref="E13:E18"/>
    <mergeCell ref="E19:E24"/>
    <mergeCell ref="E27:E32"/>
    <mergeCell ref="E33:E38"/>
    <mergeCell ref="A63:K63"/>
    <mergeCell ref="I13:I18"/>
    <mergeCell ref="K13:K18"/>
    <mergeCell ref="A73:K73"/>
    <mergeCell ref="H27:H32"/>
    <mergeCell ref="J13:J18"/>
    <mergeCell ref="A68:K68"/>
    <mergeCell ref="A53:K53"/>
    <mergeCell ref="A27:A32"/>
    <mergeCell ref="D27:D32"/>
    <mergeCell ref="I27:I32"/>
    <mergeCell ref="K27:K32"/>
    <mergeCell ref="D13:D18"/>
    <mergeCell ref="F13:F18"/>
    <mergeCell ref="F19:F24"/>
    <mergeCell ref="F27:F32"/>
    <mergeCell ref="A1:K2"/>
    <mergeCell ref="A6:A7"/>
    <mergeCell ref="H13:H18"/>
    <mergeCell ref="B13:B18"/>
    <mergeCell ref="B22:B24"/>
    <mergeCell ref="A13:A18"/>
    <mergeCell ref="F33:F38"/>
    <mergeCell ref="A58:K58"/>
    <mergeCell ref="A33:A38"/>
    <mergeCell ref="A19:A24"/>
    <mergeCell ref="A45:K45"/>
    <mergeCell ref="A49:K49"/>
    <mergeCell ref="J19:J24"/>
    <mergeCell ref="J27:J32"/>
    <mergeCell ref="J33:J38"/>
    <mergeCell ref="D19:D24"/>
    <mergeCell ref="I19:I24"/>
    <mergeCell ref="K22:K24"/>
    <mergeCell ref="A40:K40"/>
    <mergeCell ref="D33:D38"/>
    <mergeCell ref="I33:I38"/>
    <mergeCell ref="B27:B32"/>
  </mergeCells>
  <conditionalFormatting sqref="A52">
    <cfRule type="top10" dxfId="117" priority="506" rank="1"/>
  </conditionalFormatting>
  <conditionalFormatting sqref="B43:K43">
    <cfRule type="top10" dxfId="116" priority="696" rank="1"/>
  </conditionalFormatting>
  <conditionalFormatting sqref="B44:K44">
    <cfRule type="top10" dxfId="115" priority="698" rank="1"/>
  </conditionalFormatting>
  <conditionalFormatting sqref="B48:K48">
    <cfRule type="top10" dxfId="114" priority="700" rank="1"/>
  </conditionalFormatting>
  <conditionalFormatting sqref="B52:K52">
    <cfRule type="top10" dxfId="113" priority="702" rank="3"/>
  </conditionalFormatting>
  <conditionalFormatting sqref="B56:K56">
    <cfRule type="top10" dxfId="112" priority="704" rank="1"/>
  </conditionalFormatting>
  <conditionalFormatting sqref="B57:K57">
    <cfRule type="top10" dxfId="111" priority="706" rank="1"/>
  </conditionalFormatting>
  <conditionalFormatting sqref="B61:K61">
    <cfRule type="top10" dxfId="110" priority="708" rank="1"/>
  </conditionalFormatting>
  <conditionalFormatting sqref="B62:K62">
    <cfRule type="top10" dxfId="109" priority="710" rank="1"/>
  </conditionalFormatting>
  <conditionalFormatting sqref="B66:K66">
    <cfRule type="top10" dxfId="108" priority="712" rank="1"/>
  </conditionalFormatting>
  <conditionalFormatting sqref="B67:K67">
    <cfRule type="top10" dxfId="107" priority="714" rank="1"/>
  </conditionalFormatting>
  <conditionalFormatting sqref="B71:K71">
    <cfRule type="top10" dxfId="106" priority="716" rank="1"/>
  </conditionalFormatting>
  <conditionalFormatting sqref="B72:K72">
    <cfRule type="top10" dxfId="105" priority="718" rank="1"/>
  </conditionalFormatting>
  <conditionalFormatting sqref="B76:K76">
    <cfRule type="top10" dxfId="104" priority="720" rank="1"/>
  </conditionalFormatting>
  <conditionalFormatting sqref="B77:K77">
    <cfRule type="top10" dxfId="103" priority="722" rank="1"/>
  </conditionalFormatting>
  <conditionalFormatting sqref="B81:K81">
    <cfRule type="top10" dxfId="102" priority="724" rank="1"/>
  </conditionalFormatting>
  <conditionalFormatting sqref="B82:K82">
    <cfRule type="top10" dxfId="101" priority="726" rank="1"/>
  </conditionalFormatting>
  <pageMargins left="0.7" right="0.7" top="0.75" bottom="0.75" header="0.3" footer="0.3"/>
  <pageSetup paperSize="9" orientation="portrait" r:id="rId1"/>
  <headerFooter>
    <oddFooter>&amp;L_x000D_&amp;1#&amp;"Calibri"&amp;8&amp;K008000 Public</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O84"/>
  <sheetViews>
    <sheetView showGridLines="0" zoomScale="70" zoomScaleNormal="70" workbookViewId="0">
      <pane xSplit="1" ySplit="7" topLeftCell="B8" activePane="bottomRight" state="frozen"/>
      <selection pane="topRight" activeCell="B1" sqref="B1"/>
      <selection pane="bottomLeft" activeCell="A8" sqref="A8"/>
      <selection pane="bottomRight" activeCell="I13" sqref="I13:I18"/>
    </sheetView>
  </sheetViews>
  <sheetFormatPr defaultColWidth="9.1796875" defaultRowHeight="15.5" x14ac:dyDescent="0.35"/>
  <cols>
    <col min="1" max="1" width="53.81640625" style="17" customWidth="1"/>
    <col min="2" max="3" width="40.453125" style="17" customWidth="1"/>
    <col min="4" max="5" width="28.1796875" style="17" customWidth="1"/>
    <col min="6" max="6" width="39.81640625" style="17" customWidth="1"/>
    <col min="7" max="7" width="39.1796875" style="17" customWidth="1"/>
    <col min="8" max="8" width="28.1796875" style="17" customWidth="1"/>
    <col min="9" max="9" width="35.453125" style="17" customWidth="1"/>
    <col min="10" max="10" width="4.81640625" style="17" customWidth="1"/>
    <col min="11" max="11" width="70.453125" style="17" customWidth="1"/>
    <col min="12" max="16384" width="9.1796875" style="17"/>
  </cols>
  <sheetData>
    <row r="1" spans="1:14" ht="15" customHeight="1" x14ac:dyDescent="0.35">
      <c r="A1" s="273" t="s">
        <v>234</v>
      </c>
      <c r="B1" s="273"/>
      <c r="C1" s="273"/>
      <c r="D1" s="273"/>
      <c r="E1" s="273"/>
      <c r="F1" s="273"/>
      <c r="G1" s="273"/>
      <c r="H1" s="273"/>
      <c r="I1" s="273"/>
      <c r="J1" s="16"/>
      <c r="K1" s="16"/>
      <c r="L1" s="16"/>
      <c r="M1" s="16"/>
      <c r="N1" s="16"/>
    </row>
    <row r="2" spans="1:14" x14ac:dyDescent="0.35">
      <c r="A2" s="273"/>
      <c r="B2" s="273"/>
      <c r="C2" s="273"/>
      <c r="D2" s="273"/>
      <c r="E2" s="273"/>
      <c r="F2" s="273"/>
      <c r="G2" s="273"/>
      <c r="H2" s="273"/>
      <c r="I2" s="273"/>
      <c r="J2" s="16"/>
      <c r="K2" s="16"/>
      <c r="L2" s="16"/>
      <c r="M2" s="16"/>
      <c r="N2" s="16"/>
    </row>
    <row r="3" spans="1:14" x14ac:dyDescent="0.35">
      <c r="A3" s="18" t="s">
        <v>235</v>
      </c>
      <c r="B3" s="18"/>
      <c r="C3" s="18"/>
    </row>
    <row r="4" spans="1:14" x14ac:dyDescent="0.35">
      <c r="A4" s="18" t="s">
        <v>236</v>
      </c>
      <c r="B4" s="18"/>
      <c r="C4" s="18"/>
    </row>
    <row r="5" spans="1:14" ht="20.25" customHeight="1" thickBot="1" x14ac:dyDescent="0.4">
      <c r="A5" s="18" t="s">
        <v>237</v>
      </c>
      <c r="B5" s="18"/>
      <c r="C5" s="18"/>
    </row>
    <row r="6" spans="1:14" ht="16" thickBot="1" x14ac:dyDescent="0.4">
      <c r="A6" s="274" t="s">
        <v>238</v>
      </c>
      <c r="B6" s="176" t="s">
        <v>16</v>
      </c>
      <c r="C6" s="176" t="s">
        <v>16</v>
      </c>
      <c r="D6" s="176" t="s">
        <v>21</v>
      </c>
      <c r="E6" s="176" t="s">
        <v>21</v>
      </c>
      <c r="F6" s="176" t="s">
        <v>27</v>
      </c>
      <c r="G6" s="176" t="s">
        <v>30</v>
      </c>
      <c r="H6" s="176" t="s">
        <v>30</v>
      </c>
      <c r="I6" s="176" t="s">
        <v>37</v>
      </c>
      <c r="J6" s="19"/>
      <c r="K6" s="20" t="s">
        <v>239</v>
      </c>
      <c r="L6" s="19"/>
      <c r="N6" s="21"/>
    </row>
    <row r="7" spans="1:14" ht="48" customHeight="1" x14ac:dyDescent="0.35">
      <c r="A7" s="274"/>
      <c r="B7" s="178" t="s">
        <v>240</v>
      </c>
      <c r="C7" s="178" t="s">
        <v>241</v>
      </c>
      <c r="D7" s="178" t="s">
        <v>312</v>
      </c>
      <c r="E7" s="178" t="s">
        <v>313</v>
      </c>
      <c r="F7" s="178" t="s">
        <v>314</v>
      </c>
      <c r="G7" s="176" t="s">
        <v>33</v>
      </c>
      <c r="H7" s="176" t="s">
        <v>31</v>
      </c>
      <c r="I7" s="176" t="s">
        <v>38</v>
      </c>
      <c r="J7" s="22"/>
      <c r="K7" s="323" t="s">
        <v>407</v>
      </c>
      <c r="L7" s="22"/>
      <c r="N7" s="23"/>
    </row>
    <row r="8" spans="1:14" x14ac:dyDescent="0.35">
      <c r="A8" s="24" t="s">
        <v>242</v>
      </c>
      <c r="B8" s="25">
        <v>4.2500000000000003E-2</v>
      </c>
      <c r="C8" s="25">
        <v>4.2500000000000003E-2</v>
      </c>
      <c r="D8" s="25">
        <v>4.2500000000000003E-2</v>
      </c>
      <c r="E8" s="25">
        <v>4.2500000000000003E-2</v>
      </c>
      <c r="F8" s="25">
        <v>4.2500000000000003E-2</v>
      </c>
      <c r="G8" s="25">
        <v>4.2500000000000003E-2</v>
      </c>
      <c r="H8" s="25">
        <v>4.2500000000000003E-2</v>
      </c>
      <c r="I8" s="25">
        <v>4.2500000000000003E-2</v>
      </c>
      <c r="J8" s="26"/>
      <c r="K8" s="324"/>
      <c r="L8" s="26"/>
      <c r="N8" s="27"/>
    </row>
    <row r="9" spans="1:14" ht="21" customHeight="1" x14ac:dyDescent="0.35">
      <c r="A9" s="62" t="s">
        <v>243</v>
      </c>
      <c r="B9" s="63" t="s">
        <v>244</v>
      </c>
      <c r="C9" s="63" t="s">
        <v>244</v>
      </c>
      <c r="D9" s="63" t="s">
        <v>245</v>
      </c>
      <c r="E9" s="29" t="s">
        <v>245</v>
      </c>
      <c r="F9" s="63" t="s">
        <v>244</v>
      </c>
      <c r="G9" s="63" t="s">
        <v>245</v>
      </c>
      <c r="H9" s="63" t="s">
        <v>245</v>
      </c>
      <c r="I9" s="63" t="s">
        <v>245</v>
      </c>
      <c r="J9" s="30"/>
      <c r="K9" s="324"/>
      <c r="L9" s="30"/>
    </row>
    <row r="10" spans="1:14" x14ac:dyDescent="0.35">
      <c r="A10" s="31" t="s">
        <v>57</v>
      </c>
      <c r="B10" s="32">
        <v>10</v>
      </c>
      <c r="C10" s="32">
        <v>10</v>
      </c>
      <c r="D10" s="32">
        <v>10</v>
      </c>
      <c r="E10" s="32">
        <v>10</v>
      </c>
      <c r="F10" s="32">
        <v>10</v>
      </c>
      <c r="G10" s="32">
        <v>10</v>
      </c>
      <c r="H10" s="32">
        <v>10</v>
      </c>
      <c r="I10" s="32">
        <v>10</v>
      </c>
      <c r="J10" s="30"/>
      <c r="K10" s="324"/>
      <c r="L10" s="30"/>
    </row>
    <row r="11" spans="1:14" ht="18.649999999999999" customHeight="1" x14ac:dyDescent="0.35">
      <c r="A11" s="31" t="s">
        <v>246</v>
      </c>
      <c r="B11" s="33" t="s">
        <v>315</v>
      </c>
      <c r="C11" s="33" t="s">
        <v>316</v>
      </c>
      <c r="D11" s="33" t="s">
        <v>315</v>
      </c>
      <c r="E11" s="33" t="s">
        <v>315</v>
      </c>
      <c r="F11" s="33" t="s">
        <v>317</v>
      </c>
      <c r="G11" s="33" t="s">
        <v>315</v>
      </c>
      <c r="H11" s="33" t="s">
        <v>295</v>
      </c>
      <c r="I11" s="33" t="s">
        <v>315</v>
      </c>
      <c r="J11" s="30"/>
      <c r="K11" s="324"/>
      <c r="L11" s="30"/>
    </row>
    <row r="12" spans="1:14" ht="23.25" customHeight="1" x14ac:dyDescent="0.35">
      <c r="A12" s="31" t="s">
        <v>251</v>
      </c>
      <c r="B12" s="34">
        <v>273000</v>
      </c>
      <c r="C12" s="34">
        <v>600000</v>
      </c>
      <c r="D12" s="35">
        <v>600000</v>
      </c>
      <c r="E12" s="35">
        <v>333000</v>
      </c>
      <c r="F12" s="35">
        <f>F26</f>
        <v>462000</v>
      </c>
      <c r="G12" s="35">
        <v>300000</v>
      </c>
      <c r="H12" s="35">
        <v>200000</v>
      </c>
      <c r="I12" s="35">
        <v>750000</v>
      </c>
      <c r="J12" s="30"/>
      <c r="K12" s="324"/>
      <c r="L12" s="30"/>
    </row>
    <row r="13" spans="1:14" x14ac:dyDescent="0.35">
      <c r="A13" s="281" t="s">
        <v>253</v>
      </c>
      <c r="B13" s="330">
        <v>6006</v>
      </c>
      <c r="C13" s="129" t="s">
        <v>318</v>
      </c>
      <c r="D13" s="262">
        <v>6000</v>
      </c>
      <c r="E13" s="262">
        <v>5994</v>
      </c>
      <c r="F13" s="129" t="s">
        <v>319</v>
      </c>
      <c r="G13" s="262">
        <v>6000</v>
      </c>
      <c r="H13" s="262">
        <v>6000</v>
      </c>
      <c r="I13" s="330">
        <v>6000</v>
      </c>
      <c r="J13" s="37"/>
      <c r="K13" s="324"/>
      <c r="L13" s="37"/>
    </row>
    <row r="14" spans="1:14" x14ac:dyDescent="0.35">
      <c r="A14" s="282"/>
      <c r="B14" s="331"/>
      <c r="C14" s="133">
        <v>6000</v>
      </c>
      <c r="D14" s="263"/>
      <c r="E14" s="263"/>
      <c r="F14" s="130">
        <f>F25*13%</f>
        <v>6006</v>
      </c>
      <c r="G14" s="263"/>
      <c r="H14" s="263"/>
      <c r="I14" s="331"/>
      <c r="J14" s="37"/>
      <c r="K14" s="324"/>
      <c r="L14" s="37"/>
    </row>
    <row r="15" spans="1:14" x14ac:dyDescent="0.35">
      <c r="A15" s="282"/>
      <c r="B15" s="331"/>
      <c r="C15" s="129" t="s">
        <v>320</v>
      </c>
      <c r="D15" s="263"/>
      <c r="E15" s="263"/>
      <c r="F15" s="154" t="s">
        <v>321</v>
      </c>
      <c r="G15" s="263"/>
      <c r="H15" s="263"/>
      <c r="I15" s="331"/>
      <c r="J15" s="37"/>
      <c r="K15" s="324"/>
      <c r="L15" s="37"/>
    </row>
    <row r="16" spans="1:14" x14ac:dyDescent="0.35">
      <c r="A16" s="282"/>
      <c r="B16" s="331"/>
      <c r="C16" s="130">
        <v>7680</v>
      </c>
      <c r="D16" s="263"/>
      <c r="E16" s="263"/>
      <c r="F16" s="154">
        <f>F25*16%</f>
        <v>7392</v>
      </c>
      <c r="G16" s="263"/>
      <c r="H16" s="263"/>
      <c r="I16" s="331"/>
      <c r="J16" s="37"/>
      <c r="K16" s="324"/>
      <c r="L16" s="37"/>
    </row>
    <row r="17" spans="1:12" x14ac:dyDescent="0.35">
      <c r="A17" s="282"/>
      <c r="B17" s="331"/>
      <c r="C17" s="133" t="s">
        <v>322</v>
      </c>
      <c r="D17" s="263"/>
      <c r="E17" s="263"/>
      <c r="F17" s="154"/>
      <c r="G17" s="263"/>
      <c r="H17" s="263"/>
      <c r="I17" s="331"/>
      <c r="J17" s="37"/>
      <c r="K17" s="324"/>
      <c r="L17" s="37"/>
    </row>
    <row r="18" spans="1:12" x14ac:dyDescent="0.35">
      <c r="A18" s="316"/>
      <c r="B18" s="332"/>
      <c r="C18" s="130">
        <v>8220</v>
      </c>
      <c r="D18" s="264"/>
      <c r="E18" s="264"/>
      <c r="F18" s="52"/>
      <c r="G18" s="264"/>
      <c r="H18" s="264"/>
      <c r="I18" s="332"/>
      <c r="J18" s="37"/>
      <c r="K18" s="324"/>
      <c r="L18" s="37"/>
    </row>
    <row r="19" spans="1:12" x14ac:dyDescent="0.35">
      <c r="A19" s="278" t="s">
        <v>323</v>
      </c>
      <c r="B19" s="129" t="s">
        <v>324</v>
      </c>
      <c r="C19" s="129" t="s">
        <v>318</v>
      </c>
      <c r="D19" s="342">
        <v>34200</v>
      </c>
      <c r="E19" s="289">
        <v>19980</v>
      </c>
      <c r="F19" s="129" t="s">
        <v>319</v>
      </c>
      <c r="G19" s="131" t="s">
        <v>325</v>
      </c>
      <c r="H19" s="342">
        <v>14700</v>
      </c>
      <c r="I19" s="339">
        <v>27375</v>
      </c>
      <c r="J19" s="37"/>
      <c r="K19" s="324"/>
      <c r="L19" s="37"/>
    </row>
    <row r="20" spans="1:12" x14ac:dyDescent="0.35">
      <c r="A20" s="279"/>
      <c r="B20" s="130">
        <v>14196</v>
      </c>
      <c r="C20" s="133">
        <v>13800</v>
      </c>
      <c r="D20" s="343"/>
      <c r="E20" s="328"/>
      <c r="F20" s="130">
        <f>F14+F25*20%</f>
        <v>15246</v>
      </c>
      <c r="G20" s="154">
        <v>27900</v>
      </c>
      <c r="H20" s="343"/>
      <c r="I20" s="340"/>
      <c r="J20" s="37"/>
      <c r="K20" s="324"/>
      <c r="L20" s="37"/>
    </row>
    <row r="21" spans="1:12" ht="21" customHeight="1" x14ac:dyDescent="0.35">
      <c r="A21" s="279"/>
      <c r="B21" s="129" t="s">
        <v>268</v>
      </c>
      <c r="C21" s="129" t="s">
        <v>320</v>
      </c>
      <c r="D21" s="343"/>
      <c r="E21" s="328"/>
      <c r="F21" s="154" t="s">
        <v>321</v>
      </c>
      <c r="G21" s="131" t="s">
        <v>326</v>
      </c>
      <c r="H21" s="343"/>
      <c r="I21" s="340"/>
      <c r="J21" s="37"/>
      <c r="K21" s="324"/>
      <c r="L21" s="37"/>
    </row>
    <row r="22" spans="1:12" x14ac:dyDescent="0.35">
      <c r="A22" s="279"/>
      <c r="B22" s="133">
        <v>15561</v>
      </c>
      <c r="C22" s="130">
        <v>19980</v>
      </c>
      <c r="D22" s="343"/>
      <c r="E22" s="328"/>
      <c r="F22" s="172">
        <v>18480</v>
      </c>
      <c r="G22" s="154">
        <v>29700</v>
      </c>
      <c r="H22" s="343"/>
      <c r="I22" s="340"/>
      <c r="J22" s="37"/>
      <c r="K22" s="324"/>
      <c r="L22" s="37"/>
    </row>
    <row r="23" spans="1:12" x14ac:dyDescent="0.35">
      <c r="A23" s="279"/>
      <c r="B23" s="133"/>
      <c r="C23" s="133" t="s">
        <v>322</v>
      </c>
      <c r="D23" s="343"/>
      <c r="E23" s="328"/>
      <c r="F23" s="154"/>
      <c r="G23" s="154"/>
      <c r="H23" s="343"/>
      <c r="I23" s="340"/>
      <c r="J23" s="37"/>
      <c r="K23" s="324"/>
      <c r="L23" s="37"/>
    </row>
    <row r="24" spans="1:12" ht="23.9" customHeight="1" x14ac:dyDescent="0.35">
      <c r="A24" s="280"/>
      <c r="B24" s="69" t="s">
        <v>327</v>
      </c>
      <c r="C24" s="130">
        <v>21420</v>
      </c>
      <c r="D24" s="344"/>
      <c r="E24" s="329"/>
      <c r="F24" s="154"/>
      <c r="G24" s="132"/>
      <c r="H24" s="344"/>
      <c r="I24" s="341"/>
      <c r="J24" s="37"/>
      <c r="K24" s="324"/>
      <c r="L24" s="37"/>
    </row>
    <row r="25" spans="1:12" x14ac:dyDescent="0.35">
      <c r="A25" s="31" t="s">
        <v>264</v>
      </c>
      <c r="B25" s="137">
        <v>39817.050000000003</v>
      </c>
      <c r="C25" s="137">
        <v>60000</v>
      </c>
      <c r="D25" s="52">
        <v>85764</v>
      </c>
      <c r="E25" s="52">
        <v>48451</v>
      </c>
      <c r="F25" s="35">
        <v>46200</v>
      </c>
      <c r="G25" s="52">
        <v>74380.149999999994</v>
      </c>
      <c r="H25" s="139">
        <v>60000</v>
      </c>
      <c r="I25" s="52">
        <v>75000</v>
      </c>
      <c r="J25" s="37"/>
      <c r="K25" s="324"/>
      <c r="L25" s="37"/>
    </row>
    <row r="26" spans="1:12" x14ac:dyDescent="0.35">
      <c r="A26" s="31" t="s">
        <v>265</v>
      </c>
      <c r="B26" s="67">
        <f>$B$25*$B$10</f>
        <v>398170.5</v>
      </c>
      <c r="C26" s="67">
        <f>$C$25*$C$10</f>
        <v>600000</v>
      </c>
      <c r="D26" s="67">
        <f>$D$25*$D$10</f>
        <v>857640</v>
      </c>
      <c r="E26" s="67">
        <f>$E$25*$E$10</f>
        <v>484510</v>
      </c>
      <c r="F26" s="67">
        <f>$F$25*$F$10</f>
        <v>462000</v>
      </c>
      <c r="G26" s="67">
        <f>$G$25*$G$10</f>
        <v>743801.5</v>
      </c>
      <c r="H26" s="67">
        <f>$H$25*$H$10</f>
        <v>600000</v>
      </c>
      <c r="I26" s="67">
        <f>$I$25*$I$10</f>
        <v>750000</v>
      </c>
      <c r="J26" s="37"/>
      <c r="K26" s="324"/>
      <c r="L26" s="37"/>
    </row>
    <row r="27" spans="1:12" x14ac:dyDescent="0.35">
      <c r="A27" s="283" t="s">
        <v>266</v>
      </c>
      <c r="B27" s="320">
        <f>B13/B26</f>
        <v>1.5083990401097017E-2</v>
      </c>
      <c r="C27" s="147" t="s">
        <v>318</v>
      </c>
      <c r="D27" s="266">
        <f>D13/D26</f>
        <v>6.9959423534350076E-3</v>
      </c>
      <c r="E27" s="266">
        <f t="shared" ref="E27" si="0">E13/E26</f>
        <v>1.2371261687065283E-2</v>
      </c>
      <c r="F27" s="147" t="s">
        <v>319</v>
      </c>
      <c r="G27" s="266">
        <f t="shared" ref="G27" si="1">G13/G26</f>
        <v>8.0666683248151565E-3</v>
      </c>
      <c r="H27" s="266">
        <f t="shared" ref="H27" si="2">H13/H26</f>
        <v>0.01</v>
      </c>
      <c r="I27" s="266">
        <f t="shared" ref="I27" si="3">I13/I26</f>
        <v>8.0000000000000002E-3</v>
      </c>
      <c r="J27" s="37"/>
      <c r="K27" s="324"/>
      <c r="L27" s="37"/>
    </row>
    <row r="28" spans="1:12" x14ac:dyDescent="0.35">
      <c r="A28" s="284"/>
      <c r="B28" s="321"/>
      <c r="C28" s="140">
        <f>C14/C26</f>
        <v>0.01</v>
      </c>
      <c r="D28" s="267"/>
      <c r="E28" s="267"/>
      <c r="F28" s="141">
        <f>F14/F26</f>
        <v>1.2999999999999999E-2</v>
      </c>
      <c r="G28" s="267"/>
      <c r="H28" s="267"/>
      <c r="I28" s="267"/>
      <c r="J28" s="37"/>
      <c r="K28" s="324"/>
      <c r="L28" s="37"/>
    </row>
    <row r="29" spans="1:12" x14ac:dyDescent="0.35">
      <c r="A29" s="284"/>
      <c r="B29" s="321"/>
      <c r="C29" s="147" t="s">
        <v>320</v>
      </c>
      <c r="D29" s="267"/>
      <c r="E29" s="267"/>
      <c r="F29" s="165" t="s">
        <v>321</v>
      </c>
      <c r="G29" s="267"/>
      <c r="H29" s="267"/>
      <c r="I29" s="267"/>
      <c r="J29" s="37"/>
      <c r="K29" s="324"/>
      <c r="L29" s="37"/>
    </row>
    <row r="30" spans="1:12" x14ac:dyDescent="0.35">
      <c r="A30" s="284"/>
      <c r="B30" s="321"/>
      <c r="C30" s="141">
        <f>C16/C26</f>
        <v>1.2800000000000001E-2</v>
      </c>
      <c r="D30" s="267"/>
      <c r="E30" s="267"/>
      <c r="F30" s="144">
        <f>F16/F26</f>
        <v>1.6E-2</v>
      </c>
      <c r="G30" s="267"/>
      <c r="H30" s="267"/>
      <c r="I30" s="267"/>
      <c r="J30" s="37"/>
      <c r="K30" s="324"/>
      <c r="L30" s="37"/>
    </row>
    <row r="31" spans="1:12" x14ac:dyDescent="0.35">
      <c r="A31" s="284"/>
      <c r="B31" s="321"/>
      <c r="C31" s="148" t="s">
        <v>322</v>
      </c>
      <c r="D31" s="267"/>
      <c r="E31" s="267"/>
      <c r="F31" s="140"/>
      <c r="G31" s="267"/>
      <c r="H31" s="267"/>
      <c r="I31" s="267"/>
      <c r="J31" s="37"/>
      <c r="K31" s="324"/>
      <c r="L31" s="37"/>
    </row>
    <row r="32" spans="1:12" x14ac:dyDescent="0.35">
      <c r="A32" s="285"/>
      <c r="B32" s="322"/>
      <c r="C32" s="140">
        <f>C18/C26</f>
        <v>1.37E-2</v>
      </c>
      <c r="D32" s="268"/>
      <c r="E32" s="268"/>
      <c r="F32" s="141"/>
      <c r="G32" s="268"/>
      <c r="H32" s="268"/>
      <c r="I32" s="268"/>
      <c r="J32" s="37"/>
      <c r="K32" s="324"/>
      <c r="L32" s="37"/>
    </row>
    <row r="33" spans="1:15" x14ac:dyDescent="0.35">
      <c r="A33" s="275" t="s">
        <v>267</v>
      </c>
      <c r="B33" s="134" t="s">
        <v>260</v>
      </c>
      <c r="C33" s="147" t="s">
        <v>318</v>
      </c>
      <c r="D33" s="266">
        <f>D19/D26</f>
        <v>3.9876871414579546E-2</v>
      </c>
      <c r="E33" s="266">
        <f t="shared" ref="E33" si="4">E19/E26</f>
        <v>4.1237538956884277E-2</v>
      </c>
      <c r="F33" s="147" t="s">
        <v>319</v>
      </c>
      <c r="G33" s="155" t="s">
        <v>325</v>
      </c>
      <c r="H33" s="266">
        <f t="shared" ref="H33:I33" si="5">H19/H26</f>
        <v>2.4500000000000001E-2</v>
      </c>
      <c r="I33" s="266">
        <f t="shared" si="5"/>
        <v>3.6499999999999998E-2</v>
      </c>
      <c r="J33" s="37"/>
      <c r="K33" s="324"/>
      <c r="L33" s="37"/>
    </row>
    <row r="34" spans="1:15" x14ac:dyDescent="0.35">
      <c r="A34" s="276"/>
      <c r="B34" s="141">
        <f>B20/B26</f>
        <v>3.565306822077477E-2</v>
      </c>
      <c r="C34" s="140">
        <f>C20/C26</f>
        <v>2.3E-2</v>
      </c>
      <c r="D34" s="267"/>
      <c r="E34" s="267"/>
      <c r="F34" s="140">
        <f>F20/F26</f>
        <v>3.3000000000000002E-2</v>
      </c>
      <c r="G34" s="140">
        <f>G20/G26</f>
        <v>3.7510007710390474E-2</v>
      </c>
      <c r="H34" s="267"/>
      <c r="I34" s="267"/>
      <c r="J34" s="37"/>
      <c r="K34" s="324"/>
      <c r="L34" s="37"/>
    </row>
    <row r="35" spans="1:15" x14ac:dyDescent="0.35">
      <c r="A35" s="276"/>
      <c r="B35" s="134" t="s">
        <v>268</v>
      </c>
      <c r="C35" s="147" t="s">
        <v>320</v>
      </c>
      <c r="D35" s="267"/>
      <c r="E35" s="267"/>
      <c r="F35" s="165" t="s">
        <v>321</v>
      </c>
      <c r="G35" s="155" t="s">
        <v>326</v>
      </c>
      <c r="H35" s="267"/>
      <c r="I35" s="267"/>
      <c r="J35" s="37"/>
      <c r="K35" s="324"/>
      <c r="L35" s="37"/>
    </row>
    <row r="36" spans="1:15" x14ac:dyDescent="0.35">
      <c r="A36" s="276"/>
      <c r="B36" s="140">
        <f>B22/B26</f>
        <v>3.908124785738773E-2</v>
      </c>
      <c r="C36" s="141">
        <f>C22/C26</f>
        <v>3.3300000000000003E-2</v>
      </c>
      <c r="D36" s="267"/>
      <c r="E36" s="267"/>
      <c r="F36" s="144">
        <f>F22/F26</f>
        <v>0.04</v>
      </c>
      <c r="G36" s="144">
        <f>G22/G26</f>
        <v>3.9930008207835023E-2</v>
      </c>
      <c r="H36" s="267"/>
      <c r="I36" s="267"/>
      <c r="J36" s="37"/>
      <c r="K36" s="324"/>
      <c r="L36" s="37"/>
    </row>
    <row r="37" spans="1:15" x14ac:dyDescent="0.35">
      <c r="A37" s="276"/>
      <c r="B37" s="140"/>
      <c r="C37" s="148" t="s">
        <v>322</v>
      </c>
      <c r="D37" s="267"/>
      <c r="E37" s="267"/>
      <c r="F37" s="140"/>
      <c r="G37" s="145"/>
      <c r="H37" s="267"/>
      <c r="I37" s="267"/>
      <c r="J37" s="37"/>
      <c r="K37" s="324"/>
      <c r="L37" s="37"/>
    </row>
    <row r="38" spans="1:15" ht="24" customHeight="1" x14ac:dyDescent="0.35">
      <c r="A38" s="277"/>
      <c r="B38" s="141"/>
      <c r="C38" s="141">
        <f>C24/C26</f>
        <v>3.5700000000000003E-2</v>
      </c>
      <c r="D38" s="268"/>
      <c r="E38" s="268"/>
      <c r="F38" s="141"/>
      <c r="G38" s="135"/>
      <c r="H38" s="268"/>
      <c r="I38" s="268"/>
      <c r="J38" s="37"/>
      <c r="K38" s="324"/>
      <c r="L38" s="37"/>
    </row>
    <row r="39" spans="1:15" s="44" customFormat="1" ht="31.5" customHeight="1" x14ac:dyDescent="0.35">
      <c r="A39" s="49" t="s">
        <v>307</v>
      </c>
      <c r="B39" s="50" t="s">
        <v>328</v>
      </c>
      <c r="C39" s="74" t="s">
        <v>329</v>
      </c>
      <c r="D39" s="61" t="s">
        <v>328</v>
      </c>
      <c r="E39" s="61" t="s">
        <v>328</v>
      </c>
      <c r="F39" s="61" t="s">
        <v>328</v>
      </c>
      <c r="G39" s="61" t="s">
        <v>328</v>
      </c>
      <c r="H39" s="75" t="s">
        <v>330</v>
      </c>
      <c r="I39" s="46" t="s">
        <v>328</v>
      </c>
      <c r="J39" s="43"/>
      <c r="K39" s="324"/>
      <c r="L39" s="43"/>
    </row>
    <row r="40" spans="1:15" ht="22.5" customHeight="1" x14ac:dyDescent="0.35">
      <c r="A40" s="270" t="s">
        <v>331</v>
      </c>
      <c r="B40" s="270"/>
      <c r="C40" s="270"/>
      <c r="D40" s="270"/>
      <c r="E40" s="270"/>
      <c r="F40" s="270"/>
      <c r="G40" s="270"/>
      <c r="H40" s="270"/>
      <c r="I40" s="270"/>
      <c r="J40" s="37"/>
      <c r="K40" s="324"/>
      <c r="L40" s="37"/>
    </row>
    <row r="41" spans="1:15" ht="32.5" customHeight="1" x14ac:dyDescent="0.35">
      <c r="A41" s="39" t="s">
        <v>275</v>
      </c>
      <c r="B41" s="40">
        <v>402152</v>
      </c>
      <c r="C41" s="40">
        <v>606000</v>
      </c>
      <c r="D41" s="42">
        <v>866216</v>
      </c>
      <c r="E41" s="42">
        <v>489360</v>
      </c>
      <c r="F41" s="42">
        <v>468930</v>
      </c>
      <c r="G41" s="42">
        <v>780992</v>
      </c>
      <c r="H41" s="42">
        <v>630000</v>
      </c>
      <c r="I41" s="42">
        <v>757500</v>
      </c>
      <c r="J41" s="37"/>
      <c r="K41" s="324"/>
      <c r="L41" s="37"/>
    </row>
    <row r="42" spans="1:15" ht="22.5" customHeight="1" x14ac:dyDescent="0.35">
      <c r="A42" s="39" t="s">
        <v>276</v>
      </c>
      <c r="B42" s="40">
        <v>427396</v>
      </c>
      <c r="C42" s="40">
        <v>735780</v>
      </c>
      <c r="D42" s="42">
        <v>924106</v>
      </c>
      <c r="E42" s="42">
        <v>522064</v>
      </c>
      <c r="F42" s="42">
        <v>513744</v>
      </c>
      <c r="G42" s="42">
        <v>782402</v>
      </c>
      <c r="H42" s="42">
        <v>664680</v>
      </c>
      <c r="I42" s="42">
        <v>757575</v>
      </c>
      <c r="J42" s="37"/>
      <c r="K42" s="324"/>
      <c r="L42" s="37"/>
    </row>
    <row r="43" spans="1:15" ht="22.5" customHeight="1" x14ac:dyDescent="0.35">
      <c r="A43" s="47" t="s">
        <v>277</v>
      </c>
      <c r="B43" s="153">
        <f>B41/B26</f>
        <v>1.0099994851451828</v>
      </c>
      <c r="C43" s="153">
        <f t="shared" ref="C43:I43" si="6">C41/C26</f>
        <v>1.01</v>
      </c>
      <c r="D43" s="153">
        <f t="shared" si="6"/>
        <v>1.0099995336038432</v>
      </c>
      <c r="E43" s="153">
        <f t="shared" si="6"/>
        <v>1.0100101133103547</v>
      </c>
      <c r="F43" s="153">
        <f t="shared" si="6"/>
        <v>1.0149999999999999</v>
      </c>
      <c r="G43" s="153">
        <f t="shared" si="6"/>
        <v>1.0500005713890064</v>
      </c>
      <c r="H43" s="153">
        <f t="shared" si="6"/>
        <v>1.05</v>
      </c>
      <c r="I43" s="153">
        <f t="shared" si="6"/>
        <v>1.01</v>
      </c>
      <c r="J43" s="37"/>
      <c r="K43" s="324"/>
      <c r="L43" s="37"/>
    </row>
    <row r="44" spans="1:15" ht="22.5" customHeight="1" x14ac:dyDescent="0.35">
      <c r="A44" s="47" t="s">
        <v>278</v>
      </c>
      <c r="B44" s="153">
        <f>B42/B26</f>
        <v>1.0733994607837598</v>
      </c>
      <c r="C44" s="153">
        <f t="shared" ref="C44:I44" si="7">C42/C26</f>
        <v>1.2262999999999999</v>
      </c>
      <c r="D44" s="153">
        <f t="shared" si="7"/>
        <v>1.0774987174105686</v>
      </c>
      <c r="E44" s="153">
        <f t="shared" si="7"/>
        <v>1.077509236135477</v>
      </c>
      <c r="F44" s="153">
        <f t="shared" si="7"/>
        <v>1.1120000000000001</v>
      </c>
      <c r="G44" s="153">
        <f t="shared" si="7"/>
        <v>1.0518962384453379</v>
      </c>
      <c r="H44" s="153">
        <f t="shared" si="7"/>
        <v>1.1077999999999999</v>
      </c>
      <c r="I44" s="153">
        <f t="shared" si="7"/>
        <v>1.0101</v>
      </c>
      <c r="J44" s="37"/>
      <c r="K44" s="324"/>
      <c r="L44" s="37"/>
    </row>
    <row r="45" spans="1:15" ht="35.15" customHeight="1" x14ac:dyDescent="0.35">
      <c r="A45" s="269" t="s">
        <v>279</v>
      </c>
      <c r="B45" s="269"/>
      <c r="C45" s="269"/>
      <c r="D45" s="269"/>
      <c r="E45" s="269"/>
      <c r="F45" s="269"/>
      <c r="G45" s="269"/>
      <c r="H45" s="269"/>
      <c r="I45" s="269"/>
      <c r="J45" s="37"/>
      <c r="K45" s="324"/>
      <c r="L45" s="37"/>
    </row>
    <row r="46" spans="1:15" ht="22.5" customHeight="1" x14ac:dyDescent="0.35">
      <c r="A46" s="39" t="s">
        <v>280</v>
      </c>
      <c r="B46" s="51">
        <f>B13</f>
        <v>6006</v>
      </c>
      <c r="C46" s="51">
        <v>0</v>
      </c>
      <c r="D46" s="35">
        <v>6000</v>
      </c>
      <c r="E46" s="35">
        <v>5994</v>
      </c>
      <c r="F46" s="35">
        <v>0</v>
      </c>
      <c r="G46" s="35">
        <v>6000</v>
      </c>
      <c r="H46" s="35">
        <v>54000</v>
      </c>
      <c r="I46" s="51">
        <v>6000</v>
      </c>
      <c r="J46" s="37"/>
      <c r="K46" s="324"/>
      <c r="L46" s="37"/>
    </row>
    <row r="47" spans="1:15" ht="22.5" customHeight="1" x14ac:dyDescent="0.35">
      <c r="A47" s="31" t="s">
        <v>281</v>
      </c>
      <c r="B47" s="38">
        <v>398170</v>
      </c>
      <c r="C47" s="38">
        <v>432000</v>
      </c>
      <c r="D47" s="35">
        <v>857640</v>
      </c>
      <c r="E47" s="35">
        <v>484515</v>
      </c>
      <c r="F47" s="35">
        <v>468930</v>
      </c>
      <c r="G47" s="35">
        <v>743802</v>
      </c>
      <c r="H47" s="35">
        <v>139200</v>
      </c>
      <c r="I47" s="35">
        <v>750000</v>
      </c>
      <c r="J47" s="37"/>
      <c r="K47" s="324"/>
      <c r="L47" s="37"/>
    </row>
    <row r="48" spans="1:15" s="44" customFormat="1" ht="22.5" customHeight="1" x14ac:dyDescent="0.35">
      <c r="A48" s="49" t="s">
        <v>282</v>
      </c>
      <c r="B48" s="153">
        <f>(B46+B47)/B26</f>
        <v>1.0150827346576403</v>
      </c>
      <c r="C48" s="153">
        <f t="shared" ref="C48:I48" si="8">(C46+C47)/C26</f>
        <v>0.72</v>
      </c>
      <c r="D48" s="153">
        <f t="shared" si="8"/>
        <v>1.0069959423534349</v>
      </c>
      <c r="E48" s="153">
        <f t="shared" si="8"/>
        <v>1.0123815813915089</v>
      </c>
      <c r="F48" s="153">
        <f t="shared" si="8"/>
        <v>1.0149999999999999</v>
      </c>
      <c r="G48" s="153">
        <f t="shared" si="8"/>
        <v>1.0080673405471756</v>
      </c>
      <c r="H48" s="153">
        <f t="shared" si="8"/>
        <v>0.32200000000000001</v>
      </c>
      <c r="I48" s="153">
        <f t="shared" si="8"/>
        <v>1.008</v>
      </c>
      <c r="J48" s="43"/>
      <c r="K48" s="324"/>
      <c r="L48" s="43"/>
      <c r="O48" s="23"/>
    </row>
    <row r="49" spans="1:12" ht="23.25" customHeight="1" x14ac:dyDescent="0.35">
      <c r="A49" s="269" t="s">
        <v>283</v>
      </c>
      <c r="B49" s="269"/>
      <c r="C49" s="269"/>
      <c r="D49" s="269"/>
      <c r="E49" s="269"/>
      <c r="F49" s="269"/>
      <c r="G49" s="269"/>
      <c r="H49" s="269"/>
      <c r="I49" s="269"/>
      <c r="J49" s="37"/>
      <c r="K49" s="324"/>
      <c r="L49" s="37"/>
    </row>
    <row r="50" spans="1:12" ht="22.5" customHeight="1" x14ac:dyDescent="0.35">
      <c r="A50" s="31" t="s">
        <v>284</v>
      </c>
      <c r="B50" s="67">
        <v>14196</v>
      </c>
      <c r="C50" s="51">
        <v>0</v>
      </c>
      <c r="D50" s="35">
        <v>34200</v>
      </c>
      <c r="E50" s="35">
        <v>19980</v>
      </c>
      <c r="F50" s="35">
        <v>0</v>
      </c>
      <c r="G50" s="35">
        <v>27900</v>
      </c>
      <c r="H50" s="35">
        <v>132300</v>
      </c>
      <c r="I50" s="35">
        <v>27375</v>
      </c>
      <c r="J50" s="37"/>
      <c r="K50" s="324"/>
      <c r="L50" s="37"/>
    </row>
    <row r="51" spans="1:12" ht="22.5" customHeight="1" x14ac:dyDescent="0.35">
      <c r="A51" s="31" t="s">
        <v>285</v>
      </c>
      <c r="B51" s="38">
        <v>423414</v>
      </c>
      <c r="C51" s="38">
        <v>477480</v>
      </c>
      <c r="D51" s="35">
        <v>915530</v>
      </c>
      <c r="E51" s="35">
        <v>517219</v>
      </c>
      <c r="F51" s="35">
        <v>510510</v>
      </c>
      <c r="G51" s="35">
        <v>745212</v>
      </c>
      <c r="H51" s="35">
        <v>208500</v>
      </c>
      <c r="I51" s="35">
        <v>750075</v>
      </c>
      <c r="J51" s="37"/>
      <c r="K51" s="324"/>
      <c r="L51" s="37"/>
    </row>
    <row r="52" spans="1:12" s="44" customFormat="1" ht="34" customHeight="1" x14ac:dyDescent="0.35">
      <c r="A52" s="49" t="s">
        <v>286</v>
      </c>
      <c r="B52" s="153">
        <f>(B50+B51)/B26</f>
        <v>1.099051788115895</v>
      </c>
      <c r="C52" s="153">
        <f t="shared" ref="C52:I52" si="9">(C50+C51)/C26</f>
        <v>0.79579999999999995</v>
      </c>
      <c r="D52" s="213">
        <f t="shared" si="9"/>
        <v>1.107376055221305</v>
      </c>
      <c r="E52" s="213">
        <f t="shared" si="9"/>
        <v>1.1087469814864501</v>
      </c>
      <c r="F52" s="213">
        <f t="shared" si="9"/>
        <v>1.105</v>
      </c>
      <c r="G52" s="153">
        <f t="shared" si="9"/>
        <v>1.0394063469890824</v>
      </c>
      <c r="H52" s="153">
        <f t="shared" si="9"/>
        <v>0.56799999999999995</v>
      </c>
      <c r="I52" s="153">
        <f t="shared" si="9"/>
        <v>1.0366</v>
      </c>
      <c r="J52" s="43"/>
      <c r="K52" s="324"/>
      <c r="L52" s="43"/>
    </row>
    <row r="53" spans="1:12" ht="22.5" customHeight="1" x14ac:dyDescent="0.35">
      <c r="A53" s="271" t="s">
        <v>287</v>
      </c>
      <c r="B53" s="271"/>
      <c r="C53" s="271"/>
      <c r="D53" s="271"/>
      <c r="E53" s="271"/>
      <c r="F53" s="271"/>
      <c r="G53" s="271"/>
      <c r="H53" s="271"/>
      <c r="I53" s="271"/>
      <c r="J53" s="37"/>
      <c r="K53" s="324"/>
      <c r="L53" s="37"/>
    </row>
    <row r="54" spans="1:12" ht="22.5" customHeight="1" x14ac:dyDescent="0.35">
      <c r="A54" s="39" t="s">
        <v>275</v>
      </c>
      <c r="B54" s="38">
        <v>435638</v>
      </c>
      <c r="C54" s="38">
        <v>480000</v>
      </c>
      <c r="D54" s="42">
        <v>938343</v>
      </c>
      <c r="E54" s="42">
        <v>530107</v>
      </c>
      <c r="F54" s="42">
        <v>518826</v>
      </c>
      <c r="G54" s="42">
        <v>813789</v>
      </c>
      <c r="H54" s="42">
        <v>630000</v>
      </c>
      <c r="I54" s="42">
        <v>757500</v>
      </c>
      <c r="J54" s="37"/>
      <c r="K54" s="324"/>
      <c r="L54" s="37"/>
    </row>
    <row r="55" spans="1:12" ht="22.5" customHeight="1" x14ac:dyDescent="0.35">
      <c r="A55" s="39" t="s">
        <v>276</v>
      </c>
      <c r="B55" s="38">
        <v>488435</v>
      </c>
      <c r="C55" s="38">
        <v>708660</v>
      </c>
      <c r="D55" s="42">
        <v>996233</v>
      </c>
      <c r="E55" s="42">
        <v>562811</v>
      </c>
      <c r="F55" s="42">
        <v>576576</v>
      </c>
      <c r="G55" s="42">
        <v>816759</v>
      </c>
      <c r="H55" s="42">
        <v>840480</v>
      </c>
      <c r="I55" s="42">
        <v>802095</v>
      </c>
      <c r="J55" s="37"/>
      <c r="K55" s="324"/>
      <c r="L55" s="37"/>
    </row>
    <row r="56" spans="1:12" ht="22.5" customHeight="1" x14ac:dyDescent="0.35">
      <c r="A56" s="47" t="s">
        <v>277</v>
      </c>
      <c r="B56" s="153">
        <f>B54/B26</f>
        <v>1.0940991359229275</v>
      </c>
      <c r="C56" s="153">
        <f t="shared" ref="C56:I56" si="10">C54/C26</f>
        <v>0.8</v>
      </c>
      <c r="D56" s="153">
        <f t="shared" si="10"/>
        <v>1.0940989226248776</v>
      </c>
      <c r="E56" s="153">
        <f t="shared" si="10"/>
        <v>1.0941095127035563</v>
      </c>
      <c r="F56" s="153">
        <f t="shared" si="10"/>
        <v>1.123</v>
      </c>
      <c r="G56" s="153">
        <f t="shared" si="10"/>
        <v>1.0940943248971668</v>
      </c>
      <c r="H56" s="153">
        <f t="shared" si="10"/>
        <v>1.05</v>
      </c>
      <c r="I56" s="153">
        <f t="shared" si="10"/>
        <v>1.01</v>
      </c>
      <c r="J56" s="37"/>
      <c r="K56" s="324"/>
      <c r="L56" s="37"/>
    </row>
    <row r="57" spans="1:12" ht="22.5" customHeight="1" x14ac:dyDescent="0.35">
      <c r="A57" s="47" t="s">
        <v>278</v>
      </c>
      <c r="B57" s="153">
        <f>B55/B26</f>
        <v>1.2266981104828207</v>
      </c>
      <c r="C57" s="153">
        <f t="shared" ref="C57:I57" si="11">C55/C26</f>
        <v>1.1811</v>
      </c>
      <c r="D57" s="153">
        <f t="shared" si="11"/>
        <v>1.161598106431603</v>
      </c>
      <c r="E57" s="153">
        <f t="shared" si="11"/>
        <v>1.1616086355286785</v>
      </c>
      <c r="F57" s="153">
        <f t="shared" si="11"/>
        <v>1.248</v>
      </c>
      <c r="G57" s="153">
        <f t="shared" si="11"/>
        <v>1.0980873257179502</v>
      </c>
      <c r="H57" s="153">
        <f t="shared" si="11"/>
        <v>1.4008</v>
      </c>
      <c r="I57" s="153">
        <f t="shared" si="11"/>
        <v>1.0694600000000001</v>
      </c>
      <c r="J57" s="37"/>
      <c r="K57" s="324"/>
      <c r="L57" s="37"/>
    </row>
    <row r="58" spans="1:12" ht="22.5" customHeight="1" x14ac:dyDescent="0.35">
      <c r="A58" s="269" t="s">
        <v>279</v>
      </c>
      <c r="B58" s="269"/>
      <c r="C58" s="269"/>
      <c r="D58" s="269"/>
      <c r="E58" s="269"/>
      <c r="F58" s="269"/>
      <c r="G58" s="269"/>
      <c r="H58" s="269"/>
      <c r="I58" s="269"/>
      <c r="J58" s="37"/>
      <c r="K58" s="324"/>
      <c r="L58" s="37"/>
    </row>
    <row r="59" spans="1:12" ht="22.5" customHeight="1" x14ac:dyDescent="0.35">
      <c r="A59" s="39" t="s">
        <v>280</v>
      </c>
      <c r="B59" s="42">
        <f>41*B13</f>
        <v>246246</v>
      </c>
      <c r="C59" s="42">
        <v>317340</v>
      </c>
      <c r="D59" s="42">
        <f>41*D13</f>
        <v>246000</v>
      </c>
      <c r="E59" s="42">
        <v>245754</v>
      </c>
      <c r="F59" s="42">
        <v>288750</v>
      </c>
      <c r="G59" s="42">
        <f>41*G13</f>
        <v>246000</v>
      </c>
      <c r="H59" s="42">
        <v>294000</v>
      </c>
      <c r="I59" s="42">
        <f>41*I13</f>
        <v>246000</v>
      </c>
      <c r="J59" s="37"/>
      <c r="K59" s="324"/>
      <c r="L59" s="37"/>
    </row>
    <row r="60" spans="1:12" ht="22.5" customHeight="1" x14ac:dyDescent="0.35">
      <c r="A60" s="31" t="s">
        <v>281</v>
      </c>
      <c r="B60" s="38">
        <v>435638</v>
      </c>
      <c r="C60" s="38">
        <v>480000</v>
      </c>
      <c r="D60" s="42">
        <v>938343</v>
      </c>
      <c r="E60" s="42">
        <v>530107</v>
      </c>
      <c r="F60" s="42">
        <v>518826</v>
      </c>
      <c r="G60" s="42">
        <v>813789</v>
      </c>
      <c r="H60" s="42">
        <v>386000</v>
      </c>
      <c r="I60" s="42">
        <v>753000</v>
      </c>
      <c r="J60" s="37"/>
      <c r="K60" s="324"/>
      <c r="L60" s="37"/>
    </row>
    <row r="61" spans="1:12" ht="22.5" customHeight="1" x14ac:dyDescent="0.35">
      <c r="A61" s="49" t="s">
        <v>288</v>
      </c>
      <c r="B61" s="153">
        <f>B59/B26</f>
        <v>0.61844360644497776</v>
      </c>
      <c r="C61" s="153">
        <f t="shared" ref="C61:I61" si="12">C59/C26</f>
        <v>0.52890000000000004</v>
      </c>
      <c r="D61" s="153">
        <f t="shared" si="12"/>
        <v>0.28683363649083532</v>
      </c>
      <c r="E61" s="153">
        <f t="shared" si="12"/>
        <v>0.50722172916967656</v>
      </c>
      <c r="F61" s="153">
        <f t="shared" si="12"/>
        <v>0.625</v>
      </c>
      <c r="G61" s="153">
        <f t="shared" si="12"/>
        <v>0.3307334013174214</v>
      </c>
      <c r="H61" s="153">
        <f t="shared" si="12"/>
        <v>0.49</v>
      </c>
      <c r="I61" s="153">
        <f t="shared" si="12"/>
        <v>0.32800000000000001</v>
      </c>
      <c r="J61" s="37"/>
      <c r="K61" s="324"/>
      <c r="L61" s="37"/>
    </row>
    <row r="62" spans="1:12" ht="22.5" customHeight="1" x14ac:dyDescent="0.35">
      <c r="A62" s="49" t="s">
        <v>282</v>
      </c>
      <c r="B62" s="153">
        <f>(B59+B60)/B26</f>
        <v>1.7125427423679052</v>
      </c>
      <c r="C62" s="153">
        <f t="shared" ref="C62:I62" si="13">(C59+C60)/C26</f>
        <v>1.3289</v>
      </c>
      <c r="D62" s="153">
        <f t="shared" si="13"/>
        <v>1.3809325591157129</v>
      </c>
      <c r="E62" s="153">
        <f t="shared" si="13"/>
        <v>1.6013312418732328</v>
      </c>
      <c r="F62" s="153">
        <f t="shared" si="13"/>
        <v>1.748</v>
      </c>
      <c r="G62" s="153">
        <f t="shared" si="13"/>
        <v>1.4248277262145881</v>
      </c>
      <c r="H62" s="153">
        <f t="shared" si="13"/>
        <v>1.1333333333333333</v>
      </c>
      <c r="I62" s="153">
        <f t="shared" si="13"/>
        <v>1.3320000000000001</v>
      </c>
      <c r="J62" s="37"/>
      <c r="K62" s="324"/>
      <c r="L62" s="37"/>
    </row>
    <row r="63" spans="1:12" ht="22.5" customHeight="1" x14ac:dyDescent="0.35">
      <c r="A63" s="269" t="s">
        <v>283</v>
      </c>
      <c r="B63" s="269"/>
      <c r="C63" s="269"/>
      <c r="D63" s="269"/>
      <c r="E63" s="269"/>
      <c r="F63" s="269"/>
      <c r="G63" s="269"/>
      <c r="H63" s="269"/>
      <c r="I63" s="269"/>
      <c r="J63" s="37"/>
      <c r="K63" s="324"/>
      <c r="L63" s="37"/>
    </row>
    <row r="64" spans="1:12" ht="22.5" customHeight="1" x14ac:dyDescent="0.35">
      <c r="A64" s="31" t="s">
        <v>284</v>
      </c>
      <c r="B64" s="67">
        <f>(39*14196)+(2*15561)</f>
        <v>584766</v>
      </c>
      <c r="C64" s="67">
        <v>822840</v>
      </c>
      <c r="D64" s="67">
        <f>41*D19</f>
        <v>1402200</v>
      </c>
      <c r="E64" s="67">
        <v>819180</v>
      </c>
      <c r="F64" s="67">
        <v>723030</v>
      </c>
      <c r="G64" s="67">
        <f>2246324-1064624</f>
        <v>1181700</v>
      </c>
      <c r="H64" s="67">
        <v>720300</v>
      </c>
      <c r="I64" s="35">
        <v>1122375</v>
      </c>
      <c r="J64" s="37"/>
      <c r="K64" s="324"/>
      <c r="L64" s="37"/>
    </row>
    <row r="65" spans="1:12" ht="22.5" customHeight="1" x14ac:dyDescent="0.35">
      <c r="A65" s="31" t="s">
        <v>285</v>
      </c>
      <c r="B65" s="38">
        <v>488435</v>
      </c>
      <c r="C65" s="38">
        <v>697260</v>
      </c>
      <c r="D65" s="42">
        <v>996233</v>
      </c>
      <c r="E65" s="42">
        <v>562811</v>
      </c>
      <c r="F65" s="42">
        <v>576576</v>
      </c>
      <c r="G65" s="42">
        <v>816759</v>
      </c>
      <c r="H65" s="42">
        <v>806940</v>
      </c>
      <c r="I65" s="38">
        <v>797595</v>
      </c>
      <c r="J65" s="37"/>
      <c r="K65" s="324"/>
      <c r="L65" s="37"/>
    </row>
    <row r="66" spans="1:12" ht="22.5" customHeight="1" x14ac:dyDescent="0.35">
      <c r="A66" s="49" t="s">
        <v>289</v>
      </c>
      <c r="B66" s="153">
        <f>B64/B26</f>
        <v>1.4686321563249913</v>
      </c>
      <c r="C66" s="153">
        <f t="shared" ref="C66:I66" si="14">C64/C26</f>
        <v>1.3714</v>
      </c>
      <c r="D66" s="153">
        <f t="shared" si="14"/>
        <v>1.6349517279977612</v>
      </c>
      <c r="E66" s="153">
        <f t="shared" si="14"/>
        <v>1.6907390972322554</v>
      </c>
      <c r="F66" s="153">
        <f t="shared" si="14"/>
        <v>1.5649999999999999</v>
      </c>
      <c r="G66" s="153">
        <f t="shared" si="14"/>
        <v>1.5887303265723449</v>
      </c>
      <c r="H66" s="153">
        <f t="shared" si="14"/>
        <v>1.2004999999999999</v>
      </c>
      <c r="I66" s="153">
        <f t="shared" si="14"/>
        <v>1.4964999999999999</v>
      </c>
      <c r="J66" s="37"/>
      <c r="K66" s="324"/>
      <c r="L66" s="37"/>
    </row>
    <row r="67" spans="1:12" ht="22.5" customHeight="1" x14ac:dyDescent="0.35">
      <c r="A67" s="49" t="s">
        <v>286</v>
      </c>
      <c r="B67" s="153">
        <f>(B64+B65)/B26</f>
        <v>2.6953302668078121</v>
      </c>
      <c r="C67" s="153">
        <f t="shared" ref="C67:I67" si="15">(C64+C65)/C26</f>
        <v>2.5335000000000001</v>
      </c>
      <c r="D67" s="153">
        <f t="shared" si="15"/>
        <v>2.7965498344293644</v>
      </c>
      <c r="E67" s="153">
        <f t="shared" si="15"/>
        <v>2.8523477327609337</v>
      </c>
      <c r="F67" s="153">
        <f t="shared" si="15"/>
        <v>2.8130000000000002</v>
      </c>
      <c r="G67" s="153">
        <f t="shared" si="15"/>
        <v>2.6868176522902951</v>
      </c>
      <c r="H67" s="153">
        <f t="shared" si="15"/>
        <v>2.5453999999999999</v>
      </c>
      <c r="I67" s="153">
        <f t="shared" si="15"/>
        <v>2.5599599999999998</v>
      </c>
      <c r="J67" s="37"/>
      <c r="K67" s="324"/>
      <c r="L67" s="37"/>
    </row>
    <row r="68" spans="1:12" ht="22.5" customHeight="1" x14ac:dyDescent="0.35">
      <c r="A68" s="271" t="s">
        <v>290</v>
      </c>
      <c r="B68" s="271"/>
      <c r="C68" s="271"/>
      <c r="D68" s="271"/>
      <c r="E68" s="271"/>
      <c r="F68" s="271"/>
      <c r="G68" s="271"/>
      <c r="H68" s="271"/>
      <c r="I68" s="271"/>
      <c r="J68" s="37"/>
      <c r="K68" s="324"/>
      <c r="L68" s="37"/>
    </row>
    <row r="69" spans="1:12" ht="22.5" customHeight="1" x14ac:dyDescent="0.35">
      <c r="A69" s="39" t="s">
        <v>275</v>
      </c>
      <c r="B69" s="38">
        <v>457935</v>
      </c>
      <c r="C69" s="38">
        <v>480000</v>
      </c>
      <c r="D69" s="42">
        <v>986371</v>
      </c>
      <c r="E69" s="42">
        <v>557240</v>
      </c>
      <c r="F69" s="42">
        <v>546546</v>
      </c>
      <c r="G69" s="42">
        <v>855438</v>
      </c>
      <c r="H69" s="42">
        <v>630000</v>
      </c>
      <c r="I69" s="42">
        <v>757500</v>
      </c>
      <c r="J69" s="37"/>
      <c r="K69" s="324"/>
      <c r="L69" s="37"/>
    </row>
    <row r="70" spans="1:12" ht="22.5" customHeight="1" x14ac:dyDescent="0.35">
      <c r="A70" s="39" t="s">
        <v>276</v>
      </c>
      <c r="B70" s="38">
        <v>544417</v>
      </c>
      <c r="C70" s="38">
        <v>708660</v>
      </c>
      <c r="D70" s="42">
        <v>1044261</v>
      </c>
      <c r="E70" s="42">
        <v>589944</v>
      </c>
      <c r="F70" s="42">
        <v>604296</v>
      </c>
      <c r="G70" s="42">
        <v>860298</v>
      </c>
      <c r="H70" s="42">
        <v>1195300</v>
      </c>
      <c r="I70" s="42">
        <v>820567</v>
      </c>
      <c r="J70" s="37"/>
      <c r="K70" s="324"/>
      <c r="L70" s="37"/>
    </row>
    <row r="71" spans="1:12" ht="22.5" customHeight="1" x14ac:dyDescent="0.35">
      <c r="A71" s="47" t="s">
        <v>277</v>
      </c>
      <c r="B71" s="153">
        <f>B69/B26</f>
        <v>1.150097759628099</v>
      </c>
      <c r="C71" s="153">
        <f t="shared" ref="C71:I71" si="16">C69/C26</f>
        <v>0.8</v>
      </c>
      <c r="D71" s="153">
        <f t="shared" si="16"/>
        <v>1.1500991091833404</v>
      </c>
      <c r="E71" s="153">
        <f t="shared" si="16"/>
        <v>1.1501104208375472</v>
      </c>
      <c r="F71" s="153">
        <f t="shared" si="16"/>
        <v>1.1830000000000001</v>
      </c>
      <c r="G71" s="153">
        <f t="shared" si="16"/>
        <v>1.1500891030738711</v>
      </c>
      <c r="H71" s="153">
        <f t="shared" si="16"/>
        <v>1.05</v>
      </c>
      <c r="I71" s="153">
        <f t="shared" si="16"/>
        <v>1.01</v>
      </c>
      <c r="J71" s="37"/>
      <c r="K71" s="324"/>
      <c r="L71" s="37"/>
    </row>
    <row r="72" spans="1:12" ht="22.5" customHeight="1" x14ac:dyDescent="0.35">
      <c r="A72" s="47" t="s">
        <v>278</v>
      </c>
      <c r="B72" s="153">
        <f>B70/B26</f>
        <v>1.3672961708614777</v>
      </c>
      <c r="C72" s="153">
        <f t="shared" ref="C72:I72" si="17">C70/C26</f>
        <v>1.1811</v>
      </c>
      <c r="D72" s="153">
        <f t="shared" si="17"/>
        <v>1.2175982929900657</v>
      </c>
      <c r="E72" s="153">
        <f t="shared" si="17"/>
        <v>1.2176095436626695</v>
      </c>
      <c r="F72" s="153">
        <f t="shared" si="17"/>
        <v>1.3080000000000001</v>
      </c>
      <c r="G72" s="153">
        <f t="shared" si="17"/>
        <v>1.1566231044169715</v>
      </c>
      <c r="H72" s="153">
        <f t="shared" si="17"/>
        <v>1.9921666666666666</v>
      </c>
      <c r="I72" s="153">
        <f t="shared" si="17"/>
        <v>1.0940893333333332</v>
      </c>
      <c r="J72" s="37"/>
      <c r="K72" s="324"/>
      <c r="L72" s="37"/>
    </row>
    <row r="73" spans="1:12" ht="22.5" customHeight="1" x14ac:dyDescent="0.35">
      <c r="A73" s="269" t="s">
        <v>279</v>
      </c>
      <c r="B73" s="269"/>
      <c r="C73" s="269"/>
      <c r="D73" s="269"/>
      <c r="E73" s="269"/>
      <c r="F73" s="269"/>
      <c r="G73" s="269"/>
      <c r="H73" s="269"/>
      <c r="I73" s="269"/>
      <c r="J73" s="37"/>
      <c r="K73" s="324"/>
      <c r="L73" s="37"/>
    </row>
    <row r="74" spans="1:12" ht="22.5" customHeight="1" x14ac:dyDescent="0.35">
      <c r="A74" s="39" t="s">
        <v>280</v>
      </c>
      <c r="B74" s="42">
        <f>61*B13</f>
        <v>366366</v>
      </c>
      <c r="C74" s="42">
        <v>481740</v>
      </c>
      <c r="D74" s="42">
        <f>61*D13</f>
        <v>366000</v>
      </c>
      <c r="E74" s="42">
        <v>365634</v>
      </c>
      <c r="F74" s="42">
        <v>436590</v>
      </c>
      <c r="G74" s="42">
        <f>61*G13</f>
        <v>366000</v>
      </c>
      <c r="H74" s="42">
        <v>414000</v>
      </c>
      <c r="I74" s="42">
        <f>61*I13</f>
        <v>366000</v>
      </c>
      <c r="J74" s="37"/>
      <c r="K74" s="324"/>
      <c r="L74" s="37"/>
    </row>
    <row r="75" spans="1:12" ht="22.5" customHeight="1" x14ac:dyDescent="0.35">
      <c r="A75" s="31" t="s">
        <v>281</v>
      </c>
      <c r="B75" s="38">
        <v>457935</v>
      </c>
      <c r="C75" s="38">
        <v>480000</v>
      </c>
      <c r="D75" s="42">
        <v>986371</v>
      </c>
      <c r="E75" s="42">
        <v>557240</v>
      </c>
      <c r="F75" s="42">
        <v>546546</v>
      </c>
      <c r="G75" s="42">
        <v>855438</v>
      </c>
      <c r="H75" s="42">
        <v>429000</v>
      </c>
      <c r="I75" s="42">
        <v>754500</v>
      </c>
      <c r="J75" s="37"/>
      <c r="K75" s="324"/>
      <c r="L75" s="37"/>
    </row>
    <row r="76" spans="1:12" ht="22.5" customHeight="1" x14ac:dyDescent="0.35">
      <c r="A76" s="49" t="s">
        <v>288</v>
      </c>
      <c r="B76" s="153">
        <f>B74/B26</f>
        <v>0.92012341446691803</v>
      </c>
      <c r="C76" s="153">
        <f t="shared" ref="C76:H76" si="18">C74/C26</f>
        <v>0.80289999999999995</v>
      </c>
      <c r="D76" s="153">
        <f t="shared" si="18"/>
        <v>0.42675248355953549</v>
      </c>
      <c r="E76" s="153">
        <f t="shared" si="18"/>
        <v>0.75464696291098221</v>
      </c>
      <c r="F76" s="153">
        <f t="shared" si="18"/>
        <v>0.94499999999999995</v>
      </c>
      <c r="G76" s="153">
        <f t="shared" si="18"/>
        <v>0.49206676781372449</v>
      </c>
      <c r="H76" s="153">
        <f t="shared" si="18"/>
        <v>0.69</v>
      </c>
      <c r="I76" s="153">
        <f>I74/I26</f>
        <v>0.48799999999999999</v>
      </c>
      <c r="J76" s="37"/>
      <c r="K76" s="324"/>
      <c r="L76" s="37"/>
    </row>
    <row r="77" spans="1:12" ht="22.5" customHeight="1" x14ac:dyDescent="0.35">
      <c r="A77" s="49" t="s">
        <v>282</v>
      </c>
      <c r="B77" s="153">
        <f>(B74+B75)/B26</f>
        <v>2.0702211740950172</v>
      </c>
      <c r="C77" s="153">
        <f t="shared" ref="C77:H77" si="19">(C74+C75)/C26</f>
        <v>1.6029</v>
      </c>
      <c r="D77" s="153">
        <f t="shared" si="19"/>
        <v>1.5768515927428759</v>
      </c>
      <c r="E77" s="153">
        <f t="shared" si="19"/>
        <v>1.9047573837485294</v>
      </c>
      <c r="F77" s="153">
        <f t="shared" si="19"/>
        <v>2.1280000000000001</v>
      </c>
      <c r="G77" s="153">
        <f t="shared" si="19"/>
        <v>1.6421558708875956</v>
      </c>
      <c r="H77" s="153">
        <f t="shared" si="19"/>
        <v>1.405</v>
      </c>
      <c r="I77" s="153">
        <f>(I74+I75)/I26</f>
        <v>1.494</v>
      </c>
      <c r="J77" s="37"/>
      <c r="K77" s="324"/>
      <c r="L77" s="37"/>
    </row>
    <row r="78" spans="1:12" ht="22.5" customHeight="1" x14ac:dyDescent="0.35">
      <c r="A78" s="269" t="s">
        <v>283</v>
      </c>
      <c r="B78" s="269"/>
      <c r="C78" s="269"/>
      <c r="D78" s="269"/>
      <c r="E78" s="269"/>
      <c r="F78" s="269"/>
      <c r="G78" s="269"/>
      <c r="H78" s="269"/>
      <c r="I78" s="269"/>
      <c r="J78" s="37"/>
      <c r="K78" s="324"/>
      <c r="L78" s="37"/>
    </row>
    <row r="79" spans="1:12" ht="22.5" customHeight="1" x14ac:dyDescent="0.35">
      <c r="A79" s="31" t="s">
        <v>284</v>
      </c>
      <c r="B79" s="67">
        <f>(39*14196)+(22*15561)</f>
        <v>895986</v>
      </c>
      <c r="C79" s="67">
        <v>1251240</v>
      </c>
      <c r="D79" s="67">
        <f>61*D19</f>
        <v>2086200</v>
      </c>
      <c r="E79" s="67">
        <v>1218780</v>
      </c>
      <c r="F79" s="67">
        <v>1092630</v>
      </c>
      <c r="G79" s="67">
        <f>4855161-3079461</f>
        <v>1775700</v>
      </c>
      <c r="H79" s="67">
        <v>1014300</v>
      </c>
      <c r="I79" s="52">
        <v>1669875</v>
      </c>
      <c r="J79" s="37"/>
      <c r="K79" s="324"/>
      <c r="L79" s="37"/>
    </row>
    <row r="80" spans="1:12" ht="22.5" customHeight="1" x14ac:dyDescent="0.35">
      <c r="A80" s="31" t="s">
        <v>285</v>
      </c>
      <c r="B80" s="38">
        <v>544417</v>
      </c>
      <c r="C80" s="38">
        <v>697260</v>
      </c>
      <c r="D80" s="35">
        <v>1044261</v>
      </c>
      <c r="E80" s="35">
        <v>589944</v>
      </c>
      <c r="F80" s="35">
        <v>604296</v>
      </c>
      <c r="G80" s="35">
        <v>860298</v>
      </c>
      <c r="H80" s="35">
        <v>1559580</v>
      </c>
      <c r="I80" s="35">
        <v>817567</v>
      </c>
      <c r="J80" s="37"/>
      <c r="K80" s="324"/>
      <c r="L80" s="37"/>
    </row>
    <row r="81" spans="1:12" ht="22.5" customHeight="1" x14ac:dyDescent="0.35">
      <c r="A81" s="49" t="s">
        <v>289</v>
      </c>
      <c r="B81" s="153">
        <f>B79/B26</f>
        <v>2.2502571134727458</v>
      </c>
      <c r="C81" s="153">
        <f t="shared" ref="C81:I81" si="20">C79/C26</f>
        <v>2.0853999999999999</v>
      </c>
      <c r="D81" s="153">
        <f t="shared" si="20"/>
        <v>2.432489156289352</v>
      </c>
      <c r="E81" s="153">
        <f t="shared" si="20"/>
        <v>2.5154898763699407</v>
      </c>
      <c r="F81" s="153">
        <f t="shared" si="20"/>
        <v>2.3650000000000002</v>
      </c>
      <c r="G81" s="153">
        <f t="shared" si="20"/>
        <v>2.3873304907290454</v>
      </c>
      <c r="H81" s="153">
        <f t="shared" si="20"/>
        <v>1.6904999999999999</v>
      </c>
      <c r="I81" s="153">
        <f t="shared" si="20"/>
        <v>2.2265000000000001</v>
      </c>
      <c r="J81" s="37"/>
      <c r="K81" s="324"/>
      <c r="L81" s="37"/>
    </row>
    <row r="82" spans="1:12" ht="22.5" customHeight="1" thickBot="1" x14ac:dyDescent="0.4">
      <c r="A82" s="49" t="s">
        <v>286</v>
      </c>
      <c r="B82" s="153">
        <f>(B79+B80)/B26</f>
        <v>3.6175532843342237</v>
      </c>
      <c r="C82" s="153">
        <f t="shared" ref="C82:I82" si="21">(C79+C80)/C26</f>
        <v>3.2475000000000001</v>
      </c>
      <c r="D82" s="153">
        <f t="shared" si="21"/>
        <v>3.6500874492794178</v>
      </c>
      <c r="E82" s="153">
        <f t="shared" si="21"/>
        <v>3.7330994200326102</v>
      </c>
      <c r="F82" s="153">
        <f t="shared" si="21"/>
        <v>3.673</v>
      </c>
      <c r="G82" s="153">
        <f t="shared" si="21"/>
        <v>3.5439535951460166</v>
      </c>
      <c r="H82" s="153">
        <f t="shared" si="21"/>
        <v>4.2897999999999996</v>
      </c>
      <c r="I82" s="153">
        <f t="shared" si="21"/>
        <v>3.3165893333333334</v>
      </c>
      <c r="J82" s="37"/>
      <c r="K82" s="325"/>
      <c r="L82" s="37"/>
    </row>
    <row r="83" spans="1:12" x14ac:dyDescent="0.35">
      <c r="K83" s="41"/>
    </row>
    <row r="84" spans="1:12" x14ac:dyDescent="0.35">
      <c r="K84" s="41"/>
    </row>
  </sheetData>
  <sheetProtection algorithmName="SHA-512" hashValue="Nb/C7I5gL6uuvOjCSBUTxFuhpUvtyoQ0KB3swz2TJNvB4e6wSVjbJ08plUKOZu5laX+YJnoDQ79OmzcDainfog==" saltValue="ZxgeLl+uQdU8+eN5leSx5w==" spinCount="100000" sheet="1" objects="1" scenarios="1" selectLockedCells="1" autoFilter="0" selectUnlockedCells="1"/>
  <mergeCells count="36">
    <mergeCell ref="K7:K82"/>
    <mergeCell ref="A78:I78"/>
    <mergeCell ref="A68:I68"/>
    <mergeCell ref="A45:I45"/>
    <mergeCell ref="A49:I49"/>
    <mergeCell ref="A58:I58"/>
    <mergeCell ref="A63:I63"/>
    <mergeCell ref="A73:I73"/>
    <mergeCell ref="A19:A24"/>
    <mergeCell ref="A33:A38"/>
    <mergeCell ref="H19:H24"/>
    <mergeCell ref="D19:D24"/>
    <mergeCell ref="D33:D38"/>
    <mergeCell ref="H33:H38"/>
    <mergeCell ref="A13:A18"/>
    <mergeCell ref="A6:A7"/>
    <mergeCell ref="A1:I2"/>
    <mergeCell ref="A27:A32"/>
    <mergeCell ref="D13:D18"/>
    <mergeCell ref="D27:D32"/>
    <mergeCell ref="E13:E18"/>
    <mergeCell ref="E19:E24"/>
    <mergeCell ref="E27:E32"/>
    <mergeCell ref="I19:I24"/>
    <mergeCell ref="A40:I40"/>
    <mergeCell ref="A53:I53"/>
    <mergeCell ref="I27:I32"/>
    <mergeCell ref="I13:I18"/>
    <mergeCell ref="G13:G18"/>
    <mergeCell ref="G27:G32"/>
    <mergeCell ref="B13:B18"/>
    <mergeCell ref="H13:H18"/>
    <mergeCell ref="H27:H32"/>
    <mergeCell ref="B27:B32"/>
    <mergeCell ref="E33:E38"/>
    <mergeCell ref="I33:I38"/>
  </mergeCells>
  <conditionalFormatting sqref="B43:I43">
    <cfRule type="top10" dxfId="100" priority="727" rank="1"/>
  </conditionalFormatting>
  <conditionalFormatting sqref="B44:I44">
    <cfRule type="top10" dxfId="99" priority="729" rank="1"/>
  </conditionalFormatting>
  <conditionalFormatting sqref="B48:I48">
    <cfRule type="top10" dxfId="98" priority="731" rank="1"/>
  </conditionalFormatting>
  <conditionalFormatting sqref="B52:I52">
    <cfRule type="top10" dxfId="97" priority="733" rank="1"/>
  </conditionalFormatting>
  <conditionalFormatting sqref="B56:I56">
    <cfRule type="top10" dxfId="96" priority="735" rank="1"/>
  </conditionalFormatting>
  <conditionalFormatting sqref="B57:I57">
    <cfRule type="top10" dxfId="95" priority="737" rank="1"/>
  </conditionalFormatting>
  <conditionalFormatting sqref="B61:I61">
    <cfRule type="top10" dxfId="94" priority="739" rank="1"/>
  </conditionalFormatting>
  <conditionalFormatting sqref="B62:I62">
    <cfRule type="top10" dxfId="93" priority="741" rank="1"/>
  </conditionalFormatting>
  <conditionalFormatting sqref="B66:I66">
    <cfRule type="top10" dxfId="92" priority="743" rank="1"/>
  </conditionalFormatting>
  <conditionalFormatting sqref="B67:I67">
    <cfRule type="top10" dxfId="91" priority="745" rank="1"/>
  </conditionalFormatting>
  <conditionalFormatting sqref="B71:I71">
    <cfRule type="top10" dxfId="90" priority="747" rank="1"/>
  </conditionalFormatting>
  <conditionalFormatting sqref="B72:I72">
    <cfRule type="top10" dxfId="89" priority="749" rank="1"/>
  </conditionalFormatting>
  <conditionalFormatting sqref="B76:I76">
    <cfRule type="top10" dxfId="88" priority="751" rank="1"/>
  </conditionalFormatting>
  <conditionalFormatting sqref="B77:I77">
    <cfRule type="top10" dxfId="87" priority="753" rank="1"/>
  </conditionalFormatting>
  <conditionalFormatting sqref="B81:I81">
    <cfRule type="top10" dxfId="86" priority="755" rank="1"/>
  </conditionalFormatting>
  <conditionalFormatting sqref="B82:I82">
    <cfRule type="top10" dxfId="85" priority="757" rank="1"/>
  </conditionalFormatting>
  <printOptions horizontalCentered="1" verticalCentered="1"/>
  <pageMargins left="0" right="0" top="0" bottom="0" header="0" footer="0"/>
  <pageSetup paperSize="9" scale="38" fitToHeight="0" orientation="portrait" r:id="rId1"/>
  <headerFooter>
    <oddFooter>&amp;L_x000D_&amp;1#&amp;"Calibri"&amp;8&amp;K008000 Public</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J76"/>
  <sheetViews>
    <sheetView showGridLines="0" zoomScale="70" zoomScaleNormal="70" workbookViewId="0">
      <pane xSplit="1" ySplit="7" topLeftCell="B8" activePane="bottomRight" state="frozen"/>
      <selection pane="topRight" activeCell="B1" sqref="B1"/>
      <selection pane="bottomLeft" activeCell="A8" sqref="A8"/>
      <selection pane="bottomRight" activeCell="D17" sqref="D17:D20"/>
    </sheetView>
  </sheetViews>
  <sheetFormatPr defaultColWidth="9.1796875" defaultRowHeight="15.5" x14ac:dyDescent="0.35"/>
  <cols>
    <col min="1" max="1" width="50" style="17" customWidth="1"/>
    <col min="2" max="2" width="39.453125" style="17" customWidth="1"/>
    <col min="3" max="3" width="24.36328125" style="17" customWidth="1"/>
    <col min="4" max="4" width="30" style="17" customWidth="1"/>
    <col min="5" max="5" width="38.453125" style="17" customWidth="1"/>
    <col min="6" max="6" width="4.81640625" style="17" customWidth="1"/>
    <col min="7" max="7" width="70.453125" style="17" customWidth="1"/>
    <col min="8" max="16384" width="9.1796875" style="17"/>
  </cols>
  <sheetData>
    <row r="1" spans="1:10" ht="15" customHeight="1" x14ac:dyDescent="0.35">
      <c r="A1" s="273" t="s">
        <v>234</v>
      </c>
      <c r="B1" s="273"/>
      <c r="C1" s="273"/>
      <c r="D1" s="273"/>
      <c r="E1" s="273"/>
      <c r="F1" s="16"/>
      <c r="G1" s="16"/>
      <c r="H1" s="16"/>
      <c r="I1" s="16"/>
      <c r="J1" s="16"/>
    </row>
    <row r="2" spans="1:10" x14ac:dyDescent="0.35">
      <c r="A2" s="273"/>
      <c r="B2" s="273"/>
      <c r="C2" s="273"/>
      <c r="D2" s="273"/>
      <c r="E2" s="273"/>
      <c r="F2" s="16"/>
      <c r="G2" s="16"/>
      <c r="H2" s="16"/>
      <c r="I2" s="16"/>
      <c r="J2" s="16"/>
    </row>
    <row r="3" spans="1:10" x14ac:dyDescent="0.35">
      <c r="A3" s="18" t="s">
        <v>235</v>
      </c>
      <c r="B3" s="18"/>
      <c r="C3" s="18"/>
    </row>
    <row r="4" spans="1:10" x14ac:dyDescent="0.35">
      <c r="A4" s="17" t="s">
        <v>236</v>
      </c>
      <c r="B4" s="18"/>
      <c r="C4" s="18"/>
    </row>
    <row r="5" spans="1:10" ht="20.25" customHeight="1" thickBot="1" x14ac:dyDescent="0.4">
      <c r="A5" s="18" t="s">
        <v>237</v>
      </c>
      <c r="B5" s="18"/>
      <c r="C5" s="18"/>
    </row>
    <row r="6" spans="1:10" ht="16" thickBot="1" x14ac:dyDescent="0.4">
      <c r="A6" s="274" t="s">
        <v>238</v>
      </c>
      <c r="B6" s="176" t="s">
        <v>16</v>
      </c>
      <c r="C6" s="176" t="s">
        <v>30</v>
      </c>
      <c r="D6" s="176" t="s">
        <v>21</v>
      </c>
      <c r="E6" s="177" t="s">
        <v>27</v>
      </c>
      <c r="F6" s="19"/>
      <c r="G6" s="20" t="s">
        <v>239</v>
      </c>
      <c r="H6" s="19"/>
      <c r="J6" s="21"/>
    </row>
    <row r="7" spans="1:10" ht="48" customHeight="1" x14ac:dyDescent="0.35">
      <c r="A7" s="274"/>
      <c r="B7" s="178" t="s">
        <v>240</v>
      </c>
      <c r="C7" s="178" t="s">
        <v>31</v>
      </c>
      <c r="D7" s="178" t="s">
        <v>22</v>
      </c>
      <c r="E7" s="179" t="s">
        <v>28</v>
      </c>
      <c r="F7" s="22"/>
      <c r="G7" s="323" t="s">
        <v>406</v>
      </c>
      <c r="H7" s="22"/>
      <c r="J7" s="23"/>
    </row>
    <row r="8" spans="1:10" x14ac:dyDescent="0.35">
      <c r="A8" s="24" t="s">
        <v>242</v>
      </c>
      <c r="B8" s="25">
        <v>4.2500000000000003E-2</v>
      </c>
      <c r="C8" s="25">
        <v>4.2500000000000003E-2</v>
      </c>
      <c r="D8" s="25">
        <v>4.2500000000000003E-2</v>
      </c>
      <c r="E8" s="25">
        <v>4.2500000000000003E-2</v>
      </c>
      <c r="F8" s="26"/>
      <c r="G8" s="324"/>
      <c r="H8" s="26"/>
      <c r="J8" s="27"/>
    </row>
    <row r="9" spans="1:10" ht="21" customHeight="1" x14ac:dyDescent="0.35">
      <c r="A9" s="62" t="s">
        <v>243</v>
      </c>
      <c r="B9" s="63" t="s">
        <v>244</v>
      </c>
      <c r="C9" s="63" t="s">
        <v>332</v>
      </c>
      <c r="D9" s="63" t="s">
        <v>245</v>
      </c>
      <c r="E9" s="63" t="s">
        <v>245</v>
      </c>
      <c r="F9" s="30"/>
      <c r="G9" s="324"/>
      <c r="H9" s="30"/>
    </row>
    <row r="10" spans="1:10" x14ac:dyDescent="0.35">
      <c r="A10" s="31" t="s">
        <v>57</v>
      </c>
      <c r="B10" s="32">
        <v>20</v>
      </c>
      <c r="C10" s="32">
        <v>20</v>
      </c>
      <c r="D10" s="32">
        <v>20</v>
      </c>
      <c r="E10" s="32">
        <v>20</v>
      </c>
      <c r="F10" s="30"/>
      <c r="G10" s="324"/>
      <c r="H10" s="30"/>
    </row>
    <row r="11" spans="1:10" ht="15" customHeight="1" x14ac:dyDescent="0.35">
      <c r="A11" s="31" t="s">
        <v>246</v>
      </c>
      <c r="B11" s="33" t="s">
        <v>333</v>
      </c>
      <c r="C11" s="33" t="s">
        <v>295</v>
      </c>
      <c r="D11" s="33" t="s">
        <v>333</v>
      </c>
      <c r="E11" s="33" t="s">
        <v>334</v>
      </c>
      <c r="F11" s="30"/>
      <c r="G11" s="324"/>
      <c r="H11" s="30"/>
    </row>
    <row r="12" spans="1:10" ht="19.399999999999999" customHeight="1" x14ac:dyDescent="0.35">
      <c r="A12" s="31" t="s">
        <v>251</v>
      </c>
      <c r="B12" s="34">
        <v>273000</v>
      </c>
      <c r="C12" s="34">
        <v>200000</v>
      </c>
      <c r="D12" s="35">
        <v>600000</v>
      </c>
      <c r="E12" s="131">
        <f>E22</f>
        <v>354000</v>
      </c>
      <c r="F12" s="30"/>
      <c r="G12" s="324"/>
      <c r="H12" s="30"/>
    </row>
    <row r="13" spans="1:10" x14ac:dyDescent="0.35">
      <c r="A13" s="281" t="s">
        <v>253</v>
      </c>
      <c r="B13" s="317">
        <v>6006</v>
      </c>
      <c r="C13" s="317">
        <v>6000</v>
      </c>
      <c r="D13" s="349">
        <v>6000</v>
      </c>
      <c r="E13" s="131" t="s">
        <v>335</v>
      </c>
      <c r="F13" s="37"/>
      <c r="G13" s="324"/>
      <c r="H13" s="37"/>
    </row>
    <row r="14" spans="1:10" x14ac:dyDescent="0.35">
      <c r="A14" s="282"/>
      <c r="B14" s="318"/>
      <c r="C14" s="318"/>
      <c r="D14" s="350"/>
      <c r="E14" s="52">
        <f>E21*34%</f>
        <v>6018</v>
      </c>
      <c r="F14" s="37"/>
      <c r="G14" s="324"/>
      <c r="H14" s="37"/>
    </row>
    <row r="15" spans="1:10" x14ac:dyDescent="0.35">
      <c r="A15" s="282"/>
      <c r="B15" s="318"/>
      <c r="C15" s="318"/>
      <c r="D15" s="350"/>
      <c r="E15" s="131" t="s">
        <v>336</v>
      </c>
      <c r="F15" s="37"/>
      <c r="G15" s="324"/>
      <c r="H15" s="37"/>
    </row>
    <row r="16" spans="1:10" x14ac:dyDescent="0.35">
      <c r="A16" s="316"/>
      <c r="B16" s="319"/>
      <c r="C16" s="319"/>
      <c r="D16" s="351"/>
      <c r="E16" s="52">
        <f>E21*40%</f>
        <v>7080</v>
      </c>
      <c r="F16" s="37"/>
      <c r="G16" s="324"/>
      <c r="H16" s="37"/>
    </row>
    <row r="17" spans="1:8" x14ac:dyDescent="0.35">
      <c r="A17" s="278" t="s">
        <v>259</v>
      </c>
      <c r="B17" s="129" t="s">
        <v>324</v>
      </c>
      <c r="C17" s="347">
        <v>12660</v>
      </c>
      <c r="D17" s="303">
        <v>34200</v>
      </c>
      <c r="E17" s="131" t="s">
        <v>335</v>
      </c>
      <c r="F17" s="37"/>
      <c r="G17" s="324"/>
      <c r="H17" s="37"/>
    </row>
    <row r="18" spans="1:8" x14ac:dyDescent="0.35">
      <c r="A18" s="279"/>
      <c r="B18" s="130">
        <v>14196</v>
      </c>
      <c r="C18" s="348"/>
      <c r="D18" s="290"/>
      <c r="E18" s="52">
        <f>E14+E21*49%</f>
        <v>14691</v>
      </c>
      <c r="F18" s="37"/>
      <c r="G18" s="324"/>
      <c r="H18" s="37"/>
    </row>
    <row r="19" spans="1:8" x14ac:dyDescent="0.35">
      <c r="A19" s="279"/>
      <c r="B19" s="129" t="s">
        <v>262</v>
      </c>
      <c r="C19" s="348"/>
      <c r="D19" s="290"/>
      <c r="E19" s="131" t="s">
        <v>336</v>
      </c>
      <c r="F19" s="37"/>
      <c r="G19" s="324"/>
      <c r="H19" s="37"/>
    </row>
    <row r="20" spans="1:8" x14ac:dyDescent="0.35">
      <c r="A20" s="280"/>
      <c r="B20" s="69">
        <v>15561</v>
      </c>
      <c r="C20" s="348"/>
      <c r="D20" s="304"/>
      <c r="E20" s="52">
        <f>E16+E21*57%</f>
        <v>17169</v>
      </c>
      <c r="F20" s="37"/>
      <c r="G20" s="324"/>
      <c r="H20" s="37"/>
    </row>
    <row r="21" spans="1:8" x14ac:dyDescent="0.35">
      <c r="A21" s="31" t="s">
        <v>264</v>
      </c>
      <c r="B21" s="137">
        <v>15195.2</v>
      </c>
      <c r="C21" s="34">
        <v>33333.35</v>
      </c>
      <c r="D21" s="35">
        <v>28650</v>
      </c>
      <c r="E21" s="52">
        <v>17700</v>
      </c>
      <c r="F21" s="37"/>
      <c r="G21" s="324"/>
      <c r="H21" s="37"/>
    </row>
    <row r="22" spans="1:8" x14ac:dyDescent="0.35">
      <c r="A22" s="31" t="s">
        <v>265</v>
      </c>
      <c r="B22" s="34">
        <f>B21*20</f>
        <v>303904</v>
      </c>
      <c r="C22" s="34">
        <f>C21*20</f>
        <v>666667</v>
      </c>
      <c r="D22" s="34">
        <f>D21*20</f>
        <v>573000</v>
      </c>
      <c r="E22" s="34">
        <f>E21*E10</f>
        <v>354000</v>
      </c>
      <c r="F22" s="37"/>
      <c r="G22" s="324"/>
      <c r="H22" s="37"/>
    </row>
    <row r="23" spans="1:8" x14ac:dyDescent="0.35">
      <c r="A23" s="283" t="s">
        <v>266</v>
      </c>
      <c r="B23" s="166">
        <f>B13/B22</f>
        <v>1.9762819837843528E-2</v>
      </c>
      <c r="C23" s="166">
        <f t="shared" ref="C23:D23" si="0">C13/C22</f>
        <v>8.9999955000022499E-3</v>
      </c>
      <c r="D23" s="166">
        <f t="shared" si="0"/>
        <v>1.0471204188481676E-2</v>
      </c>
      <c r="E23" s="155" t="s">
        <v>335</v>
      </c>
      <c r="F23" s="37"/>
      <c r="G23" s="324"/>
      <c r="H23" s="37"/>
    </row>
    <row r="24" spans="1:8" x14ac:dyDescent="0.35">
      <c r="A24" s="284"/>
      <c r="B24" s="166"/>
      <c r="C24" s="140"/>
      <c r="D24" s="170"/>
      <c r="E24" s="169">
        <f>E14/E22</f>
        <v>1.7000000000000001E-2</v>
      </c>
      <c r="F24" s="37"/>
      <c r="G24" s="324"/>
      <c r="H24" s="37"/>
    </row>
    <row r="25" spans="1:8" x14ac:dyDescent="0.35">
      <c r="A25" s="284"/>
      <c r="B25" s="166"/>
      <c r="C25" s="140"/>
      <c r="D25" s="170"/>
      <c r="E25" s="155" t="s">
        <v>336</v>
      </c>
      <c r="F25" s="37"/>
      <c r="G25" s="324"/>
      <c r="H25" s="37"/>
    </row>
    <row r="26" spans="1:8" x14ac:dyDescent="0.35">
      <c r="A26" s="285"/>
      <c r="B26" s="166"/>
      <c r="C26" s="141"/>
      <c r="D26" s="170"/>
      <c r="E26" s="169">
        <f>E16/E22</f>
        <v>0.02</v>
      </c>
      <c r="F26" s="37"/>
      <c r="G26" s="324"/>
      <c r="H26" s="37"/>
    </row>
    <row r="27" spans="1:8" x14ac:dyDescent="0.35">
      <c r="A27" s="283" t="s">
        <v>337</v>
      </c>
      <c r="B27" s="134" t="s">
        <v>324</v>
      </c>
      <c r="C27" s="345">
        <f>C17/C22</f>
        <v>1.8989990505004748E-2</v>
      </c>
      <c r="D27" s="345">
        <f>D17/D22</f>
        <v>5.9685863874345553E-2</v>
      </c>
      <c r="E27" s="155" t="s">
        <v>335</v>
      </c>
      <c r="F27" s="37"/>
      <c r="G27" s="324"/>
      <c r="H27" s="37"/>
    </row>
    <row r="28" spans="1:8" x14ac:dyDescent="0.35">
      <c r="A28" s="284"/>
      <c r="B28" s="141">
        <f>B18/B22</f>
        <v>4.6712119616721066E-2</v>
      </c>
      <c r="C28" s="345"/>
      <c r="D28" s="345"/>
      <c r="E28" s="169">
        <f>E18/E22</f>
        <v>4.1500000000000002E-2</v>
      </c>
      <c r="F28" s="37"/>
      <c r="G28" s="324"/>
      <c r="H28" s="37"/>
    </row>
    <row r="29" spans="1:8" x14ac:dyDescent="0.35">
      <c r="A29" s="284"/>
      <c r="B29" s="134" t="s">
        <v>268</v>
      </c>
      <c r="C29" s="345"/>
      <c r="D29" s="345"/>
      <c r="E29" s="155" t="s">
        <v>336</v>
      </c>
      <c r="F29" s="37"/>
      <c r="G29" s="324"/>
      <c r="H29" s="37"/>
    </row>
    <row r="30" spans="1:8" ht="24.65" customHeight="1" x14ac:dyDescent="0.35">
      <c r="A30" s="285"/>
      <c r="B30" s="141">
        <f>B20/B22</f>
        <v>5.1203669579867328E-2</v>
      </c>
      <c r="C30" s="346"/>
      <c r="D30" s="346"/>
      <c r="E30" s="169">
        <f>E20/E22</f>
        <v>4.8500000000000001E-2</v>
      </c>
      <c r="F30" s="37"/>
      <c r="G30" s="324"/>
      <c r="H30" s="37"/>
    </row>
    <row r="31" spans="1:8" s="44" customFormat="1" ht="31.5" customHeight="1" x14ac:dyDescent="0.35">
      <c r="A31" s="49" t="s">
        <v>307</v>
      </c>
      <c r="B31" s="50" t="s">
        <v>338</v>
      </c>
      <c r="C31" s="74" t="s">
        <v>339</v>
      </c>
      <c r="D31" s="50" t="s">
        <v>338</v>
      </c>
      <c r="E31" s="50" t="s">
        <v>338</v>
      </c>
      <c r="F31" s="43"/>
      <c r="G31" s="324"/>
      <c r="H31" s="43"/>
    </row>
    <row r="32" spans="1:8" ht="22.5" customHeight="1" x14ac:dyDescent="0.35">
      <c r="A32" s="270" t="s">
        <v>340</v>
      </c>
      <c r="B32" s="270"/>
      <c r="C32" s="270"/>
      <c r="D32" s="270"/>
      <c r="E32" s="270"/>
      <c r="F32" s="37"/>
      <c r="G32" s="324"/>
      <c r="H32" s="37"/>
    </row>
    <row r="33" spans="1:8" ht="32.5" customHeight="1" x14ac:dyDescent="0.35">
      <c r="A33" s="39" t="s">
        <v>275</v>
      </c>
      <c r="B33" s="40">
        <v>306943</v>
      </c>
      <c r="C33" s="40">
        <v>700000</v>
      </c>
      <c r="D33" s="42">
        <v>578730</v>
      </c>
      <c r="E33" s="42">
        <v>357894</v>
      </c>
      <c r="F33" s="37"/>
      <c r="G33" s="324"/>
      <c r="H33" s="37"/>
    </row>
    <row r="34" spans="1:8" ht="22.5" customHeight="1" x14ac:dyDescent="0.35">
      <c r="A34" s="39" t="s">
        <v>276</v>
      </c>
      <c r="B34" s="40">
        <v>357816</v>
      </c>
      <c r="C34" s="40">
        <v>721800</v>
      </c>
      <c r="D34" s="42">
        <v>660382</v>
      </c>
      <c r="E34" s="42">
        <v>449934</v>
      </c>
      <c r="F34" s="37"/>
      <c r="G34" s="324"/>
      <c r="H34" s="37"/>
    </row>
    <row r="35" spans="1:8" ht="22.5" customHeight="1" x14ac:dyDescent="0.35">
      <c r="A35" s="47" t="s">
        <v>277</v>
      </c>
      <c r="B35" s="153">
        <f>B33/B22</f>
        <v>1.0099998683794882</v>
      </c>
      <c r="C35" s="153">
        <f t="shared" ref="C35:E35" si="1">C33/C22</f>
        <v>1.0499994750002626</v>
      </c>
      <c r="D35" s="153">
        <f t="shared" si="1"/>
        <v>1.01</v>
      </c>
      <c r="E35" s="153">
        <f t="shared" si="1"/>
        <v>1.0109999999999999</v>
      </c>
      <c r="F35" s="37"/>
      <c r="G35" s="324"/>
      <c r="H35" s="37"/>
    </row>
    <row r="36" spans="1:8" ht="22.5" customHeight="1" x14ac:dyDescent="0.35">
      <c r="A36" s="47" t="s">
        <v>278</v>
      </c>
      <c r="B36" s="153">
        <f>B34/B22</f>
        <v>1.1773981257239128</v>
      </c>
      <c r="C36" s="153">
        <f t="shared" ref="C36:E36" si="2">C34/C22</f>
        <v>1.0826994586502707</v>
      </c>
      <c r="D36" s="153">
        <f t="shared" si="2"/>
        <v>1.152499127399651</v>
      </c>
      <c r="E36" s="153">
        <f t="shared" si="2"/>
        <v>1.2709999999999999</v>
      </c>
      <c r="F36" s="37"/>
      <c r="G36" s="324"/>
      <c r="H36" s="37"/>
    </row>
    <row r="37" spans="1:8" ht="20.25" customHeight="1" x14ac:dyDescent="0.35">
      <c r="A37" s="269" t="s">
        <v>279</v>
      </c>
      <c r="B37" s="269"/>
      <c r="C37" s="269"/>
      <c r="D37" s="269"/>
      <c r="E37" s="269"/>
      <c r="F37" s="37"/>
      <c r="G37" s="324"/>
      <c r="H37" s="37"/>
    </row>
    <row r="38" spans="1:8" ht="22.5" customHeight="1" x14ac:dyDescent="0.35">
      <c r="A38" s="39" t="s">
        <v>280</v>
      </c>
      <c r="B38" s="51">
        <v>6006</v>
      </c>
      <c r="C38" s="51">
        <v>114000</v>
      </c>
      <c r="D38" s="51">
        <v>6000</v>
      </c>
      <c r="E38" s="51">
        <v>0</v>
      </c>
      <c r="F38" s="37"/>
      <c r="G38" s="324"/>
      <c r="H38" s="37"/>
    </row>
    <row r="39" spans="1:8" ht="22.5" customHeight="1" x14ac:dyDescent="0.35">
      <c r="A39" s="31" t="s">
        <v>281</v>
      </c>
      <c r="B39" s="38">
        <v>303904</v>
      </c>
      <c r="C39" s="38">
        <v>94000</v>
      </c>
      <c r="D39" s="35">
        <v>573000</v>
      </c>
      <c r="E39" s="35">
        <v>357894</v>
      </c>
      <c r="F39" s="37"/>
      <c r="G39" s="324"/>
      <c r="H39" s="37"/>
    </row>
    <row r="40" spans="1:8" s="44" customFormat="1" ht="22.5" customHeight="1" x14ac:dyDescent="0.35">
      <c r="A40" s="49" t="s">
        <v>282</v>
      </c>
      <c r="B40" s="153">
        <f>(B38+B39)/B22</f>
        <v>1.0197628198378434</v>
      </c>
      <c r="C40" s="153">
        <f t="shared" ref="C40:E40" si="3">(C38+C39)/C22</f>
        <v>0.31199984400007802</v>
      </c>
      <c r="D40" s="153">
        <f t="shared" si="3"/>
        <v>1.0104712041884816</v>
      </c>
      <c r="E40" s="153">
        <f t="shared" si="3"/>
        <v>1.0109999999999999</v>
      </c>
      <c r="F40" s="43"/>
      <c r="G40" s="324"/>
      <c r="H40" s="43"/>
    </row>
    <row r="41" spans="1:8" ht="23.25" customHeight="1" x14ac:dyDescent="0.35">
      <c r="A41" s="269" t="s">
        <v>283</v>
      </c>
      <c r="B41" s="269"/>
      <c r="C41" s="269"/>
      <c r="D41" s="269"/>
      <c r="E41" s="269"/>
      <c r="F41" s="37"/>
      <c r="G41" s="324"/>
      <c r="H41" s="37"/>
    </row>
    <row r="42" spans="1:8" ht="22.5" customHeight="1" x14ac:dyDescent="0.35">
      <c r="A42" s="31" t="s">
        <v>284</v>
      </c>
      <c r="B42" s="67">
        <v>14196</v>
      </c>
      <c r="C42" s="67">
        <v>240540</v>
      </c>
      <c r="D42" s="35">
        <v>34200</v>
      </c>
      <c r="E42" s="35">
        <v>0</v>
      </c>
      <c r="F42" s="37"/>
      <c r="G42" s="324"/>
      <c r="H42" s="37"/>
    </row>
    <row r="43" spans="1:8" ht="22.5" customHeight="1" x14ac:dyDescent="0.35">
      <c r="A43" s="31" t="s">
        <v>285</v>
      </c>
      <c r="B43" s="38">
        <v>354777</v>
      </c>
      <c r="C43" s="38">
        <v>138000</v>
      </c>
      <c r="D43" s="35">
        <v>654652</v>
      </c>
      <c r="E43" s="35">
        <v>425154</v>
      </c>
      <c r="F43" s="37"/>
      <c r="G43" s="324"/>
      <c r="H43" s="37"/>
    </row>
    <row r="44" spans="1:8" s="44" customFormat="1" ht="22.5" customHeight="1" x14ac:dyDescent="0.35">
      <c r="A44" s="49" t="s">
        <v>286</v>
      </c>
      <c r="B44" s="153">
        <f>(B42+B43)/B22</f>
        <v>1.2141103769611457</v>
      </c>
      <c r="C44" s="153">
        <f t="shared" ref="C44:E44" si="4">(C42+C43)/C22</f>
        <v>0.56780971609514197</v>
      </c>
      <c r="D44" s="153">
        <f t="shared" si="4"/>
        <v>1.2021849912739966</v>
      </c>
      <c r="E44" s="153">
        <f t="shared" si="4"/>
        <v>1.2010000000000001</v>
      </c>
      <c r="F44" s="43"/>
      <c r="G44" s="324"/>
      <c r="H44" s="43"/>
    </row>
    <row r="45" spans="1:8" ht="22.5" customHeight="1" x14ac:dyDescent="0.35">
      <c r="A45" s="271" t="s">
        <v>287</v>
      </c>
      <c r="B45" s="271"/>
      <c r="C45" s="271"/>
      <c r="D45" s="271"/>
      <c r="E45" s="271"/>
      <c r="F45" s="37"/>
      <c r="G45" s="324"/>
      <c r="H45" s="37"/>
    </row>
    <row r="46" spans="1:8" ht="22.5" customHeight="1" x14ac:dyDescent="0.35">
      <c r="A46" s="39" t="s">
        <v>275</v>
      </c>
      <c r="B46" s="38">
        <v>324295</v>
      </c>
      <c r="C46" s="38">
        <v>700000</v>
      </c>
      <c r="D46" s="42">
        <v>611448</v>
      </c>
      <c r="E46" s="42">
        <v>385506</v>
      </c>
      <c r="F46" s="37"/>
      <c r="G46" s="324"/>
      <c r="H46" s="37"/>
    </row>
    <row r="47" spans="1:8" ht="22.5" customHeight="1" x14ac:dyDescent="0.35">
      <c r="A47" s="39" t="s">
        <v>276</v>
      </c>
      <c r="B47" s="38">
        <v>419872</v>
      </c>
      <c r="C47" s="38">
        <v>814640</v>
      </c>
      <c r="D47" s="42">
        <v>693100</v>
      </c>
      <c r="E47" s="42">
        <v>509406</v>
      </c>
      <c r="F47" s="37"/>
      <c r="G47" s="324"/>
      <c r="H47" s="37"/>
    </row>
    <row r="48" spans="1:8" ht="22.5" customHeight="1" x14ac:dyDescent="0.35">
      <c r="A48" s="47" t="s">
        <v>277</v>
      </c>
      <c r="B48" s="153">
        <f>B46/B22</f>
        <v>1.0670968463725388</v>
      </c>
      <c r="C48" s="153">
        <f t="shared" ref="C48:E48" si="5">C46/C22</f>
        <v>1.0499994750002626</v>
      </c>
      <c r="D48" s="153">
        <f t="shared" si="5"/>
        <v>1.0670994764397905</v>
      </c>
      <c r="E48" s="153">
        <f t="shared" si="5"/>
        <v>1.089</v>
      </c>
      <c r="F48" s="37"/>
      <c r="G48" s="324"/>
      <c r="H48" s="37"/>
    </row>
    <row r="49" spans="1:8" ht="22.5" customHeight="1" x14ac:dyDescent="0.35">
      <c r="A49" s="47" t="s">
        <v>278</v>
      </c>
      <c r="B49" s="153">
        <f>B47/B22</f>
        <v>1.3815941876382016</v>
      </c>
      <c r="C49" s="153">
        <f t="shared" ref="C49:E49" si="6">C47/C22</f>
        <v>1.2219593890203055</v>
      </c>
      <c r="D49" s="153">
        <f t="shared" si="6"/>
        <v>1.2095986038394415</v>
      </c>
      <c r="E49" s="153">
        <f t="shared" si="6"/>
        <v>1.4390000000000001</v>
      </c>
      <c r="F49" s="37"/>
      <c r="G49" s="324"/>
      <c r="H49" s="37"/>
    </row>
    <row r="50" spans="1:8" ht="22.5" customHeight="1" x14ac:dyDescent="0.35">
      <c r="A50" s="269" t="s">
        <v>279</v>
      </c>
      <c r="B50" s="269"/>
      <c r="C50" s="269"/>
      <c r="D50" s="269"/>
      <c r="E50" s="269"/>
      <c r="F50" s="37"/>
      <c r="G50" s="324"/>
      <c r="H50" s="37"/>
    </row>
    <row r="51" spans="1:8" ht="22.5" customHeight="1" x14ac:dyDescent="0.35">
      <c r="A51" s="39" t="s">
        <v>280</v>
      </c>
      <c r="B51" s="42">
        <f>31*B13</f>
        <v>186186</v>
      </c>
      <c r="C51" s="42">
        <v>294000</v>
      </c>
      <c r="D51" s="42">
        <f>31*D13</f>
        <v>186000</v>
      </c>
      <c r="E51" s="42">
        <v>207090</v>
      </c>
      <c r="F51" s="37"/>
      <c r="G51" s="324"/>
      <c r="H51" s="37"/>
    </row>
    <row r="52" spans="1:8" ht="22.5" customHeight="1" x14ac:dyDescent="0.35">
      <c r="A52" s="31" t="s">
        <v>281</v>
      </c>
      <c r="B52" s="38">
        <v>324295</v>
      </c>
      <c r="C52" s="71">
        <v>389000</v>
      </c>
      <c r="D52" s="35">
        <v>611448</v>
      </c>
      <c r="E52" s="35">
        <v>385506</v>
      </c>
      <c r="F52" s="37"/>
      <c r="G52" s="324"/>
      <c r="H52" s="37"/>
    </row>
    <row r="53" spans="1:8" ht="22.5" customHeight="1" x14ac:dyDescent="0.35">
      <c r="A53" s="49" t="s">
        <v>288</v>
      </c>
      <c r="B53" s="153">
        <f>B51/B22</f>
        <v>0.61264741497314945</v>
      </c>
      <c r="C53" s="153">
        <f t="shared" ref="C53:E53" si="7">C51/C22</f>
        <v>0.44099977950011027</v>
      </c>
      <c r="D53" s="153">
        <f t="shared" si="7"/>
        <v>0.32460732984293195</v>
      </c>
      <c r="E53" s="153">
        <f t="shared" si="7"/>
        <v>0.58499999999999996</v>
      </c>
      <c r="F53" s="37"/>
      <c r="G53" s="324"/>
      <c r="H53" s="37"/>
    </row>
    <row r="54" spans="1:8" ht="22.5" customHeight="1" x14ac:dyDescent="0.35">
      <c r="A54" s="49" t="s">
        <v>282</v>
      </c>
      <c r="B54" s="153">
        <f>(B51+B52)/B22</f>
        <v>1.6797442613456881</v>
      </c>
      <c r="C54" s="153">
        <f t="shared" ref="C54:E54" si="8">(C51+C52)/C22</f>
        <v>1.0244994877502562</v>
      </c>
      <c r="D54" s="153">
        <f t="shared" si="8"/>
        <v>1.3917068062827225</v>
      </c>
      <c r="E54" s="153">
        <f t="shared" si="8"/>
        <v>1.6739999999999999</v>
      </c>
      <c r="F54" s="37"/>
      <c r="G54" s="324"/>
      <c r="H54" s="37"/>
    </row>
    <row r="55" spans="1:8" ht="22.5" customHeight="1" x14ac:dyDescent="0.35">
      <c r="A55" s="269" t="s">
        <v>283</v>
      </c>
      <c r="B55" s="269"/>
      <c r="C55" s="269"/>
      <c r="D55" s="269"/>
      <c r="E55" s="269"/>
      <c r="F55" s="37"/>
      <c r="G55" s="324"/>
      <c r="H55" s="37"/>
    </row>
    <row r="56" spans="1:8" ht="22.5" customHeight="1" x14ac:dyDescent="0.35">
      <c r="A56" s="31" t="s">
        <v>284</v>
      </c>
      <c r="B56" s="67">
        <f>(29*14196)+(2*15561)</f>
        <v>442806</v>
      </c>
      <c r="C56" s="67">
        <v>620340</v>
      </c>
      <c r="D56" s="67">
        <f>31*D17</f>
        <v>1060200</v>
      </c>
      <c r="E56" s="67">
        <v>502680</v>
      </c>
      <c r="F56" s="37"/>
      <c r="G56" s="324"/>
      <c r="H56" s="37"/>
    </row>
    <row r="57" spans="1:8" ht="22.5" customHeight="1" x14ac:dyDescent="0.35">
      <c r="A57" s="31" t="s">
        <v>285</v>
      </c>
      <c r="B57" s="38">
        <v>419872</v>
      </c>
      <c r="C57" s="71">
        <v>618260</v>
      </c>
      <c r="D57" s="35">
        <v>693100</v>
      </c>
      <c r="E57" s="35">
        <v>509406</v>
      </c>
      <c r="F57" s="37"/>
      <c r="G57" s="324"/>
      <c r="H57" s="37"/>
    </row>
    <row r="58" spans="1:8" ht="22.5" customHeight="1" x14ac:dyDescent="0.35">
      <c r="A58" s="49" t="s">
        <v>289</v>
      </c>
      <c r="B58" s="153">
        <f>B56/B22</f>
        <v>1.4570588080446456</v>
      </c>
      <c r="C58" s="153">
        <f t="shared" ref="C58:E58" si="9">C56/C22</f>
        <v>0.93050953474523268</v>
      </c>
      <c r="D58" s="153">
        <f t="shared" si="9"/>
        <v>1.8502617801047121</v>
      </c>
      <c r="E58" s="153">
        <f t="shared" si="9"/>
        <v>1.42</v>
      </c>
      <c r="F58" s="37"/>
      <c r="G58" s="324"/>
      <c r="H58" s="37"/>
    </row>
    <row r="59" spans="1:8" ht="22.5" customHeight="1" x14ac:dyDescent="0.35">
      <c r="A59" s="49" t="s">
        <v>286</v>
      </c>
      <c r="B59" s="153">
        <f>(B56+B57)/B22</f>
        <v>2.838652995682847</v>
      </c>
      <c r="C59" s="153">
        <f t="shared" ref="C59:E59" si="10">(C56+C57)/C22</f>
        <v>1.8578990710504644</v>
      </c>
      <c r="D59" s="153">
        <f t="shared" si="10"/>
        <v>3.0598603839441534</v>
      </c>
      <c r="E59" s="153">
        <f t="shared" si="10"/>
        <v>2.859</v>
      </c>
      <c r="F59" s="37"/>
      <c r="G59" s="324"/>
      <c r="H59" s="37"/>
    </row>
    <row r="60" spans="1:8" ht="22.5" customHeight="1" x14ac:dyDescent="0.35">
      <c r="A60" s="271" t="s">
        <v>290</v>
      </c>
      <c r="B60" s="271"/>
      <c r="C60" s="271"/>
      <c r="D60" s="271"/>
      <c r="E60" s="271"/>
      <c r="F60" s="37"/>
      <c r="G60" s="324"/>
      <c r="H60" s="37"/>
    </row>
    <row r="61" spans="1:8" ht="22.5" customHeight="1" x14ac:dyDescent="0.35">
      <c r="A61" s="39" t="s">
        <v>275</v>
      </c>
      <c r="B61" s="38">
        <v>340889</v>
      </c>
      <c r="C61" s="38">
        <v>700000</v>
      </c>
      <c r="D61" s="42">
        <v>642734</v>
      </c>
      <c r="E61" s="42">
        <v>406746</v>
      </c>
      <c r="F61" s="37"/>
      <c r="G61" s="324"/>
      <c r="H61" s="37"/>
    </row>
    <row r="62" spans="1:8" ht="22.5" customHeight="1" x14ac:dyDescent="0.35">
      <c r="A62" s="39" t="s">
        <v>276</v>
      </c>
      <c r="B62" s="38">
        <v>497521</v>
      </c>
      <c r="C62" s="38">
        <v>1007860</v>
      </c>
      <c r="D62" s="42">
        <v>724386</v>
      </c>
      <c r="E62" s="42">
        <v>530646</v>
      </c>
      <c r="F62" s="37"/>
      <c r="G62" s="324"/>
      <c r="H62" s="37"/>
    </row>
    <row r="63" spans="1:8" ht="22.5" customHeight="1" x14ac:dyDescent="0.35">
      <c r="A63" s="47" t="s">
        <v>277</v>
      </c>
      <c r="B63" s="153">
        <f>B61/B22</f>
        <v>1.1216996156681056</v>
      </c>
      <c r="C63" s="153">
        <f t="shared" ref="C63:E63" si="11">C61/C22</f>
        <v>1.0499994750002626</v>
      </c>
      <c r="D63" s="153">
        <f t="shared" si="11"/>
        <v>1.1216998254799302</v>
      </c>
      <c r="E63" s="153">
        <f t="shared" si="11"/>
        <v>1.149</v>
      </c>
      <c r="F63" s="37"/>
      <c r="G63" s="324"/>
      <c r="H63" s="37"/>
    </row>
    <row r="64" spans="1:8" ht="22.5" customHeight="1" x14ac:dyDescent="0.35">
      <c r="A64" s="47" t="s">
        <v>278</v>
      </c>
      <c r="B64" s="153">
        <f>B62/B22</f>
        <v>1.6370992155417501</v>
      </c>
      <c r="C64" s="153">
        <f t="shared" ref="C64:E64" si="12">C62/C22</f>
        <v>1.511789244105378</v>
      </c>
      <c r="D64" s="153">
        <f t="shared" si="12"/>
        <v>1.2641989528795812</v>
      </c>
      <c r="E64" s="153">
        <f t="shared" si="12"/>
        <v>1.4990000000000001</v>
      </c>
      <c r="F64" s="37"/>
      <c r="G64" s="324"/>
      <c r="H64" s="37"/>
    </row>
    <row r="65" spans="1:8" ht="22.5" customHeight="1" x14ac:dyDescent="0.35">
      <c r="A65" s="269" t="s">
        <v>279</v>
      </c>
      <c r="B65" s="269"/>
      <c r="C65" s="269"/>
      <c r="D65" s="269"/>
      <c r="E65" s="269"/>
      <c r="F65" s="37"/>
      <c r="G65" s="324"/>
      <c r="H65" s="37"/>
    </row>
    <row r="66" spans="1:8" ht="22.5" customHeight="1" x14ac:dyDescent="0.35">
      <c r="A66" s="39" t="s">
        <v>280</v>
      </c>
      <c r="B66" s="42">
        <f>51*B13</f>
        <v>306306</v>
      </c>
      <c r="C66" s="42">
        <v>414000</v>
      </c>
      <c r="D66" s="42">
        <f>51*D13</f>
        <v>306000</v>
      </c>
      <c r="E66" s="42">
        <v>348690</v>
      </c>
      <c r="F66" s="37"/>
      <c r="G66" s="324"/>
      <c r="H66" s="37"/>
    </row>
    <row r="67" spans="1:8" ht="22.5" customHeight="1" x14ac:dyDescent="0.35">
      <c r="A67" s="31" t="s">
        <v>281</v>
      </c>
      <c r="B67" s="38">
        <v>340889</v>
      </c>
      <c r="C67" s="38">
        <v>429000</v>
      </c>
      <c r="D67" s="42">
        <v>642734</v>
      </c>
      <c r="E67" s="42">
        <v>406746</v>
      </c>
      <c r="F67" s="37"/>
      <c r="G67" s="324"/>
      <c r="H67" s="37"/>
    </row>
    <row r="68" spans="1:8" ht="22.5" customHeight="1" x14ac:dyDescent="0.35">
      <c r="A68" s="49" t="s">
        <v>288</v>
      </c>
      <c r="B68" s="153">
        <f>B66/B22</f>
        <v>1.0079038117300201</v>
      </c>
      <c r="C68" s="153">
        <f t="shared" ref="C68:E68" si="13">C66/C22</f>
        <v>0.62099968950015527</v>
      </c>
      <c r="D68" s="153">
        <f t="shared" si="13"/>
        <v>0.53403141361256545</v>
      </c>
      <c r="E68" s="153">
        <f t="shared" si="13"/>
        <v>0.98499999999999999</v>
      </c>
      <c r="F68" s="37"/>
      <c r="G68" s="324"/>
      <c r="H68" s="37"/>
    </row>
    <row r="69" spans="1:8" ht="22.5" customHeight="1" x14ac:dyDescent="0.35">
      <c r="A69" s="49" t="s">
        <v>282</v>
      </c>
      <c r="B69" s="153">
        <f>(B66+B67)/B22</f>
        <v>2.1296034273981257</v>
      </c>
      <c r="C69" s="153">
        <f t="shared" ref="C69:E69" si="14">(C66+C67)/C22</f>
        <v>1.264499367750316</v>
      </c>
      <c r="D69" s="153">
        <f t="shared" si="14"/>
        <v>1.6557312390924956</v>
      </c>
      <c r="E69" s="153">
        <f t="shared" si="14"/>
        <v>2.1339999999999999</v>
      </c>
      <c r="F69" s="37"/>
      <c r="G69" s="324"/>
      <c r="H69" s="37"/>
    </row>
    <row r="70" spans="1:8" ht="22.5" customHeight="1" x14ac:dyDescent="0.35">
      <c r="A70" s="269" t="s">
        <v>283</v>
      </c>
      <c r="B70" s="269"/>
      <c r="C70" s="269"/>
      <c r="D70" s="269"/>
      <c r="E70" s="269"/>
      <c r="F70" s="37"/>
      <c r="G70" s="324"/>
      <c r="H70" s="37"/>
    </row>
    <row r="71" spans="1:8" ht="32.25" customHeight="1" x14ac:dyDescent="0.35">
      <c r="A71" s="31" t="s">
        <v>284</v>
      </c>
      <c r="B71" s="67">
        <f>(29*14196)+(22*15561)</f>
        <v>754026</v>
      </c>
      <c r="C71" s="67">
        <v>873540</v>
      </c>
      <c r="D71" s="67">
        <f>51*D17</f>
        <v>1744200</v>
      </c>
      <c r="E71" s="67">
        <v>846060</v>
      </c>
      <c r="F71" s="37"/>
      <c r="G71" s="324"/>
      <c r="H71" s="37"/>
    </row>
    <row r="72" spans="1:8" ht="22.5" customHeight="1" x14ac:dyDescent="0.35">
      <c r="A72" s="31" t="s">
        <v>285</v>
      </c>
      <c r="B72" s="38">
        <v>497521</v>
      </c>
      <c r="C72" s="71">
        <v>1044720</v>
      </c>
      <c r="D72" s="42">
        <v>724386</v>
      </c>
      <c r="E72" s="42">
        <v>530646</v>
      </c>
      <c r="F72" s="37"/>
      <c r="G72" s="324"/>
      <c r="H72" s="37"/>
    </row>
    <row r="73" spans="1:8" ht="22.5" customHeight="1" x14ac:dyDescent="0.35">
      <c r="A73" s="49" t="s">
        <v>289</v>
      </c>
      <c r="B73" s="153">
        <f>B71/B22</f>
        <v>2.4811321996419924</v>
      </c>
      <c r="C73" s="153">
        <f t="shared" ref="C73:E73" si="15">C71/C22</f>
        <v>1.3103093448453276</v>
      </c>
      <c r="D73" s="153">
        <f t="shared" si="15"/>
        <v>3.0439790575916232</v>
      </c>
      <c r="E73" s="153">
        <f t="shared" si="15"/>
        <v>2.39</v>
      </c>
      <c r="F73" s="37"/>
      <c r="G73" s="324"/>
      <c r="H73" s="37"/>
    </row>
    <row r="74" spans="1:8" ht="22.5" customHeight="1" thickBot="1" x14ac:dyDescent="0.4">
      <c r="A74" s="49" t="s">
        <v>286</v>
      </c>
      <c r="B74" s="153">
        <f>(B71+B72)/B22</f>
        <v>4.1182314151837423</v>
      </c>
      <c r="C74" s="153">
        <f t="shared" ref="C74:E74" si="16">(C71+C72)/C22</f>
        <v>2.8773885613057195</v>
      </c>
      <c r="D74" s="153">
        <f t="shared" si="16"/>
        <v>4.3081780104712042</v>
      </c>
      <c r="E74" s="153">
        <f t="shared" si="16"/>
        <v>3.8889999999999998</v>
      </c>
      <c r="F74" s="37"/>
      <c r="G74" s="325"/>
      <c r="H74" s="37"/>
    </row>
    <row r="75" spans="1:8" x14ac:dyDescent="0.35">
      <c r="G75" s="41"/>
    </row>
    <row r="76" spans="1:8" x14ac:dyDescent="0.35">
      <c r="G76" s="41"/>
    </row>
  </sheetData>
  <sheetProtection algorithmName="SHA-512" hashValue="3pdBsmYQvWO5OTTGWxSAPVxrr5flYvFvhE0votMM/tFmkwwlvkBGGilQEmqmvlnpl6JrwNMXWlKHwa1Bv6lSiA==" saltValue="QD8Z6gNPNatZeQLStT8Cww==" spinCount="100000" sheet="1" objects="1" scenarios="1" selectLockedCells="1" autoFilter="0" selectUnlockedCells="1"/>
  <mergeCells count="23">
    <mergeCell ref="G7:G74"/>
    <mergeCell ref="A70:E70"/>
    <mergeCell ref="A65:E65"/>
    <mergeCell ref="D17:D20"/>
    <mergeCell ref="D27:D30"/>
    <mergeCell ref="B13:B16"/>
    <mergeCell ref="C13:C16"/>
    <mergeCell ref="D13:D16"/>
    <mergeCell ref="A23:A26"/>
    <mergeCell ref="A1:E2"/>
    <mergeCell ref="A6:A7"/>
    <mergeCell ref="A50:E50"/>
    <mergeCell ref="A55:E55"/>
    <mergeCell ref="A60:E60"/>
    <mergeCell ref="A32:E32"/>
    <mergeCell ref="A37:E37"/>
    <mergeCell ref="A41:E41"/>
    <mergeCell ref="A45:E45"/>
    <mergeCell ref="A27:A30"/>
    <mergeCell ref="C27:C30"/>
    <mergeCell ref="A17:A20"/>
    <mergeCell ref="C17:C20"/>
    <mergeCell ref="A13:A16"/>
  </mergeCells>
  <conditionalFormatting sqref="B23:D26">
    <cfRule type="top10" dxfId="84" priority="249" rank="1"/>
  </conditionalFormatting>
  <conditionalFormatting sqref="B35:E35">
    <cfRule type="top10" dxfId="83" priority="16" rank="1"/>
  </conditionalFormatting>
  <conditionalFormatting sqref="B36:E36">
    <cfRule type="top10" dxfId="82" priority="15" rank="1"/>
  </conditionalFormatting>
  <conditionalFormatting sqref="B40:E40">
    <cfRule type="top10" dxfId="81" priority="14" rank="1"/>
  </conditionalFormatting>
  <conditionalFormatting sqref="B44:E44">
    <cfRule type="top10" dxfId="80" priority="13" rank="1"/>
  </conditionalFormatting>
  <conditionalFormatting sqref="B48:E48">
    <cfRule type="top10" dxfId="79" priority="12" rank="1"/>
  </conditionalFormatting>
  <conditionalFormatting sqref="B49:E49">
    <cfRule type="top10" dxfId="78" priority="11" rank="1"/>
  </conditionalFormatting>
  <conditionalFormatting sqref="B53:E53">
    <cfRule type="top10" dxfId="77" priority="10" rank="1"/>
  </conditionalFormatting>
  <conditionalFormatting sqref="B54:E54">
    <cfRule type="top10" dxfId="76" priority="9" rank="1"/>
  </conditionalFormatting>
  <conditionalFormatting sqref="B58:E58">
    <cfRule type="top10" dxfId="75" priority="8" rank="1"/>
  </conditionalFormatting>
  <conditionalFormatting sqref="B59:E59">
    <cfRule type="top10" dxfId="74" priority="7" rank="1"/>
  </conditionalFormatting>
  <conditionalFormatting sqref="B63:E63">
    <cfRule type="top10" dxfId="73" priority="6" rank="1"/>
  </conditionalFormatting>
  <conditionalFormatting sqref="B64:E64">
    <cfRule type="top10" dxfId="72" priority="5" rank="1"/>
  </conditionalFormatting>
  <conditionalFormatting sqref="B68:E68">
    <cfRule type="top10" dxfId="71" priority="4" rank="1"/>
  </conditionalFormatting>
  <conditionalFormatting sqref="B69:E69">
    <cfRule type="top10" dxfId="70" priority="3" rank="1"/>
  </conditionalFormatting>
  <conditionalFormatting sqref="B73:E73">
    <cfRule type="top10" dxfId="69" priority="2" rank="1"/>
  </conditionalFormatting>
  <conditionalFormatting sqref="B74:E74">
    <cfRule type="top10" dxfId="68" priority="1" rank="1"/>
  </conditionalFormatting>
  <printOptions horizontalCentered="1" verticalCentered="1"/>
  <pageMargins left="0.7" right="0.7" top="0.75" bottom="0.75" header="0.3" footer="0.3"/>
  <pageSetup paperSize="9" scale="43" orientation="portrait" horizontalDpi="90" verticalDpi="90"/>
  <headerFooter>
    <oddFooter>&amp;L_x000D_&amp;1#&amp;"Calibri"&amp;8&amp;K008000 Public</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7f8793ee-5a3b-415e-bf6e-2cdb6b5381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C364A69E152A34F9A87C1BCBCF88C37" ma:contentTypeVersion="11" ma:contentTypeDescription="Create a new document." ma:contentTypeScope="" ma:versionID="737fb3d4e2804e66ad136790f44e8323">
  <xsd:schema xmlns:xsd="http://www.w3.org/2001/XMLSchema" xmlns:xs="http://www.w3.org/2001/XMLSchema" xmlns:p="http://schemas.microsoft.com/office/2006/metadata/properties" xmlns:ns1="http://schemas.microsoft.com/sharepoint/v3" xmlns:ns3="5bd94e29-013b-4e08-a365-28e1329f00e7" xmlns:ns4="7f8793ee-5a3b-415e-bf6e-2cdb6b538159" targetNamespace="http://schemas.microsoft.com/office/2006/metadata/properties" ma:root="true" ma:fieldsID="c217c6774296eb0b92a1570cbd9e82ce" ns1:_="" ns3:_="" ns4:_="">
    <xsd:import namespace="http://schemas.microsoft.com/sharepoint/v3"/>
    <xsd:import namespace="5bd94e29-013b-4e08-a365-28e1329f00e7"/>
    <xsd:import namespace="7f8793ee-5a3b-415e-bf6e-2cdb6b53815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_activity" minOccurs="0"/>
                <xsd:element ref="ns4:MediaServiceObjectDetectorVersions" minOccurs="0"/>
                <xsd:element ref="ns4:MediaServiceSearchPropertie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d94e29-013b-4e08-a365-28e1329f00e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8793ee-5a3b-415e-bf6e-2cdb6b53815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7CD37C-6162-410C-B92B-5349B82DDB4A}">
  <ds:schemaRefs>
    <ds:schemaRef ds:uri="http://schemas.microsoft.com/sharepoint/v3/contenttype/forms"/>
  </ds:schemaRefs>
</ds:datastoreItem>
</file>

<file path=customXml/itemProps2.xml><?xml version="1.0" encoding="utf-8"?>
<ds:datastoreItem xmlns:ds="http://schemas.openxmlformats.org/officeDocument/2006/customXml" ds:itemID="{0B37D7B6-3847-45E1-9B44-0A1E25DE2DFD}">
  <ds:schemaRefs>
    <ds:schemaRef ds:uri="http://schemas.microsoft.com/office/2006/metadata/properties"/>
    <ds:schemaRef ds:uri="http://schemas.microsoft.com/office/infopath/2007/PartnerControls"/>
    <ds:schemaRef ds:uri="http://schemas.microsoft.com/sharepoint/v3"/>
    <ds:schemaRef ds:uri="7f8793ee-5a3b-415e-bf6e-2cdb6b538159"/>
  </ds:schemaRefs>
</ds:datastoreItem>
</file>

<file path=customXml/itemProps3.xml><?xml version="1.0" encoding="utf-8"?>
<ds:datastoreItem xmlns:ds="http://schemas.openxmlformats.org/officeDocument/2006/customXml" ds:itemID="{B2E7CD68-A884-42E2-BA28-30921C56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bd94e29-013b-4e08-a365-28e1329f00e7"/>
    <ds:schemaRef ds:uri="7f8793ee-5a3b-415e-bf6e-2cdb6b5381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Cover Page</vt:lpstr>
      <vt:lpstr>Disclaimers</vt:lpstr>
      <vt:lpstr>Non-Provider Products</vt:lpstr>
      <vt:lpstr>Summary</vt:lpstr>
      <vt:lpstr>Product Features</vt:lpstr>
      <vt:lpstr>Age 10 MNS 3-Pay</vt:lpstr>
      <vt:lpstr>Age 10 MNS 5-Pay</vt:lpstr>
      <vt:lpstr>Age 10 MNS 10-Pay</vt:lpstr>
      <vt:lpstr>Age 10 MNS 20-Pay</vt:lpstr>
      <vt:lpstr>Age 40 MNS 3-Pay </vt:lpstr>
      <vt:lpstr>Age 40 MNS 5-Pay </vt:lpstr>
      <vt:lpstr>Age 40 MNS 10-Pay</vt:lpstr>
      <vt:lpstr>Age 40 MNS 20-Pay</vt:lpstr>
      <vt:lpstr>'Age 10 MNS 10-Pay'!Print_Area</vt:lpstr>
      <vt:lpstr>'Age 10 MNS 3-Pay'!Print_Area</vt:lpstr>
      <vt:lpstr>'Age 40 MNS 10-Pay'!Print_Area</vt:lpstr>
      <vt:lpstr>'Age 40 MNS 20-Pay'!Print_Area</vt:lpstr>
      <vt:lpstr>'Age 40 MNS 5-Pay '!Print_Area</vt:lpstr>
      <vt:lpstr>Disclaimers!Print_Area</vt:lpstr>
      <vt:lpstr>Summary!Print_Area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Cristtin TEOW Pei Ying</dc:creator>
  <cp:keywords/>
  <dc:description/>
  <cp:lastModifiedBy>Cristtin Teow</cp:lastModifiedBy>
  <cp:revision/>
  <dcterms:created xsi:type="dcterms:W3CDTF">2017-08-16T02:03:23Z</dcterms:created>
  <dcterms:modified xsi:type="dcterms:W3CDTF">2025-03-07T07:47:10Z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a87217-e18b-48bf-bfe7-1a308ae7f806_Enabled">
    <vt:lpwstr>true</vt:lpwstr>
  </property>
  <property fmtid="{D5CDD505-2E9C-101B-9397-08002B2CF9AE}" pid="3" name="MSIP_Label_65a87217-e18b-48bf-bfe7-1a308ae7f806_SetDate">
    <vt:lpwstr>2022-07-28T10:24:52Z</vt:lpwstr>
  </property>
  <property fmtid="{D5CDD505-2E9C-101B-9397-08002B2CF9AE}" pid="4" name="MSIP_Label_65a87217-e18b-48bf-bfe7-1a308ae7f806_Method">
    <vt:lpwstr>Privileged</vt:lpwstr>
  </property>
  <property fmtid="{D5CDD505-2E9C-101B-9397-08002B2CF9AE}" pid="5" name="MSIP_Label_65a87217-e18b-48bf-bfe7-1a308ae7f806_Name">
    <vt:lpwstr>Aviva Singlife Public</vt:lpwstr>
  </property>
  <property fmtid="{D5CDD505-2E9C-101B-9397-08002B2CF9AE}" pid="6" name="MSIP_Label_65a87217-e18b-48bf-bfe7-1a308ae7f806_SiteId">
    <vt:lpwstr>ff2a83c7-ec1d-4cc7-8bbe-6c529a23f41a</vt:lpwstr>
  </property>
  <property fmtid="{D5CDD505-2E9C-101B-9397-08002B2CF9AE}" pid="7" name="MSIP_Label_65a87217-e18b-48bf-bfe7-1a308ae7f806_ActionId">
    <vt:lpwstr>b409e559-20bd-4b90-a98f-39502da6e43f</vt:lpwstr>
  </property>
  <property fmtid="{D5CDD505-2E9C-101B-9397-08002B2CF9AE}" pid="8" name="MSIP_Label_65a87217-e18b-48bf-bfe7-1a308ae7f806_ContentBits">
    <vt:lpwstr>2</vt:lpwstr>
  </property>
  <property fmtid="{D5CDD505-2E9C-101B-9397-08002B2CF9AE}" pid="9" name="ContentTypeId">
    <vt:lpwstr>0x0101008C364A69E152A34F9A87C1BCBCF88C37</vt:lpwstr>
  </property>
</Properties>
</file>