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Y:\product and research\Insurance\Product Comparison\Comparison 2018\Single Premium Whole Life with Payout\"/>
    </mc:Choice>
  </mc:AlternateContent>
  <xr:revisionPtr revIDLastSave="0" documentId="13_ncr:1_{70EF9955-08E3-4CD4-84CC-4557176817CC}" xr6:coauthVersionLast="47" xr6:coauthVersionMax="47" xr10:uidLastSave="{00000000-0000-0000-0000-000000000000}"/>
  <bookViews>
    <workbookView xWindow="-90" yWindow="-16320" windowWidth="29040" windowHeight="15720" tabRatio="601" activeTab="3" xr2:uid="{00000000-000D-0000-FFFF-FFFF00000000}"/>
  </bookViews>
  <sheets>
    <sheet name="Cover Page" sheetId="1" r:id="rId1"/>
    <sheet name="Disclaimers" sheetId="2" r:id="rId2"/>
    <sheet name="Non-Providers" sheetId="34" r:id="rId3"/>
    <sheet name="Summary" sheetId="6" r:id="rId4"/>
    <sheet name="Product Features" sheetId="3" r:id="rId5"/>
    <sheet name="(Age 5) SP $200k " sheetId="28" r:id="rId6"/>
    <sheet name="(Age 5) SP $500k" sheetId="24" r:id="rId7"/>
    <sheet name="(Age 5) SP $1M" sheetId="27" r:id="rId8"/>
    <sheet name="(Age 40) SP $200k" sheetId="29" r:id="rId9"/>
    <sheet name="(Age 40) SP $500k" sheetId="25" r:id="rId10"/>
    <sheet name="(Age 40) SP $1M" sheetId="30" r:id="rId11"/>
    <sheet name="(Age 55) SP $200k" sheetId="31" r:id="rId12"/>
    <sheet name="(Age 55) SP $500k" sheetId="19" r:id="rId13"/>
    <sheet name="(Age 55) SP $1M" sheetId="33" r:id="rId14"/>
    <sheet name="MNS (USD)" sheetId="26" r:id="rId15"/>
  </sheets>
  <definedNames>
    <definedName name="_xlnm.Print_Area" localSheetId="10">'(Age 40) SP $1M'!$A$1:$L$53</definedName>
    <definedName name="_xlnm.Print_Area" localSheetId="8">'(Age 40) SP $200k'!$A$1:$L$53</definedName>
    <definedName name="_xlnm.Print_Area" localSheetId="9">'(Age 40) SP $500k'!$A$1:$M$53</definedName>
    <definedName name="_xlnm.Print_Area" localSheetId="7">'(Age 5) SP $1M'!$A$1:$L$69</definedName>
    <definedName name="_xlnm.Print_Area" localSheetId="5">'(Age 5) SP $200k '!$A$1:$L$69</definedName>
    <definedName name="_xlnm.Print_Area" localSheetId="6">'(Age 5) SP $500k'!$A$1:$M$69</definedName>
    <definedName name="_xlnm.Print_Area" localSheetId="13">'(Age 55) SP $1M'!$A$1:$L$53</definedName>
    <definedName name="_xlnm.Print_Area" localSheetId="11">'(Age 55) SP $200k'!$A$1:$L$53</definedName>
    <definedName name="_xlnm.Print_Area" localSheetId="12">'(Age 55) SP $500k'!$A$1:$M$53</definedName>
    <definedName name="_xlnm.Print_Area" localSheetId="1">Disclaimers!$A$1:$E$10</definedName>
    <definedName name="_xlnm.Print_Area" localSheetId="14">'MNS (USD)'!$A$1:$H$4</definedName>
    <definedName name="_xlnm.Print_Area" localSheetId="3">Summary!$A$1:$C$11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30" l="1"/>
  <c r="K52" i="30"/>
  <c r="K48" i="30"/>
  <c r="K47" i="30"/>
  <c r="K43" i="30"/>
  <c r="K42" i="30"/>
  <c r="K37" i="30"/>
  <c r="K36" i="30"/>
  <c r="K32" i="30"/>
  <c r="K31" i="30"/>
  <c r="K27" i="30"/>
  <c r="K26" i="30"/>
  <c r="K21" i="30"/>
  <c r="K18" i="30"/>
  <c r="K16" i="30"/>
  <c r="K15" i="30"/>
  <c r="K69" i="27"/>
  <c r="K68" i="27"/>
  <c r="K64" i="27"/>
  <c r="K63" i="27"/>
  <c r="K59" i="27"/>
  <c r="K58" i="27"/>
  <c r="K53" i="27"/>
  <c r="K52" i="27"/>
  <c r="K48" i="27"/>
  <c r="K47" i="27"/>
  <c r="K43" i="27"/>
  <c r="K42" i="27"/>
  <c r="K37" i="27"/>
  <c r="K36" i="27"/>
  <c r="K32" i="27"/>
  <c r="K31" i="27"/>
  <c r="K27" i="27"/>
  <c r="K26" i="27"/>
  <c r="K21" i="27"/>
  <c r="K18" i="27"/>
  <c r="K16" i="27"/>
  <c r="K15" i="27"/>
  <c r="F50" i="33" l="1"/>
  <c r="F34" i="33"/>
  <c r="F15" i="33"/>
  <c r="F50" i="19"/>
  <c r="F34" i="19"/>
  <c r="F15" i="19"/>
  <c r="E50" i="31"/>
  <c r="E34" i="31"/>
  <c r="F50" i="30"/>
  <c r="F53" i="30" s="1"/>
  <c r="F48" i="30"/>
  <c r="F47" i="30"/>
  <c r="F43" i="30"/>
  <c r="F42" i="30"/>
  <c r="F34" i="30"/>
  <c r="F36" i="30" s="1"/>
  <c r="F32" i="30"/>
  <c r="F31" i="30"/>
  <c r="F27" i="30"/>
  <c r="F26" i="30"/>
  <c r="F21" i="30"/>
  <c r="F18" i="30"/>
  <c r="F15" i="30"/>
  <c r="F50" i="25"/>
  <c r="F34" i="25"/>
  <c r="E50" i="29"/>
  <c r="E34" i="29"/>
  <c r="E26" i="29"/>
  <c r="F66" i="27"/>
  <c r="F69" i="27" s="1"/>
  <c r="F64" i="27"/>
  <c r="F63" i="27"/>
  <c r="F59" i="27"/>
  <c r="F58" i="27"/>
  <c r="F50" i="27"/>
  <c r="F52" i="27" s="1"/>
  <c r="F48" i="27"/>
  <c r="F47" i="27"/>
  <c r="F43" i="27"/>
  <c r="F42" i="27"/>
  <c r="F34" i="27"/>
  <c r="F37" i="27" s="1"/>
  <c r="F32" i="27"/>
  <c r="F31" i="27"/>
  <c r="F27" i="27"/>
  <c r="F26" i="27"/>
  <c r="F21" i="27"/>
  <c r="F18" i="27"/>
  <c r="F15" i="27"/>
  <c r="F66" i="24"/>
  <c r="F50" i="24"/>
  <c r="F34" i="24"/>
  <c r="E66" i="28"/>
  <c r="E50" i="28"/>
  <c r="E34" i="28"/>
  <c r="F37" i="30" l="1"/>
  <c r="F53" i="27"/>
  <c r="F52" i="30"/>
  <c r="F36" i="27"/>
  <c r="F68" i="27"/>
  <c r="F31" i="26"/>
  <c r="F30" i="26"/>
  <c r="F26" i="26"/>
  <c r="B68" i="26"/>
  <c r="B67" i="26"/>
  <c r="B63" i="26"/>
  <c r="B62" i="26"/>
  <c r="B57" i="26"/>
  <c r="B52" i="26"/>
  <c r="B51" i="26"/>
  <c r="B47" i="26"/>
  <c r="B46" i="26"/>
  <c r="B42" i="26"/>
  <c r="B41" i="26"/>
  <c r="B36" i="26"/>
  <c r="B35" i="26"/>
  <c r="B31" i="26"/>
  <c r="B30" i="26"/>
  <c r="B26" i="26"/>
  <c r="B25" i="26"/>
  <c r="G68" i="26"/>
  <c r="G67" i="26"/>
  <c r="G65" i="26"/>
  <c r="G63" i="26"/>
  <c r="G62" i="26"/>
  <c r="G58" i="26"/>
  <c r="G57" i="26"/>
  <c r="G49" i="26"/>
  <c r="G51" i="26" s="1"/>
  <c r="G47" i="26"/>
  <c r="G46" i="26"/>
  <c r="G42" i="26"/>
  <c r="G41" i="26"/>
  <c r="G36" i="26"/>
  <c r="G33" i="26"/>
  <c r="G35" i="26" s="1"/>
  <c r="G31" i="26"/>
  <c r="G30" i="26"/>
  <c r="G26" i="26"/>
  <c r="G25" i="26"/>
  <c r="G15" i="26"/>
  <c r="C67" i="26"/>
  <c r="C65" i="26"/>
  <c r="C68" i="26" s="1"/>
  <c r="C63" i="26"/>
  <c r="C62" i="26"/>
  <c r="C58" i="26"/>
  <c r="C57" i="26"/>
  <c r="C52" i="26"/>
  <c r="C49" i="26"/>
  <c r="C51" i="26" s="1"/>
  <c r="C47" i="26"/>
  <c r="C46" i="26"/>
  <c r="C42" i="26"/>
  <c r="C41" i="26"/>
  <c r="C36" i="26"/>
  <c r="C35" i="26"/>
  <c r="C31" i="26"/>
  <c r="C30" i="26"/>
  <c r="C26" i="26"/>
  <c r="C25" i="26"/>
  <c r="C15" i="26"/>
  <c r="C14" i="26"/>
  <c r="G52" i="26" l="1"/>
  <c r="H36" i="28" l="1"/>
  <c r="B21" i="29"/>
  <c r="B18" i="29"/>
  <c r="G50" i="29"/>
  <c r="G53" i="29" s="1"/>
  <c r="G34" i="29"/>
  <c r="G36" i="29" s="1"/>
  <c r="K26" i="29"/>
  <c r="J26" i="29"/>
  <c r="I26" i="29"/>
  <c r="H26" i="29"/>
  <c r="G26" i="29"/>
  <c r="F26" i="29"/>
  <c r="D26" i="29"/>
  <c r="K66" i="28"/>
  <c r="K69" i="28" s="1"/>
  <c r="K50" i="28"/>
  <c r="K53" i="28" s="1"/>
  <c r="K34" i="28"/>
  <c r="K36" i="28" s="1"/>
  <c r="J14" i="28"/>
  <c r="J16" i="28" s="1"/>
  <c r="J66" i="28"/>
  <c r="J69" i="28" s="1"/>
  <c r="J50" i="28"/>
  <c r="J53" i="28" s="1"/>
  <c r="J34" i="28"/>
  <c r="J37" i="28" s="1"/>
  <c r="K50" i="31"/>
  <c r="K34" i="31"/>
  <c r="K36" i="31" s="1"/>
  <c r="J50" i="31"/>
  <c r="J53" i="31" s="1"/>
  <c r="J34" i="31"/>
  <c r="J37" i="31" s="1"/>
  <c r="K50" i="29"/>
  <c r="K53" i="29" s="1"/>
  <c r="K34" i="29"/>
  <c r="J53" i="29"/>
  <c r="J14" i="29"/>
  <c r="J16" i="29" s="1"/>
  <c r="I50" i="31"/>
  <c r="I52" i="31" s="1"/>
  <c r="I34" i="31"/>
  <c r="I37" i="31" s="1"/>
  <c r="I50" i="29"/>
  <c r="I34" i="29"/>
  <c r="I37" i="29" s="1"/>
  <c r="I66" i="28"/>
  <c r="I68" i="28" s="1"/>
  <c r="I50" i="28"/>
  <c r="I53" i="28" s="1"/>
  <c r="H69" i="28"/>
  <c r="G50" i="31"/>
  <c r="G53" i="31" s="1"/>
  <c r="E47" i="31"/>
  <c r="D50" i="31"/>
  <c r="D53" i="31" s="1"/>
  <c r="D45" i="31"/>
  <c r="D48" i="31" s="1"/>
  <c r="D46" i="31"/>
  <c r="D34" i="31"/>
  <c r="D37" i="31" s="1"/>
  <c r="D29" i="31"/>
  <c r="D31" i="31" s="1"/>
  <c r="D50" i="29"/>
  <c r="D53" i="29" s="1"/>
  <c r="D45" i="29"/>
  <c r="D47" i="29" s="1"/>
  <c r="D34" i="29"/>
  <c r="D36" i="29" s="1"/>
  <c r="D29" i="29"/>
  <c r="D32" i="29" s="1"/>
  <c r="D66" i="28"/>
  <c r="D61" i="28"/>
  <c r="D63" i="28" s="1"/>
  <c r="D50" i="28"/>
  <c r="D52" i="28" s="1"/>
  <c r="D45" i="28"/>
  <c r="D34" i="28"/>
  <c r="D29" i="28"/>
  <c r="C50" i="31"/>
  <c r="C53" i="31" s="1"/>
  <c r="C45" i="31"/>
  <c r="C47" i="31" s="1"/>
  <c r="C34" i="31"/>
  <c r="C37" i="31" s="1"/>
  <c r="C29" i="31"/>
  <c r="C32" i="31" s="1"/>
  <c r="C21" i="31"/>
  <c r="B50" i="31"/>
  <c r="B53" i="31" s="1"/>
  <c r="B34" i="31"/>
  <c r="B37" i="31" s="1"/>
  <c r="L53" i="33"/>
  <c r="K53" i="33"/>
  <c r="J53" i="33"/>
  <c r="H53" i="33"/>
  <c r="F53" i="33"/>
  <c r="E53" i="33"/>
  <c r="C53" i="33"/>
  <c r="L52" i="33"/>
  <c r="K52" i="33"/>
  <c r="J52" i="33"/>
  <c r="H52" i="33"/>
  <c r="F52" i="33"/>
  <c r="E52" i="33"/>
  <c r="C52" i="33"/>
  <c r="I50" i="33"/>
  <c r="I53" i="33" s="1"/>
  <c r="G50" i="33"/>
  <c r="G53" i="33" s="1"/>
  <c r="D50" i="33"/>
  <c r="D53" i="33" s="1"/>
  <c r="B50" i="33"/>
  <c r="B52" i="33" s="1"/>
  <c r="L48" i="33"/>
  <c r="K48" i="33"/>
  <c r="J48" i="33"/>
  <c r="H48" i="33"/>
  <c r="G48" i="33"/>
  <c r="F48" i="33"/>
  <c r="E48" i="33"/>
  <c r="D48" i="33"/>
  <c r="C48" i="33"/>
  <c r="L47" i="33"/>
  <c r="K47" i="33"/>
  <c r="J47" i="33"/>
  <c r="H47" i="33"/>
  <c r="G47" i="33"/>
  <c r="F47" i="33"/>
  <c r="E47" i="33"/>
  <c r="D47" i="33"/>
  <c r="C47" i="33"/>
  <c r="I45" i="33"/>
  <c r="I48" i="33" s="1"/>
  <c r="B45" i="33"/>
  <c r="B48" i="33" s="1"/>
  <c r="L43" i="33"/>
  <c r="K43" i="33"/>
  <c r="J43" i="33"/>
  <c r="I43" i="33"/>
  <c r="H43" i="33"/>
  <c r="G43" i="33"/>
  <c r="F43" i="33"/>
  <c r="E43" i="33"/>
  <c r="D43" i="33"/>
  <c r="C43" i="33"/>
  <c r="B43" i="33"/>
  <c r="L42" i="33"/>
  <c r="K42" i="33"/>
  <c r="J42" i="33"/>
  <c r="I42" i="33"/>
  <c r="H42" i="33"/>
  <c r="G42" i="33"/>
  <c r="F42" i="33"/>
  <c r="E42" i="33"/>
  <c r="D42" i="33"/>
  <c r="C42" i="33"/>
  <c r="B42" i="33"/>
  <c r="L37" i="33"/>
  <c r="K37" i="33"/>
  <c r="J37" i="33"/>
  <c r="H37" i="33"/>
  <c r="F37" i="33"/>
  <c r="E37" i="33"/>
  <c r="C37" i="33"/>
  <c r="L36" i="33"/>
  <c r="K36" i="33"/>
  <c r="J36" i="33"/>
  <c r="H36" i="33"/>
  <c r="F36" i="33"/>
  <c r="E36" i="33"/>
  <c r="C36" i="33"/>
  <c r="I34" i="33"/>
  <c r="I37" i="33" s="1"/>
  <c r="G34" i="33"/>
  <c r="G37" i="33" s="1"/>
  <c r="D34" i="33"/>
  <c r="D37" i="33" s="1"/>
  <c r="B34" i="33"/>
  <c r="B37" i="33" s="1"/>
  <c r="L32" i="33"/>
  <c r="K32" i="33"/>
  <c r="J32" i="33"/>
  <c r="H32" i="33"/>
  <c r="G32" i="33"/>
  <c r="F32" i="33"/>
  <c r="E32" i="33"/>
  <c r="D32" i="33"/>
  <c r="C32" i="33"/>
  <c r="L31" i="33"/>
  <c r="K31" i="33"/>
  <c r="J31" i="33"/>
  <c r="H31" i="33"/>
  <c r="G31" i="33"/>
  <c r="F31" i="33"/>
  <c r="E31" i="33"/>
  <c r="D31" i="33"/>
  <c r="C31" i="33"/>
  <c r="I29" i="33"/>
  <c r="I32" i="33" s="1"/>
  <c r="B29" i="33"/>
  <c r="B32" i="33" s="1"/>
  <c r="L27" i="33"/>
  <c r="K27" i="33"/>
  <c r="J27" i="33"/>
  <c r="I27" i="33"/>
  <c r="H27" i="33"/>
  <c r="G27" i="33"/>
  <c r="F27" i="33"/>
  <c r="E27" i="33"/>
  <c r="D27" i="33"/>
  <c r="C27" i="33"/>
  <c r="B27" i="33"/>
  <c r="L26" i="33"/>
  <c r="K26" i="33"/>
  <c r="J26" i="33"/>
  <c r="I26" i="33"/>
  <c r="H26" i="33"/>
  <c r="G26" i="33"/>
  <c r="F26" i="33"/>
  <c r="E26" i="33"/>
  <c r="D26" i="33"/>
  <c r="C26" i="33"/>
  <c r="B26" i="33"/>
  <c r="L21" i="33"/>
  <c r="K21" i="33"/>
  <c r="J21" i="33"/>
  <c r="I21" i="33"/>
  <c r="H21" i="33"/>
  <c r="G21" i="33"/>
  <c r="F21" i="33"/>
  <c r="E21" i="33"/>
  <c r="D21" i="33"/>
  <c r="C21" i="33"/>
  <c r="B21" i="33"/>
  <c r="L18" i="33"/>
  <c r="K18" i="33"/>
  <c r="J18" i="33"/>
  <c r="I18" i="33"/>
  <c r="H18" i="33"/>
  <c r="G18" i="33"/>
  <c r="F18" i="33"/>
  <c r="E18" i="33"/>
  <c r="D18" i="33"/>
  <c r="C18" i="33"/>
  <c r="B18" i="33"/>
  <c r="L16" i="33"/>
  <c r="K16" i="33"/>
  <c r="I16" i="33"/>
  <c r="H16" i="33"/>
  <c r="E16" i="33"/>
  <c r="D16" i="33"/>
  <c r="L15" i="33"/>
  <c r="K15" i="33"/>
  <c r="I15" i="33"/>
  <c r="H15" i="33"/>
  <c r="G15" i="33"/>
  <c r="E15" i="33"/>
  <c r="D15" i="33"/>
  <c r="B15" i="33"/>
  <c r="K53" i="31"/>
  <c r="H53" i="31"/>
  <c r="E53" i="31"/>
  <c r="K52" i="31"/>
  <c r="J52" i="31"/>
  <c r="H52" i="31"/>
  <c r="E52" i="31"/>
  <c r="F53" i="31"/>
  <c r="K48" i="31"/>
  <c r="J48" i="31"/>
  <c r="I48" i="31"/>
  <c r="G48" i="31"/>
  <c r="F48" i="31"/>
  <c r="E48" i="31"/>
  <c r="K47" i="31"/>
  <c r="J47" i="31"/>
  <c r="I47" i="31"/>
  <c r="G47" i="31"/>
  <c r="F47" i="31"/>
  <c r="H48" i="31"/>
  <c r="B45" i="31"/>
  <c r="B48" i="31" s="1"/>
  <c r="K43" i="31"/>
  <c r="J43" i="31"/>
  <c r="I43" i="31"/>
  <c r="H43" i="31"/>
  <c r="G43" i="31"/>
  <c r="F43" i="31"/>
  <c r="E43" i="31"/>
  <c r="D43" i="31"/>
  <c r="C43" i="31"/>
  <c r="B43" i="31"/>
  <c r="K42" i="31"/>
  <c r="J42" i="31"/>
  <c r="I42" i="31"/>
  <c r="H42" i="31"/>
  <c r="G42" i="31"/>
  <c r="F42" i="31"/>
  <c r="E42" i="31"/>
  <c r="D42" i="31"/>
  <c r="C42" i="31"/>
  <c r="B42" i="31"/>
  <c r="G37" i="31"/>
  <c r="E37" i="31"/>
  <c r="G36" i="31"/>
  <c r="E36" i="31"/>
  <c r="C36" i="31"/>
  <c r="H37" i="31"/>
  <c r="F37" i="31"/>
  <c r="K32" i="31"/>
  <c r="J32" i="31"/>
  <c r="I32" i="31"/>
  <c r="G32" i="31"/>
  <c r="F32" i="31"/>
  <c r="E32" i="31"/>
  <c r="K31" i="31"/>
  <c r="J31" i="31"/>
  <c r="I31" i="31"/>
  <c r="G31" i="31"/>
  <c r="F31" i="31"/>
  <c r="E31" i="31"/>
  <c r="H32" i="31"/>
  <c r="B29" i="31"/>
  <c r="B32" i="31" s="1"/>
  <c r="K27" i="31"/>
  <c r="J27" i="31"/>
  <c r="I27" i="31"/>
  <c r="H27" i="31"/>
  <c r="G27" i="31"/>
  <c r="F27" i="31"/>
  <c r="E27" i="31"/>
  <c r="D27" i="31"/>
  <c r="C27" i="31"/>
  <c r="B27" i="31"/>
  <c r="K26" i="31"/>
  <c r="J26" i="31"/>
  <c r="I26" i="31"/>
  <c r="H26" i="31"/>
  <c r="G26" i="31"/>
  <c r="F26" i="31"/>
  <c r="E26" i="31"/>
  <c r="D26" i="31"/>
  <c r="C26" i="31"/>
  <c r="B26" i="31"/>
  <c r="K21" i="31"/>
  <c r="J21" i="31"/>
  <c r="I21" i="31"/>
  <c r="H21" i="31"/>
  <c r="G21" i="31"/>
  <c r="F21" i="31"/>
  <c r="E21" i="31"/>
  <c r="D21" i="31"/>
  <c r="B21" i="31"/>
  <c r="K18" i="31"/>
  <c r="J18" i="31"/>
  <c r="I18" i="31"/>
  <c r="H18" i="31"/>
  <c r="G18" i="31"/>
  <c r="F18" i="31"/>
  <c r="E18" i="31"/>
  <c r="D18" i="31"/>
  <c r="B18" i="31"/>
  <c r="K16" i="31"/>
  <c r="J16" i="31"/>
  <c r="H16" i="31"/>
  <c r="G16" i="31"/>
  <c r="D16" i="31"/>
  <c r="K15" i="31"/>
  <c r="J15" i="31"/>
  <c r="H15" i="31"/>
  <c r="G15" i="31"/>
  <c r="F15" i="31"/>
  <c r="E15" i="31"/>
  <c r="D15" i="31"/>
  <c r="B15" i="31"/>
  <c r="B50" i="29"/>
  <c r="B34" i="29"/>
  <c r="B37" i="29" s="1"/>
  <c r="C50" i="29"/>
  <c r="C53" i="29" s="1"/>
  <c r="C45" i="29"/>
  <c r="C47" i="29" s="1"/>
  <c r="C34" i="29"/>
  <c r="C29" i="29"/>
  <c r="C32" i="29" s="1"/>
  <c r="C21" i="29"/>
  <c r="C61" i="28"/>
  <c r="C64" i="28" s="1"/>
  <c r="C63" i="28"/>
  <c r="C66" i="28"/>
  <c r="C68" i="28" s="1"/>
  <c r="C50" i="28"/>
  <c r="C52" i="28" s="1"/>
  <c r="C45" i="28"/>
  <c r="C48" i="28" s="1"/>
  <c r="C34" i="28"/>
  <c r="C36" i="28" s="1"/>
  <c r="C29" i="28"/>
  <c r="C32" i="28" s="1"/>
  <c r="L53" i="30"/>
  <c r="J53" i="30"/>
  <c r="H53" i="30"/>
  <c r="G53" i="30"/>
  <c r="E53" i="30"/>
  <c r="C53" i="30"/>
  <c r="L52" i="30"/>
  <c r="J52" i="30"/>
  <c r="H52" i="30"/>
  <c r="G52" i="30"/>
  <c r="E52" i="30"/>
  <c r="C52" i="30"/>
  <c r="I50" i="30"/>
  <c r="I53" i="30" s="1"/>
  <c r="D50" i="30"/>
  <c r="D53" i="30" s="1"/>
  <c r="B50" i="30"/>
  <c r="B52" i="30" s="1"/>
  <c r="L48" i="30"/>
  <c r="J48" i="30"/>
  <c r="H48" i="30"/>
  <c r="G48" i="30"/>
  <c r="E48" i="30"/>
  <c r="D48" i="30"/>
  <c r="C48" i="30"/>
  <c r="L47" i="30"/>
  <c r="J47" i="30"/>
  <c r="H47" i="30"/>
  <c r="G47" i="30"/>
  <c r="E47" i="30"/>
  <c r="D47" i="30"/>
  <c r="C47" i="30"/>
  <c r="I45" i="30"/>
  <c r="I48" i="30" s="1"/>
  <c r="B45" i="30"/>
  <c r="B48" i="30" s="1"/>
  <c r="L43" i="30"/>
  <c r="J43" i="30"/>
  <c r="I43" i="30"/>
  <c r="H43" i="30"/>
  <c r="G43" i="30"/>
  <c r="E43" i="30"/>
  <c r="D43" i="30"/>
  <c r="C43" i="30"/>
  <c r="B43" i="30"/>
  <c r="L42" i="30"/>
  <c r="J42" i="30"/>
  <c r="I42" i="30"/>
  <c r="H42" i="30"/>
  <c r="G42" i="30"/>
  <c r="E42" i="30"/>
  <c r="D42" i="30"/>
  <c r="C42" i="30"/>
  <c r="B42" i="30"/>
  <c r="L37" i="30"/>
  <c r="J37" i="30"/>
  <c r="H37" i="30"/>
  <c r="G37" i="30"/>
  <c r="E37" i="30"/>
  <c r="C37" i="30"/>
  <c r="L36" i="30"/>
  <c r="J36" i="30"/>
  <c r="H36" i="30"/>
  <c r="G36" i="30"/>
  <c r="E36" i="30"/>
  <c r="C36" i="30"/>
  <c r="I34" i="30"/>
  <c r="I37" i="30" s="1"/>
  <c r="D34" i="30"/>
  <c r="D37" i="30" s="1"/>
  <c r="B34" i="30"/>
  <c r="B37" i="30" s="1"/>
  <c r="L32" i="30"/>
  <c r="J32" i="30"/>
  <c r="H32" i="30"/>
  <c r="G32" i="30"/>
  <c r="E32" i="30"/>
  <c r="D32" i="30"/>
  <c r="C32" i="30"/>
  <c r="L31" i="30"/>
  <c r="J31" i="30"/>
  <c r="H31" i="30"/>
  <c r="G31" i="30"/>
  <c r="E31" i="30"/>
  <c r="D31" i="30"/>
  <c r="C31" i="30"/>
  <c r="I29" i="30"/>
  <c r="I32" i="30" s="1"/>
  <c r="B29" i="30"/>
  <c r="B32" i="30" s="1"/>
  <c r="L27" i="30"/>
  <c r="J27" i="30"/>
  <c r="I27" i="30"/>
  <c r="H27" i="30"/>
  <c r="G27" i="30"/>
  <c r="E27" i="30"/>
  <c r="D27" i="30"/>
  <c r="C27" i="30"/>
  <c r="B27" i="30"/>
  <c r="L26" i="30"/>
  <c r="J26" i="30"/>
  <c r="I26" i="30"/>
  <c r="H26" i="30"/>
  <c r="G26" i="30"/>
  <c r="E26" i="30"/>
  <c r="D26" i="30"/>
  <c r="C26" i="30"/>
  <c r="B26" i="30"/>
  <c r="L21" i="30"/>
  <c r="J21" i="30"/>
  <c r="I21" i="30"/>
  <c r="H21" i="30"/>
  <c r="G21" i="30"/>
  <c r="E21" i="30"/>
  <c r="D21" i="30"/>
  <c r="C21" i="30"/>
  <c r="B21" i="30"/>
  <c r="L18" i="30"/>
  <c r="J18" i="30"/>
  <c r="I18" i="30"/>
  <c r="H18" i="30"/>
  <c r="G18" i="30"/>
  <c r="E18" i="30"/>
  <c r="D18" i="30"/>
  <c r="C18" i="30"/>
  <c r="B18" i="30"/>
  <c r="L16" i="30"/>
  <c r="I16" i="30"/>
  <c r="H16" i="30"/>
  <c r="E16" i="30"/>
  <c r="D16" i="30"/>
  <c r="L15" i="30"/>
  <c r="I15" i="30"/>
  <c r="H15" i="30"/>
  <c r="G15" i="30"/>
  <c r="E15" i="30"/>
  <c r="D15" i="30"/>
  <c r="B15" i="30"/>
  <c r="I53" i="29"/>
  <c r="F53" i="29"/>
  <c r="E53" i="29"/>
  <c r="B53" i="29"/>
  <c r="I52" i="29"/>
  <c r="F52" i="29"/>
  <c r="E52" i="29"/>
  <c r="B52" i="29"/>
  <c r="H53" i="29"/>
  <c r="K48" i="29"/>
  <c r="J48" i="29"/>
  <c r="I48" i="29"/>
  <c r="G48" i="29"/>
  <c r="F48" i="29"/>
  <c r="E48" i="29"/>
  <c r="K47" i="29"/>
  <c r="J47" i="29"/>
  <c r="I47" i="29"/>
  <c r="G47" i="29"/>
  <c r="F47" i="29"/>
  <c r="E47" i="29"/>
  <c r="H48" i="29"/>
  <c r="B45" i="29"/>
  <c r="B47" i="29" s="1"/>
  <c r="K43" i="29"/>
  <c r="J43" i="29"/>
  <c r="I43" i="29"/>
  <c r="H43" i="29"/>
  <c r="G43" i="29"/>
  <c r="F43" i="29"/>
  <c r="E43" i="29"/>
  <c r="D43" i="29"/>
  <c r="C43" i="29"/>
  <c r="B43" i="29"/>
  <c r="K42" i="29"/>
  <c r="J42" i="29"/>
  <c r="I42" i="29"/>
  <c r="H42" i="29"/>
  <c r="G42" i="29"/>
  <c r="F42" i="29"/>
  <c r="E42" i="29"/>
  <c r="D42" i="29"/>
  <c r="C42" i="29"/>
  <c r="B42" i="29"/>
  <c r="K37" i="29"/>
  <c r="J37" i="29"/>
  <c r="F37" i="29"/>
  <c r="E37" i="29"/>
  <c r="C37" i="29"/>
  <c r="K36" i="29"/>
  <c r="J36" i="29"/>
  <c r="F36" i="29"/>
  <c r="E36" i="29"/>
  <c r="C36" i="29"/>
  <c r="H37" i="29"/>
  <c r="K32" i="29"/>
  <c r="J32" i="29"/>
  <c r="I32" i="29"/>
  <c r="G32" i="29"/>
  <c r="F32" i="29"/>
  <c r="E32" i="29"/>
  <c r="K31" i="29"/>
  <c r="J31" i="29"/>
  <c r="I31" i="29"/>
  <c r="G31" i="29"/>
  <c r="F31" i="29"/>
  <c r="E31" i="29"/>
  <c r="D31" i="29"/>
  <c r="H32" i="29"/>
  <c r="B29" i="29"/>
  <c r="B32" i="29" s="1"/>
  <c r="K27" i="29"/>
  <c r="J27" i="29"/>
  <c r="I27" i="29"/>
  <c r="H27" i="29"/>
  <c r="G27" i="29"/>
  <c r="F27" i="29"/>
  <c r="E27" i="29"/>
  <c r="D27" i="29"/>
  <c r="C27" i="29"/>
  <c r="B27" i="29"/>
  <c r="C26" i="29"/>
  <c r="B26" i="29"/>
  <c r="K21" i="29"/>
  <c r="J21" i="29"/>
  <c r="I21" i="29"/>
  <c r="H21" i="29"/>
  <c r="G21" i="29"/>
  <c r="F21" i="29"/>
  <c r="E21" i="29"/>
  <c r="D21" i="29"/>
  <c r="K18" i="29"/>
  <c r="J18" i="29"/>
  <c r="I18" i="29"/>
  <c r="H18" i="29"/>
  <c r="G18" i="29"/>
  <c r="F18" i="29"/>
  <c r="E18" i="29"/>
  <c r="D18" i="29"/>
  <c r="K16" i="29"/>
  <c r="H16" i="29"/>
  <c r="G16" i="29"/>
  <c r="D16" i="29"/>
  <c r="K15" i="29"/>
  <c r="J15" i="29"/>
  <c r="H15" i="29"/>
  <c r="G15" i="29"/>
  <c r="F15" i="29"/>
  <c r="E15" i="29"/>
  <c r="D15" i="29"/>
  <c r="B15" i="29"/>
  <c r="B66" i="28"/>
  <c r="B69" i="28" s="1"/>
  <c r="B50" i="28"/>
  <c r="B53" i="28" s="1"/>
  <c r="B34" i="28"/>
  <c r="B37" i="28" s="1"/>
  <c r="G69" i="28"/>
  <c r="F69" i="28"/>
  <c r="E69" i="28"/>
  <c r="G68" i="28"/>
  <c r="F68" i="28"/>
  <c r="E68" i="28"/>
  <c r="K64" i="28"/>
  <c r="J64" i="28"/>
  <c r="I64" i="28"/>
  <c r="G64" i="28"/>
  <c r="F64" i="28"/>
  <c r="E64" i="28"/>
  <c r="K63" i="28"/>
  <c r="J63" i="28"/>
  <c r="I63" i="28"/>
  <c r="G63" i="28"/>
  <c r="F63" i="28"/>
  <c r="E63" i="28"/>
  <c r="H64" i="28"/>
  <c r="B61" i="28"/>
  <c r="B63" i="28" s="1"/>
  <c r="K59" i="28"/>
  <c r="J59" i="28"/>
  <c r="I59" i="28"/>
  <c r="H59" i="28"/>
  <c r="G59" i="28"/>
  <c r="F59" i="28"/>
  <c r="E59" i="28"/>
  <c r="D59" i="28"/>
  <c r="C59" i="28"/>
  <c r="B59" i="28"/>
  <c r="K58" i="28"/>
  <c r="J58" i="28"/>
  <c r="I58" i="28"/>
  <c r="H58" i="28"/>
  <c r="G58" i="28"/>
  <c r="F58" i="28"/>
  <c r="E58" i="28"/>
  <c r="D58" i="28"/>
  <c r="C58" i="28"/>
  <c r="B58" i="28"/>
  <c r="G53" i="28"/>
  <c r="F53" i="28"/>
  <c r="E53" i="28"/>
  <c r="K52" i="28"/>
  <c r="J52" i="28"/>
  <c r="I52" i="28"/>
  <c r="G52" i="28"/>
  <c r="F52" i="28"/>
  <c r="E52" i="28"/>
  <c r="H53" i="28"/>
  <c r="K48" i="28"/>
  <c r="J48" i="28"/>
  <c r="I48" i="28"/>
  <c r="G48" i="28"/>
  <c r="F48" i="28"/>
  <c r="E48" i="28"/>
  <c r="D48" i="28"/>
  <c r="K47" i="28"/>
  <c r="J47" i="28"/>
  <c r="I47" i="28"/>
  <c r="G47" i="28"/>
  <c r="F47" i="28"/>
  <c r="E47" i="28"/>
  <c r="D47" i="28"/>
  <c r="H45" i="28"/>
  <c r="H48" i="28" s="1"/>
  <c r="B45" i="28"/>
  <c r="B48" i="28" s="1"/>
  <c r="K43" i="28"/>
  <c r="J43" i="28"/>
  <c r="I43" i="28"/>
  <c r="H43" i="28"/>
  <c r="G43" i="28"/>
  <c r="F43" i="28"/>
  <c r="E43" i="28"/>
  <c r="D43" i="28"/>
  <c r="C43" i="28"/>
  <c r="B43" i="28"/>
  <c r="K42" i="28"/>
  <c r="J42" i="28"/>
  <c r="I42" i="28"/>
  <c r="H42" i="28"/>
  <c r="G42" i="28"/>
  <c r="F42" i="28"/>
  <c r="E42" i="28"/>
  <c r="D42" i="28"/>
  <c r="C42" i="28"/>
  <c r="B42" i="28"/>
  <c r="I37" i="28"/>
  <c r="G37" i="28"/>
  <c r="F37" i="28"/>
  <c r="E37" i="28"/>
  <c r="I36" i="28"/>
  <c r="G36" i="28"/>
  <c r="F36" i="28"/>
  <c r="E36" i="28"/>
  <c r="K32" i="28"/>
  <c r="J32" i="28"/>
  <c r="I32" i="28"/>
  <c r="G32" i="28"/>
  <c r="F32" i="28"/>
  <c r="E32" i="28"/>
  <c r="D32" i="28"/>
  <c r="K31" i="28"/>
  <c r="J31" i="28"/>
  <c r="I31" i="28"/>
  <c r="G31" i="28"/>
  <c r="F31" i="28"/>
  <c r="E31" i="28"/>
  <c r="D31" i="28"/>
  <c r="H32" i="28"/>
  <c r="B29" i="28"/>
  <c r="B32" i="28" s="1"/>
  <c r="K27" i="28"/>
  <c r="J27" i="28"/>
  <c r="I27" i="28"/>
  <c r="H27" i="28"/>
  <c r="G27" i="28"/>
  <c r="F27" i="28"/>
  <c r="E27" i="28"/>
  <c r="D27" i="28"/>
  <c r="C27" i="28"/>
  <c r="B27" i="28"/>
  <c r="K26" i="28"/>
  <c r="J26" i="28"/>
  <c r="I26" i="28"/>
  <c r="H26" i="28"/>
  <c r="G26" i="28"/>
  <c r="F26" i="28"/>
  <c r="E26" i="28"/>
  <c r="D26" i="28"/>
  <c r="C26" i="28"/>
  <c r="B26" i="28"/>
  <c r="K21" i="28"/>
  <c r="J21" i="28"/>
  <c r="I21" i="28"/>
  <c r="H21" i="28"/>
  <c r="G21" i="28"/>
  <c r="F21" i="28"/>
  <c r="E21" i="28"/>
  <c r="D21" i="28"/>
  <c r="C21" i="28"/>
  <c r="B21" i="28"/>
  <c r="K18" i="28"/>
  <c r="J18" i="28"/>
  <c r="I18" i="28"/>
  <c r="H18" i="28"/>
  <c r="G18" i="28"/>
  <c r="F18" i="28"/>
  <c r="E18" i="28"/>
  <c r="D18" i="28"/>
  <c r="B18" i="28"/>
  <c r="K16" i="28"/>
  <c r="H16" i="28"/>
  <c r="G16" i="28"/>
  <c r="D16" i="28"/>
  <c r="K15" i="28"/>
  <c r="J15" i="28"/>
  <c r="H15" i="28"/>
  <c r="G15" i="28"/>
  <c r="F15" i="28"/>
  <c r="E15" i="28"/>
  <c r="D15" i="28"/>
  <c r="B15" i="28"/>
  <c r="L69" i="27"/>
  <c r="J69" i="27"/>
  <c r="H69" i="27"/>
  <c r="G69" i="27"/>
  <c r="E69" i="27"/>
  <c r="D69" i="27"/>
  <c r="C69" i="27"/>
  <c r="L68" i="27"/>
  <c r="J68" i="27"/>
  <c r="H68" i="27"/>
  <c r="G68" i="27"/>
  <c r="E68" i="27"/>
  <c r="D68" i="27"/>
  <c r="C68" i="27"/>
  <c r="I66" i="27"/>
  <c r="I69" i="27" s="1"/>
  <c r="B66" i="27"/>
  <c r="B69" i="27" s="1"/>
  <c r="L64" i="27"/>
  <c r="J64" i="27"/>
  <c r="H64" i="27"/>
  <c r="G64" i="27"/>
  <c r="E64" i="27"/>
  <c r="D64" i="27"/>
  <c r="C64" i="27"/>
  <c r="L63" i="27"/>
  <c r="J63" i="27"/>
  <c r="H63" i="27"/>
  <c r="G63" i="27"/>
  <c r="E63" i="27"/>
  <c r="D63" i="27"/>
  <c r="C63" i="27"/>
  <c r="I61" i="27"/>
  <c r="I64" i="27" s="1"/>
  <c r="B61" i="27"/>
  <c r="B64" i="27" s="1"/>
  <c r="L59" i="27"/>
  <c r="J59" i="27"/>
  <c r="I59" i="27"/>
  <c r="H59" i="27"/>
  <c r="G59" i="27"/>
  <c r="E59" i="27"/>
  <c r="D59" i="27"/>
  <c r="C59" i="27"/>
  <c r="B59" i="27"/>
  <c r="L58" i="27"/>
  <c r="J58" i="27"/>
  <c r="I58" i="27"/>
  <c r="H58" i="27"/>
  <c r="G58" i="27"/>
  <c r="E58" i="27"/>
  <c r="D58" i="27"/>
  <c r="C58" i="27"/>
  <c r="B58" i="27"/>
  <c r="L53" i="27"/>
  <c r="J53" i="27"/>
  <c r="H53" i="27"/>
  <c r="G53" i="27"/>
  <c r="E53" i="27"/>
  <c r="D53" i="27"/>
  <c r="C53" i="27"/>
  <c r="L52" i="27"/>
  <c r="J52" i="27"/>
  <c r="H52" i="27"/>
  <c r="G52" i="27"/>
  <c r="E52" i="27"/>
  <c r="D52" i="27"/>
  <c r="C52" i="27"/>
  <c r="I50" i="27"/>
  <c r="I53" i="27" s="1"/>
  <c r="B50" i="27"/>
  <c r="B53" i="27" s="1"/>
  <c r="L48" i="27"/>
  <c r="J48" i="27"/>
  <c r="H48" i="27"/>
  <c r="G48" i="27"/>
  <c r="E48" i="27"/>
  <c r="D48" i="27"/>
  <c r="C48" i="27"/>
  <c r="L47" i="27"/>
  <c r="J47" i="27"/>
  <c r="H47" i="27"/>
  <c r="G47" i="27"/>
  <c r="E47" i="27"/>
  <c r="D47" i="27"/>
  <c r="C47" i="27"/>
  <c r="I45" i="27"/>
  <c r="I48" i="27" s="1"/>
  <c r="B45" i="27"/>
  <c r="B48" i="27" s="1"/>
  <c r="L43" i="27"/>
  <c r="J43" i="27"/>
  <c r="I43" i="27"/>
  <c r="H43" i="27"/>
  <c r="G43" i="27"/>
  <c r="E43" i="27"/>
  <c r="D43" i="27"/>
  <c r="C43" i="27"/>
  <c r="B43" i="27"/>
  <c r="L42" i="27"/>
  <c r="J42" i="27"/>
  <c r="I42" i="27"/>
  <c r="H42" i="27"/>
  <c r="G42" i="27"/>
  <c r="E42" i="27"/>
  <c r="D42" i="27"/>
  <c r="C42" i="27"/>
  <c r="B42" i="27"/>
  <c r="L37" i="27"/>
  <c r="J37" i="27"/>
  <c r="H37" i="27"/>
  <c r="G37" i="27"/>
  <c r="E37" i="27"/>
  <c r="D37" i="27"/>
  <c r="C37" i="27"/>
  <c r="L36" i="27"/>
  <c r="J36" i="27"/>
  <c r="H36" i="27"/>
  <c r="G36" i="27"/>
  <c r="E36" i="27"/>
  <c r="D36" i="27"/>
  <c r="C36" i="27"/>
  <c r="I34" i="27"/>
  <c r="I37" i="27" s="1"/>
  <c r="B34" i="27"/>
  <c r="B37" i="27" s="1"/>
  <c r="L32" i="27"/>
  <c r="J32" i="27"/>
  <c r="H32" i="27"/>
  <c r="G32" i="27"/>
  <c r="E32" i="27"/>
  <c r="D32" i="27"/>
  <c r="C32" i="27"/>
  <c r="L31" i="27"/>
  <c r="J31" i="27"/>
  <c r="H31" i="27"/>
  <c r="G31" i="27"/>
  <c r="E31" i="27"/>
  <c r="D31" i="27"/>
  <c r="C31" i="27"/>
  <c r="I29" i="27"/>
  <c r="I32" i="27" s="1"/>
  <c r="B29" i="27"/>
  <c r="B32" i="27" s="1"/>
  <c r="L27" i="27"/>
  <c r="J27" i="27"/>
  <c r="I27" i="27"/>
  <c r="H27" i="27"/>
  <c r="G27" i="27"/>
  <c r="E27" i="27"/>
  <c r="D27" i="27"/>
  <c r="C27" i="27"/>
  <c r="B27" i="27"/>
  <c r="L26" i="27"/>
  <c r="J26" i="27"/>
  <c r="I26" i="27"/>
  <c r="H26" i="27"/>
  <c r="G26" i="27"/>
  <c r="E26" i="27"/>
  <c r="D26" i="27"/>
  <c r="C26" i="27"/>
  <c r="B26" i="27"/>
  <c r="L21" i="27"/>
  <c r="J21" i="27"/>
  <c r="I21" i="27"/>
  <c r="H21" i="27"/>
  <c r="G21" i="27"/>
  <c r="E21" i="27"/>
  <c r="D21" i="27"/>
  <c r="C21" i="27"/>
  <c r="B21" i="27"/>
  <c r="L18" i="27"/>
  <c r="J18" i="27"/>
  <c r="I18" i="27"/>
  <c r="H18" i="27"/>
  <c r="G18" i="27"/>
  <c r="E18" i="27"/>
  <c r="D18" i="27"/>
  <c r="C18" i="27"/>
  <c r="B18" i="27"/>
  <c r="L16" i="27"/>
  <c r="I16" i="27"/>
  <c r="H16" i="27"/>
  <c r="E16" i="27"/>
  <c r="D16" i="27"/>
  <c r="L15" i="27"/>
  <c r="I15" i="27"/>
  <c r="H15" i="27"/>
  <c r="G15" i="27"/>
  <c r="E15" i="27"/>
  <c r="D15" i="27"/>
  <c r="B15" i="27"/>
  <c r="C43" i="19"/>
  <c r="D43" i="19"/>
  <c r="E43" i="19"/>
  <c r="F43" i="19"/>
  <c r="G43" i="19"/>
  <c r="H43" i="19"/>
  <c r="I43" i="19"/>
  <c r="J43" i="19"/>
  <c r="K43" i="19"/>
  <c r="L43" i="19"/>
  <c r="C42" i="19"/>
  <c r="D42" i="19"/>
  <c r="E42" i="19"/>
  <c r="F42" i="19"/>
  <c r="G42" i="19"/>
  <c r="H42" i="19"/>
  <c r="I42" i="19"/>
  <c r="J42" i="19"/>
  <c r="K42" i="19"/>
  <c r="L42" i="19"/>
  <c r="D48" i="19"/>
  <c r="E48" i="19"/>
  <c r="F48" i="19"/>
  <c r="G48" i="19"/>
  <c r="H48" i="19"/>
  <c r="J48" i="19"/>
  <c r="K48" i="19"/>
  <c r="L48" i="19"/>
  <c r="C47" i="19"/>
  <c r="D47" i="19"/>
  <c r="E47" i="19"/>
  <c r="F47" i="19"/>
  <c r="G47" i="19"/>
  <c r="H47" i="19"/>
  <c r="J47" i="19"/>
  <c r="K47" i="19"/>
  <c r="L47" i="19"/>
  <c r="C53" i="19"/>
  <c r="E53" i="19"/>
  <c r="F53" i="19"/>
  <c r="H53" i="19"/>
  <c r="I53" i="19"/>
  <c r="J53" i="19"/>
  <c r="K53" i="19"/>
  <c r="L53" i="19"/>
  <c r="C52" i="19"/>
  <c r="E52" i="19"/>
  <c r="F52" i="19"/>
  <c r="H52" i="19"/>
  <c r="I52" i="19"/>
  <c r="J52" i="19"/>
  <c r="K52" i="19"/>
  <c r="L52" i="19"/>
  <c r="D53" i="25"/>
  <c r="E53" i="25"/>
  <c r="F53" i="25"/>
  <c r="G53" i="25"/>
  <c r="H53" i="25"/>
  <c r="J53" i="25"/>
  <c r="K53" i="25"/>
  <c r="L53" i="25"/>
  <c r="C52" i="25"/>
  <c r="D52" i="25"/>
  <c r="E52" i="25"/>
  <c r="F52" i="25"/>
  <c r="G52" i="25"/>
  <c r="H52" i="25"/>
  <c r="J52" i="25"/>
  <c r="K52" i="25"/>
  <c r="L52" i="25"/>
  <c r="D48" i="25"/>
  <c r="E48" i="25"/>
  <c r="F48" i="25"/>
  <c r="G48" i="25"/>
  <c r="H48" i="25"/>
  <c r="J48" i="25"/>
  <c r="K48" i="25"/>
  <c r="L48" i="25"/>
  <c r="C47" i="25"/>
  <c r="D47" i="25"/>
  <c r="E47" i="25"/>
  <c r="F47" i="25"/>
  <c r="G47" i="25"/>
  <c r="H47" i="25"/>
  <c r="J47" i="25"/>
  <c r="K47" i="25"/>
  <c r="L47" i="25"/>
  <c r="C43" i="25"/>
  <c r="D43" i="25"/>
  <c r="E43" i="25"/>
  <c r="F43" i="25"/>
  <c r="G43" i="25"/>
  <c r="H43" i="25"/>
  <c r="I43" i="25"/>
  <c r="J43" i="25"/>
  <c r="K43" i="25"/>
  <c r="L43" i="25"/>
  <c r="C42" i="25"/>
  <c r="D42" i="25"/>
  <c r="E42" i="25"/>
  <c r="F42" i="25"/>
  <c r="G42" i="25"/>
  <c r="H42" i="25"/>
  <c r="I42" i="25"/>
  <c r="J42" i="25"/>
  <c r="K42" i="25"/>
  <c r="L42" i="25"/>
  <c r="E37" i="19"/>
  <c r="E36" i="19"/>
  <c r="E32" i="19"/>
  <c r="E31" i="19"/>
  <c r="E27" i="19"/>
  <c r="E26" i="19"/>
  <c r="E21" i="19"/>
  <c r="E18" i="19"/>
  <c r="E16" i="19"/>
  <c r="E15" i="19"/>
  <c r="E32" i="24"/>
  <c r="E31" i="24"/>
  <c r="E32" i="25"/>
  <c r="E31" i="25"/>
  <c r="E37" i="25"/>
  <c r="E36" i="25"/>
  <c r="E27" i="25"/>
  <c r="E26" i="25"/>
  <c r="E21" i="25"/>
  <c r="E18" i="25"/>
  <c r="E16" i="25"/>
  <c r="E15" i="25"/>
  <c r="E68" i="24"/>
  <c r="E69" i="24"/>
  <c r="E63" i="24"/>
  <c r="E64" i="24"/>
  <c r="E58" i="24"/>
  <c r="E59" i="24"/>
  <c r="E53" i="24"/>
  <c r="E52" i="24"/>
  <c r="E48" i="24"/>
  <c r="E47" i="24"/>
  <c r="E43" i="24"/>
  <c r="E42" i="24"/>
  <c r="E37" i="24"/>
  <c r="E36" i="24"/>
  <c r="E27" i="24"/>
  <c r="E26" i="24"/>
  <c r="E21" i="24"/>
  <c r="E18" i="24"/>
  <c r="E16" i="24"/>
  <c r="E15" i="24"/>
  <c r="J21" i="24"/>
  <c r="J18" i="24"/>
  <c r="J69" i="24"/>
  <c r="J68" i="24"/>
  <c r="J64" i="24"/>
  <c r="J63" i="24"/>
  <c r="J59" i="24"/>
  <c r="J58" i="24"/>
  <c r="J53" i="24"/>
  <c r="J52" i="24"/>
  <c r="J48" i="24"/>
  <c r="J47" i="24"/>
  <c r="J43" i="24"/>
  <c r="J42" i="24"/>
  <c r="J37" i="24"/>
  <c r="J36" i="24"/>
  <c r="J32" i="24"/>
  <c r="J31" i="24"/>
  <c r="J27" i="24"/>
  <c r="J26" i="24"/>
  <c r="J37" i="25"/>
  <c r="J36" i="25"/>
  <c r="J32" i="25"/>
  <c r="J31" i="25"/>
  <c r="J27" i="25"/>
  <c r="J26" i="25"/>
  <c r="J21" i="25"/>
  <c r="J18" i="25"/>
  <c r="G50" i="19"/>
  <c r="G53" i="19" s="1"/>
  <c r="G34" i="19"/>
  <c r="G36" i="19" s="1"/>
  <c r="G15" i="19"/>
  <c r="G15" i="25"/>
  <c r="G32" i="19"/>
  <c r="G31" i="19"/>
  <c r="G27" i="19"/>
  <c r="G26" i="19"/>
  <c r="G21" i="19"/>
  <c r="G18" i="19"/>
  <c r="G37" i="25"/>
  <c r="G36" i="25"/>
  <c r="G32" i="25"/>
  <c r="G31" i="25"/>
  <c r="G27" i="25"/>
  <c r="G26" i="25"/>
  <c r="G21" i="25"/>
  <c r="G18" i="25"/>
  <c r="G69" i="24"/>
  <c r="G68" i="24"/>
  <c r="G64" i="24"/>
  <c r="G63" i="24"/>
  <c r="G59" i="24"/>
  <c r="G58" i="24"/>
  <c r="G53" i="24"/>
  <c r="G52" i="24"/>
  <c r="G48" i="24"/>
  <c r="G47" i="24"/>
  <c r="G43" i="24"/>
  <c r="G42" i="24"/>
  <c r="G37" i="24"/>
  <c r="G36" i="24"/>
  <c r="G32" i="24"/>
  <c r="G31" i="24"/>
  <c r="G27" i="24"/>
  <c r="G26" i="24"/>
  <c r="G21" i="24"/>
  <c r="G18" i="24"/>
  <c r="G15" i="24"/>
  <c r="B43" i="19"/>
  <c r="B42" i="19"/>
  <c r="B27" i="19"/>
  <c r="B26" i="19"/>
  <c r="B50" i="19"/>
  <c r="B53" i="19" s="1"/>
  <c r="B45" i="19"/>
  <c r="B48" i="19" s="1"/>
  <c r="B34" i="19"/>
  <c r="B37" i="19" s="1"/>
  <c r="B29" i="19"/>
  <c r="B31" i="19" s="1"/>
  <c r="B21" i="19"/>
  <c r="B18" i="19"/>
  <c r="B15" i="19"/>
  <c r="B29" i="24"/>
  <c r="C37" i="28" l="1"/>
  <c r="C69" i="28"/>
  <c r="B64" i="28"/>
  <c r="B68" i="28"/>
  <c r="K37" i="28"/>
  <c r="D64" i="28"/>
  <c r="I69" i="28"/>
  <c r="G36" i="33"/>
  <c r="B53" i="33"/>
  <c r="D32" i="31"/>
  <c r="C48" i="31"/>
  <c r="B53" i="30"/>
  <c r="G37" i="29"/>
  <c r="G52" i="29"/>
  <c r="H47" i="28"/>
  <c r="B36" i="28"/>
  <c r="J36" i="28"/>
  <c r="H63" i="28"/>
  <c r="K68" i="28"/>
  <c r="J68" i="28"/>
  <c r="D47" i="31"/>
  <c r="K37" i="31"/>
  <c r="J36" i="31"/>
  <c r="K52" i="29"/>
  <c r="J52" i="29"/>
  <c r="I53" i="31"/>
  <c r="I36" i="31"/>
  <c r="I36" i="29"/>
  <c r="H68" i="28"/>
  <c r="H37" i="28"/>
  <c r="G52" i="31"/>
  <c r="D52" i="29"/>
  <c r="H31" i="29"/>
  <c r="D37" i="29"/>
  <c r="B31" i="29"/>
  <c r="B48" i="29"/>
  <c r="H52" i="29"/>
  <c r="D48" i="29"/>
  <c r="D37" i="28"/>
  <c r="D36" i="28"/>
  <c r="C52" i="31"/>
  <c r="C31" i="31"/>
  <c r="G52" i="33"/>
  <c r="B31" i="33"/>
  <c r="I31" i="33"/>
  <c r="B36" i="33"/>
  <c r="I36" i="33"/>
  <c r="D36" i="33"/>
  <c r="B47" i="33"/>
  <c r="I47" i="33"/>
  <c r="I52" i="33"/>
  <c r="D52" i="33"/>
  <c r="G52" i="19"/>
  <c r="D36" i="31"/>
  <c r="B47" i="31"/>
  <c r="H47" i="31"/>
  <c r="B52" i="31"/>
  <c r="F52" i="31"/>
  <c r="F36" i="31"/>
  <c r="D52" i="31"/>
  <c r="B31" i="31"/>
  <c r="H31" i="31"/>
  <c r="B36" i="31"/>
  <c r="H36" i="31"/>
  <c r="C52" i="29"/>
  <c r="C48" i="29"/>
  <c r="C31" i="29"/>
  <c r="C53" i="28"/>
  <c r="C47" i="28"/>
  <c r="C31" i="28"/>
  <c r="B47" i="30"/>
  <c r="I47" i="30"/>
  <c r="B36" i="30"/>
  <c r="I36" i="30"/>
  <c r="I52" i="30"/>
  <c r="D36" i="30"/>
  <c r="B31" i="30"/>
  <c r="I31" i="30"/>
  <c r="D52" i="30"/>
  <c r="H47" i="29"/>
  <c r="B36" i="29"/>
  <c r="H36" i="29"/>
  <c r="B47" i="28"/>
  <c r="D53" i="28"/>
  <c r="B31" i="28"/>
  <c r="H31" i="28"/>
  <c r="B52" i="28"/>
  <c r="H52" i="28"/>
  <c r="B31" i="27"/>
  <c r="B36" i="27"/>
  <c r="I36" i="27"/>
  <c r="B52" i="27"/>
  <c r="I52" i="27"/>
  <c r="B68" i="27"/>
  <c r="I68" i="27"/>
  <c r="B47" i="27"/>
  <c r="I47" i="27"/>
  <c r="I31" i="27"/>
  <c r="B63" i="27"/>
  <c r="I63" i="27"/>
  <c r="B32" i="19"/>
  <c r="G37" i="19"/>
  <c r="B47" i="19"/>
  <c r="B52" i="19"/>
  <c r="B36" i="19"/>
  <c r="B50" i="25"/>
  <c r="B52" i="25" s="1"/>
  <c r="B45" i="25"/>
  <c r="B48" i="25" s="1"/>
  <c r="B43" i="25"/>
  <c r="B42" i="25"/>
  <c r="B34" i="25"/>
  <c r="B37" i="25" s="1"/>
  <c r="B29" i="25"/>
  <c r="B32" i="25" s="1"/>
  <c r="B27" i="25"/>
  <c r="B26" i="25"/>
  <c r="B21" i="25"/>
  <c r="B18" i="25"/>
  <c r="B15" i="25"/>
  <c r="B66" i="24"/>
  <c r="B69" i="24" s="1"/>
  <c r="B61" i="24"/>
  <c r="B64" i="24" s="1"/>
  <c r="B59" i="24"/>
  <c r="B58" i="24"/>
  <c r="B50" i="24"/>
  <c r="B53" i="24" s="1"/>
  <c r="D69" i="28" l="1"/>
  <c r="D68" i="28"/>
  <c r="B52" i="24"/>
  <c r="B53" i="25"/>
  <c r="B47" i="25"/>
  <c r="B36" i="25"/>
  <c r="B31" i="25"/>
  <c r="B68" i="24"/>
  <c r="B63" i="24"/>
  <c r="B45" i="24"/>
  <c r="B48" i="24" s="1"/>
  <c r="B43" i="24"/>
  <c r="B42" i="24"/>
  <c r="B34" i="24"/>
  <c r="B47" i="24" l="1"/>
  <c r="B37" i="24"/>
  <c r="B32" i="24"/>
  <c r="B31" i="24"/>
  <c r="B27" i="24"/>
  <c r="B26" i="24"/>
  <c r="B21" i="24"/>
  <c r="B18" i="24"/>
  <c r="B15" i="24"/>
  <c r="D34" i="24"/>
  <c r="B36" i="24" l="1"/>
  <c r="D50" i="19"/>
  <c r="D34" i="19"/>
  <c r="D37" i="19" s="1"/>
  <c r="D66" i="24"/>
  <c r="D69" i="24" s="1"/>
  <c r="D50" i="24"/>
  <c r="D53" i="24" s="1"/>
  <c r="D37" i="24"/>
  <c r="D32" i="19"/>
  <c r="D31" i="19"/>
  <c r="D27" i="19"/>
  <c r="D26" i="19"/>
  <c r="D21" i="19"/>
  <c r="D18" i="19"/>
  <c r="D16" i="19"/>
  <c r="D15" i="19"/>
  <c r="D64" i="24"/>
  <c r="D63" i="24"/>
  <c r="D59" i="24"/>
  <c r="D58" i="24"/>
  <c r="D36" i="24"/>
  <c r="D48" i="24"/>
  <c r="D47" i="24"/>
  <c r="D43" i="24"/>
  <c r="D42" i="24"/>
  <c r="D32" i="24"/>
  <c r="D31" i="24"/>
  <c r="D27" i="24"/>
  <c r="D26" i="24"/>
  <c r="D21" i="24"/>
  <c r="D18" i="24"/>
  <c r="D16" i="24"/>
  <c r="D15" i="24"/>
  <c r="D27" i="25"/>
  <c r="D26" i="25"/>
  <c r="D32" i="25"/>
  <c r="D31" i="25"/>
  <c r="D37" i="25"/>
  <c r="D36" i="25"/>
  <c r="D21" i="25"/>
  <c r="D18" i="25"/>
  <c r="D16" i="25"/>
  <c r="D15" i="25"/>
  <c r="L18" i="25"/>
  <c r="C48" i="19"/>
  <c r="C37" i="19"/>
  <c r="C36" i="19"/>
  <c r="C32" i="19"/>
  <c r="C31" i="19"/>
  <c r="C27" i="19"/>
  <c r="C26" i="19"/>
  <c r="C21" i="19"/>
  <c r="C18" i="19"/>
  <c r="C53" i="25"/>
  <c r="C48" i="25"/>
  <c r="C37" i="25"/>
  <c r="C36" i="25"/>
  <c r="C32" i="25"/>
  <c r="C31" i="25"/>
  <c r="C27" i="25"/>
  <c r="C26" i="25"/>
  <c r="C21" i="25"/>
  <c r="C18" i="25"/>
  <c r="C69" i="24"/>
  <c r="C68" i="24"/>
  <c r="C64" i="24"/>
  <c r="C63" i="24"/>
  <c r="C59" i="24"/>
  <c r="C58" i="24"/>
  <c r="C53" i="24"/>
  <c r="C52" i="24"/>
  <c r="C48" i="24"/>
  <c r="C47" i="24"/>
  <c r="C43" i="24"/>
  <c r="C42" i="24"/>
  <c r="C37" i="24"/>
  <c r="C36" i="24"/>
  <c r="C32" i="24"/>
  <c r="C31" i="24"/>
  <c r="C26" i="24"/>
  <c r="C27" i="24"/>
  <c r="C21" i="24"/>
  <c r="K37" i="19"/>
  <c r="K36" i="19"/>
  <c r="K32" i="19"/>
  <c r="K31" i="19"/>
  <c r="K27" i="19"/>
  <c r="K26" i="19"/>
  <c r="K21" i="19"/>
  <c r="K18" i="19"/>
  <c r="K16" i="19"/>
  <c r="K15" i="19"/>
  <c r="K37" i="25"/>
  <c r="K36" i="25"/>
  <c r="K32" i="25"/>
  <c r="K31" i="25"/>
  <c r="K27" i="25"/>
  <c r="K26" i="25"/>
  <c r="K21" i="25"/>
  <c r="K18" i="25"/>
  <c r="K16" i="25"/>
  <c r="K15" i="25"/>
  <c r="K69" i="24"/>
  <c r="K68" i="24"/>
  <c r="K64" i="24"/>
  <c r="K63" i="24"/>
  <c r="K59" i="24"/>
  <c r="K58" i="24"/>
  <c r="K53" i="24"/>
  <c r="K52" i="24"/>
  <c r="K48" i="24"/>
  <c r="K47" i="24"/>
  <c r="K43" i="24"/>
  <c r="K42" i="24"/>
  <c r="K37" i="24"/>
  <c r="K36" i="24"/>
  <c r="K32" i="24"/>
  <c r="K31" i="24"/>
  <c r="K27" i="24"/>
  <c r="K26" i="24"/>
  <c r="K21" i="24"/>
  <c r="K18" i="24"/>
  <c r="K16" i="24"/>
  <c r="K15" i="24"/>
  <c r="L43" i="24"/>
  <c r="F37" i="19"/>
  <c r="F36" i="19"/>
  <c r="F32" i="19"/>
  <c r="F31" i="19"/>
  <c r="F27" i="19"/>
  <c r="F26" i="19"/>
  <c r="F21" i="19"/>
  <c r="F18" i="19"/>
  <c r="F37" i="25"/>
  <c r="F36" i="25"/>
  <c r="F32" i="25"/>
  <c r="F31" i="25"/>
  <c r="F27" i="25"/>
  <c r="F26" i="25"/>
  <c r="F21" i="25"/>
  <c r="F18" i="25"/>
  <c r="F15" i="25"/>
  <c r="F69" i="24"/>
  <c r="F68" i="24"/>
  <c r="F64" i="24"/>
  <c r="F63" i="24"/>
  <c r="F59" i="24"/>
  <c r="F58" i="24"/>
  <c r="F53" i="24"/>
  <c r="F52" i="24"/>
  <c r="F48" i="24"/>
  <c r="F47" i="24"/>
  <c r="F43" i="24"/>
  <c r="F42" i="24"/>
  <c r="F37" i="24"/>
  <c r="F36" i="24"/>
  <c r="F32" i="24"/>
  <c r="F31" i="24"/>
  <c r="F27" i="24"/>
  <c r="F26" i="24"/>
  <c r="F21" i="24"/>
  <c r="F18" i="24"/>
  <c r="F15" i="24"/>
  <c r="J37" i="19"/>
  <c r="J36" i="19"/>
  <c r="J32" i="19"/>
  <c r="J31" i="19"/>
  <c r="J27" i="19"/>
  <c r="J26" i="19"/>
  <c r="J21" i="19"/>
  <c r="J18" i="19"/>
  <c r="I26" i="25"/>
  <c r="H68" i="24"/>
  <c r="H69" i="24"/>
  <c r="H63" i="24"/>
  <c r="H64" i="24"/>
  <c r="H58" i="24"/>
  <c r="H59" i="24"/>
  <c r="H52" i="24"/>
  <c r="H53" i="24"/>
  <c r="H47" i="24"/>
  <c r="H48" i="24"/>
  <c r="H42" i="24"/>
  <c r="H43" i="24"/>
  <c r="H36" i="24"/>
  <c r="H37" i="24"/>
  <c r="H31" i="24"/>
  <c r="H32" i="24"/>
  <c r="H26" i="24"/>
  <c r="H27" i="24"/>
  <c r="H21" i="24"/>
  <c r="H18" i="24"/>
  <c r="H15" i="24"/>
  <c r="H16" i="24"/>
  <c r="H36" i="25"/>
  <c r="H37" i="25"/>
  <c r="H31" i="25"/>
  <c r="H32" i="25"/>
  <c r="H26" i="25"/>
  <c r="H27" i="25"/>
  <c r="H21" i="25"/>
  <c r="H18" i="25"/>
  <c r="H15" i="25"/>
  <c r="H16" i="25"/>
  <c r="H36" i="19"/>
  <c r="H37" i="19"/>
  <c r="H31" i="19"/>
  <c r="H32" i="19"/>
  <c r="H26" i="19"/>
  <c r="H27" i="19"/>
  <c r="H21" i="19"/>
  <c r="H18" i="19"/>
  <c r="H15" i="19"/>
  <c r="H16" i="19"/>
  <c r="D53" i="19" l="1"/>
  <c r="D52" i="19"/>
  <c r="D52" i="24"/>
  <c r="D36" i="19"/>
  <c r="D68" i="24"/>
  <c r="I50" i="25" l="1"/>
  <c r="I45" i="25"/>
  <c r="I34" i="25"/>
  <c r="I29" i="25"/>
  <c r="I31" i="25" s="1"/>
  <c r="L42" i="24"/>
  <c r="L36" i="24"/>
  <c r="L37" i="24"/>
  <c r="L31" i="24"/>
  <c r="L32" i="24"/>
  <c r="I52" i="25" l="1"/>
  <c r="I53" i="25"/>
  <c r="I48" i="25"/>
  <c r="I47" i="25"/>
  <c r="L37" i="25"/>
  <c r="L36" i="25"/>
  <c r="I36" i="25"/>
  <c r="L32" i="25"/>
  <c r="L31" i="25"/>
  <c r="L27" i="25"/>
  <c r="I27" i="25"/>
  <c r="L26" i="25"/>
  <c r="L21" i="25"/>
  <c r="I21" i="25"/>
  <c r="I18" i="25"/>
  <c r="L16" i="25"/>
  <c r="I16" i="25"/>
  <c r="L15" i="25"/>
  <c r="I15" i="25"/>
  <c r="I37" i="25" l="1"/>
  <c r="I32" i="25"/>
  <c r="I45" i="19"/>
  <c r="I34" i="19"/>
  <c r="I29" i="19"/>
  <c r="I31" i="19" s="1"/>
  <c r="I66" i="24"/>
  <c r="I61" i="24"/>
  <c r="I50" i="24"/>
  <c r="I45" i="24"/>
  <c r="I34" i="24"/>
  <c r="I37" i="24" s="1"/>
  <c r="I29" i="24"/>
  <c r="I32" i="24" s="1"/>
  <c r="I48" i="19" l="1"/>
  <c r="I47" i="19"/>
  <c r="I31" i="24"/>
  <c r="I36" i="24"/>
  <c r="I27" i="24"/>
  <c r="L27" i="24"/>
  <c r="I26" i="24"/>
  <c r="L26" i="24"/>
  <c r="I37" i="19" l="1"/>
  <c r="L37" i="19"/>
  <c r="L32" i="19"/>
  <c r="I53" i="24" l="1"/>
  <c r="L53" i="24"/>
  <c r="I69" i="24"/>
  <c r="L69" i="24"/>
  <c r="L68" i="24" l="1"/>
  <c r="I68" i="24"/>
  <c r="I64" i="24"/>
  <c r="L59" i="24"/>
  <c r="I59" i="24"/>
  <c r="L58" i="24"/>
  <c r="I58" i="24"/>
  <c r="L52" i="24"/>
  <c r="I52" i="24"/>
  <c r="L48" i="24"/>
  <c r="I47" i="24"/>
  <c r="I43" i="24"/>
  <c r="I42" i="24"/>
  <c r="L21" i="24"/>
  <c r="I21" i="24"/>
  <c r="L18" i="24"/>
  <c r="I18" i="24"/>
  <c r="L16" i="24"/>
  <c r="I16" i="24"/>
  <c r="L15" i="24"/>
  <c r="I15" i="24"/>
  <c r="I48" i="24" l="1"/>
  <c r="L63" i="24"/>
  <c r="L64" i="24"/>
  <c r="I63" i="24"/>
  <c r="L47" i="24"/>
  <c r="I16" i="19" l="1"/>
  <c r="L16" i="19"/>
  <c r="L18" i="19" l="1"/>
  <c r="I18" i="19"/>
  <c r="I21" i="19" l="1"/>
  <c r="I32" i="19" l="1"/>
  <c r="I36" i="19"/>
  <c r="L36" i="19"/>
  <c r="L31" i="19"/>
  <c r="L27" i="19" l="1"/>
  <c r="L26" i="19"/>
  <c r="L21" i="19"/>
  <c r="L15" i="19"/>
  <c r="I27" i="19"/>
  <c r="I26" i="19"/>
  <c r="I15" i="19"/>
</calcChain>
</file>

<file path=xl/sharedStrings.xml><?xml version="1.0" encoding="utf-8"?>
<sst xmlns="http://schemas.openxmlformats.org/spreadsheetml/2006/main" count="1855" uniqueCount="496">
  <si>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</si>
  <si>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</si>
  <si>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</si>
  <si>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</si>
  <si>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</si>
  <si>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Features and Comparison
Strictly for PIAS' FA Representatives reference only
(Not for circulation to Prospects or Clients)</t>
  </si>
  <si>
    <t>Manulife</t>
  </si>
  <si>
    <t>ANB</t>
  </si>
  <si>
    <t>ALB</t>
  </si>
  <si>
    <t>Policy Term</t>
  </si>
  <si>
    <t>Premium Term</t>
  </si>
  <si>
    <t>Coverage</t>
  </si>
  <si>
    <t>Currency</t>
  </si>
  <si>
    <t>SGD</t>
  </si>
  <si>
    <t>Underwriting</t>
  </si>
  <si>
    <t>STRICTLY FOR PIAS' FA REPRESENTATIVES ONLY 
(NOT FOR CIRCULATION TO PROSPECTS OR CLIENTS)</t>
  </si>
  <si>
    <t>Entry Age</t>
  </si>
  <si>
    <t>Payout commence</t>
  </si>
  <si>
    <t>Yearly Income (Guaranteed)</t>
  </si>
  <si>
    <t>Illustrated Investment Rate of Return</t>
  </si>
  <si>
    <t>Company</t>
  </si>
  <si>
    <t>Plan name</t>
  </si>
  <si>
    <t>Disclaimer: All references made are based on PIAS suite of products in this category only.</t>
  </si>
  <si>
    <t xml:space="preserve">
Paid out Mode        </t>
  </si>
  <si>
    <t xml:space="preserve">Sum Assured </t>
  </si>
  <si>
    <t>Breakeven Year (Guaranteed Yearly Income + Guaranteed Surrender Value)</t>
  </si>
  <si>
    <r>
      <t>Yearly Income (Guaranteed and non-guaranteed</t>
    </r>
    <r>
      <rPr>
        <sz val="12"/>
        <color rgb="FFFF0000"/>
        <rFont val="Calibri"/>
        <family val="2"/>
        <scheme val="minor"/>
      </rPr>
      <t xml:space="preserve"> </t>
    </r>
    <r>
      <rPr>
        <sz val="12"/>
        <rFont val="Calibri"/>
        <family val="2"/>
        <scheme val="minor"/>
      </rPr>
      <t>)</t>
    </r>
  </si>
  <si>
    <t>NA</t>
  </si>
  <si>
    <t xml:space="preserve">Manulife </t>
  </si>
  <si>
    <t>Single Premium</t>
  </si>
  <si>
    <t>Guaranteed Death Benefit @ Inception</t>
  </si>
  <si>
    <t>Guaranteed Yearly Income/Single Premium</t>
  </si>
  <si>
    <t>Guaranteed Death Benefit/Single Premium</t>
  </si>
  <si>
    <t>A/Single Premium</t>
  </si>
  <si>
    <t>C/Single Premium</t>
  </si>
  <si>
    <t>ANB6</t>
  </si>
  <si>
    <t>ALB5</t>
  </si>
  <si>
    <t>B/Single Premium</t>
  </si>
  <si>
    <t>Death Benefit</t>
  </si>
  <si>
    <t>Guaranteed Death Benefit (A)</t>
  </si>
  <si>
    <t>Total Death Benefit (B)</t>
  </si>
  <si>
    <t>Total Guaranteed Yearly Income (C)</t>
  </si>
  <si>
    <t>Total Surrender Value (F)</t>
  </si>
  <si>
    <t>E/Single Premium</t>
  </si>
  <si>
    <t>Whole of Life</t>
  </si>
  <si>
    <t>Payout Frequency</t>
  </si>
  <si>
    <t xml:space="preserve">Yearly or Accumulated </t>
  </si>
  <si>
    <t>Payout Commence</t>
  </si>
  <si>
    <t>GIO</t>
  </si>
  <si>
    <t>Minimum Monthly Income</t>
  </si>
  <si>
    <t>Maximum Monthly Income</t>
  </si>
  <si>
    <t>USPs</t>
  </si>
  <si>
    <t>Male/Female, non smoker  ANB6/ALB5</t>
  </si>
  <si>
    <t>Up till age 120</t>
  </si>
  <si>
    <t>Yes</t>
  </si>
  <si>
    <t>No</t>
  </si>
  <si>
    <t>ANB/ALB</t>
  </si>
  <si>
    <t>Insurer</t>
  </si>
  <si>
    <t>Product Name</t>
  </si>
  <si>
    <t>Total Yearly Income/Single Premium</t>
  </si>
  <si>
    <t>China Taiping</t>
  </si>
  <si>
    <t xml:space="preserve"> </t>
  </si>
  <si>
    <t>Premium Financing Facility</t>
  </si>
  <si>
    <t xml:space="preserve">Not available </t>
  </si>
  <si>
    <t>Signature Income (III) SGD</t>
  </si>
  <si>
    <t>Non-guaranteed Accumulation rate</t>
  </si>
  <si>
    <t>Non-guaranteed Yearly Income (% of Single Premium @IRR 4.25%)</t>
  </si>
  <si>
    <t>Subject to minimum single premium: $100,000</t>
  </si>
  <si>
    <t>As long as it fulfils the minimum policy size (sum insured or monthly income)</t>
  </si>
  <si>
    <t>Guaranteed Surrender Value (D)</t>
  </si>
  <si>
    <t>C+D/Single Premium</t>
  </si>
  <si>
    <t>E+F/Single Premium</t>
  </si>
  <si>
    <t xml:space="preserve">Total Yearly Income, Including Non-guaranteed (E) </t>
  </si>
  <si>
    <t>Available (CIMB)</t>
  </si>
  <si>
    <t>Available (CIMB and RHB)</t>
  </si>
  <si>
    <t>Guaranteed Payouts: Yearly Income + Surrender Value</t>
  </si>
  <si>
    <t>Total Payouts (Including Non-Guaranteed): Yearly Income + Surrender Value</t>
  </si>
  <si>
    <t>5th</t>
  </si>
  <si>
    <t>Male/Female, non smoker  ANB56/ALB55</t>
  </si>
  <si>
    <t xml:space="preserve">
ANB56
</t>
  </si>
  <si>
    <t>ALB55</t>
  </si>
  <si>
    <t>@ Age 86 (ANB), Age 85 (ALB) / Policy Year 30</t>
  </si>
  <si>
    <t>@ Age 81 (ANB), Age 80 (ALB) / Policy Year 75</t>
  </si>
  <si>
    <t>21st</t>
  </si>
  <si>
    <t>@ Age 66 (ANB), Age 65 (ALB) / Policy Year 10</t>
  </si>
  <si>
    <t xml:space="preserve">21st </t>
  </si>
  <si>
    <t>@ Age 41 (ANB), Age 40 (ALB) / Policy Year 35</t>
  </si>
  <si>
    <t>@ Age 61 (ANB), Age 60 (ALB) / Policy Year 55</t>
  </si>
  <si>
    <t>-</t>
  </si>
  <si>
    <t>19th</t>
  </si>
  <si>
    <t>Male/Female, non smoker  ANB 41/ALB 40</t>
  </si>
  <si>
    <t>ANB 41</t>
  </si>
  <si>
    <t>ALB 40</t>
  </si>
  <si>
    <t>5th policy year/ALB60</t>
  </si>
  <si>
    <t>5th policy year/ALB10</t>
  </si>
  <si>
    <t>5th policy year/ALB 45</t>
  </si>
  <si>
    <t>@ Age 61 (ANB), Age 60 (ALB) / Policy Year 20</t>
  </si>
  <si>
    <t>@ Age 81 (ANB), Age 80 (ALB) / Policy Year 40</t>
  </si>
  <si>
    <t>Entry Age, Life Insured (Min-Max)</t>
  </si>
  <si>
    <t>Maturity Benefit</t>
  </si>
  <si>
    <t>Etiqa</t>
  </si>
  <si>
    <t>Esteem Eternity II</t>
  </si>
  <si>
    <t>From the end of the 2nd policy anniversary onwards (start of the 3rd policy year).</t>
  </si>
  <si>
    <t>3rd policy year/ANB59</t>
  </si>
  <si>
    <t>42nd</t>
  </si>
  <si>
    <t>Year 1 Guaranteed Surrender Cash Value</t>
  </si>
  <si>
    <t>Year 1 Guaranteed 
Surrender Cash Value</t>
  </si>
  <si>
    <t xml:space="preserve">Year 1 Guaranteed Surrender Cash Value /Single Premium </t>
  </si>
  <si>
    <t>SRS Option</t>
  </si>
  <si>
    <t>Entry Age, Policy Owner (Min-Max)</t>
  </si>
  <si>
    <t>Income Type</t>
  </si>
  <si>
    <t>Level (until policy maturity)</t>
  </si>
  <si>
    <t>Subject to minimum sum assured: $25,000</t>
  </si>
  <si>
    <t xml:space="preserve">Subject to single premium: $6 million
</t>
  </si>
  <si>
    <t xml:space="preserve">Subject to minimum single premium: $100,000
</t>
  </si>
  <si>
    <t>The higher of:
(i)101% of total premiums paid for the basic plan up to the date of death (excluding advance premiums and premiums for supplementary benefits (if any) attached to the policy); or
(ii) The guaranteed cash surrender value;
Plus
(i) Terminal Bonus (if any) and 
(ii)Any re-invested Yearly Income and Booster Bonus with non-guaranteed interest (if any and not previously withdrawn).
less any amount owing to  Singlife</t>
  </si>
  <si>
    <t xml:space="preserve">Capital Guaranteed </t>
  </si>
  <si>
    <t>Yes, before policy maturity.</t>
  </si>
  <si>
    <t>Change in Sum Assured / Single Premium/
Monthly Income</t>
  </si>
  <si>
    <t>Not allowed</t>
  </si>
  <si>
    <t>Reduction in monthly income is allowed, subject to a remaining single premium of S$100k</t>
  </si>
  <si>
    <t>Minimum  Single Premium</t>
  </si>
  <si>
    <r>
      <t>Total Yearly Income (Guaranteed and non-guaranteed</t>
    </r>
    <r>
      <rPr>
        <sz val="12"/>
        <color rgb="FFFF0000"/>
        <rFont val="Calibri"/>
        <family val="2"/>
        <scheme val="minor"/>
      </rPr>
      <t xml:space="preserve"> </t>
    </r>
    <r>
      <rPr>
        <sz val="12"/>
        <rFont val="Calibri"/>
        <family val="2"/>
        <scheme val="minor"/>
      </rPr>
      <t>)</t>
    </r>
  </si>
  <si>
    <t xml:space="preserve">Guaranteed Yearly Income </t>
  </si>
  <si>
    <t>18th</t>
  </si>
  <si>
    <t xml:space="preserve">18th </t>
  </si>
  <si>
    <t>2nd policy year/ALB57</t>
  </si>
  <si>
    <t>Guaranteed Yearly Income/
Single Premium</t>
  </si>
  <si>
    <t>Total Yearly Income/
Single Premium</t>
  </si>
  <si>
    <t>ANB 17 - 99</t>
  </si>
  <si>
    <t>ALB 16-99</t>
  </si>
  <si>
    <t>Cash:
ANB 1 – 70
SRS:
ANB 19 - 70</t>
  </si>
  <si>
    <t>ALB 0 (15 days old) - 70</t>
  </si>
  <si>
    <t>ALB 0 - 75</t>
  </si>
  <si>
    <t>Death / TI</t>
  </si>
  <si>
    <t>Death</t>
  </si>
  <si>
    <t>The sum of:
(i)101% of single premium plus any performance bonuses; and
(ii)Any monthly income deposited with Etiqa plus its non-guaranteed interest
Less any amounts owing to Etiqa.</t>
  </si>
  <si>
    <t xml:space="preserve">Monthly Payout:
- From 37th policy monthiversary 
(start of 4th policy year)
- From 49th policy monthiversary 
(start of 5th policy year)
</t>
  </si>
  <si>
    <r>
      <t>The sum of:
(i)</t>
    </r>
    <r>
      <rPr>
        <b/>
        <sz val="10"/>
        <color rgb="FF0000CC"/>
        <rFont val="Calibri"/>
        <family val="2"/>
        <scheme val="minor"/>
      </rPr>
      <t>105%</t>
    </r>
    <r>
      <rPr>
        <sz val="10"/>
        <color rgb="FF000000"/>
        <rFont val="Calibri"/>
        <family val="2"/>
        <scheme val="minor"/>
      </rPr>
      <t xml:space="preserve"> of single premium and
(ii) Non-guaranteed claim bonus (if any),
Less any amount owing to Manulife.
Any monthly income left to accumulate with Manulife will also be paid out with interest (if any).</t>
    </r>
  </si>
  <si>
    <t>ANB 17 - 75</t>
  </si>
  <si>
    <t xml:space="preserve">ANB 1 – 70 
</t>
  </si>
  <si>
    <t>ALB 16 - 99</t>
  </si>
  <si>
    <t>ALB 0 (15 Days Old) - 70</t>
  </si>
  <si>
    <r>
      <rPr>
        <b/>
        <sz val="10"/>
        <color rgb="FF0000CC"/>
        <rFont val="Calibri"/>
        <family val="2"/>
        <scheme val="minor"/>
      </rPr>
      <t>Monthly</t>
    </r>
    <r>
      <rPr>
        <sz val="10"/>
        <color rgb="FF000000"/>
        <rFont val="Calibri"/>
        <family val="2"/>
        <scheme val="minor"/>
      </rPr>
      <t xml:space="preserve"> or Accumulated </t>
    </r>
  </si>
  <si>
    <r>
      <rPr>
        <b/>
        <sz val="10"/>
        <color rgb="FF0000CC"/>
        <rFont val="Calibri"/>
        <family val="2"/>
        <scheme val="minor"/>
      </rPr>
      <t>Monthly</t>
    </r>
    <r>
      <rPr>
        <sz val="10"/>
        <rFont val="Calibri"/>
        <family val="2"/>
        <scheme val="minor"/>
      </rPr>
      <t xml:space="preserve"> or Accumulated </t>
    </r>
  </si>
  <si>
    <t>Cash Booster/Booster Bonus</t>
  </si>
  <si>
    <t>Increase in Sum Assured: 
Allowed during the 1st policy year only
Reduction in Sum Assured:
Allowed, anytime.</t>
  </si>
  <si>
    <t>Singlife</t>
  </si>
  <si>
    <t>Income</t>
  </si>
  <si>
    <t xml:space="preserve">Infinite Elite Harvest (USD) </t>
  </si>
  <si>
    <t xml:space="preserve">ANB 1 (at least 30 days after birth) - 70 </t>
  </si>
  <si>
    <t>ANB 19 - 70</t>
  </si>
  <si>
    <t>US$150,000</t>
  </si>
  <si>
    <t>USD</t>
  </si>
  <si>
    <t>3.25% p.a. @ IRR 4.99%</t>
  </si>
  <si>
    <t>3% @ IRR 4.25%</t>
  </si>
  <si>
    <t>1.2% @ IRR 4.25%</t>
  </si>
  <si>
    <t>Subject to minimum single premium: US$150,000</t>
  </si>
  <si>
    <t xml:space="preserve">Subject to maximum single premium: 
US$5 million 
</t>
  </si>
  <si>
    <t>Yes, before end of policy maturity</t>
  </si>
  <si>
    <t>Increase in Monthly Income: 
Allowed during free-look period via Alteration-from-Inception (AFI) (Not allowed if premium financing is in place for the policy)
Reduction in Monthly Income:
- May be decreased at any time after the policy is incepted, but must satisfy the minimum premium requirements
- Not allowed if premium financing is in place for the policy
Change in monthly income payout frequency: Not allowed. Default is monthly payout frequency</t>
  </si>
  <si>
    <t xml:space="preserve">From the 37th monthiversary 
(start of 4th policy year) </t>
  </si>
  <si>
    <t xml:space="preserve">Subject to maximum single premium:  $10 million 
</t>
  </si>
  <si>
    <t>ALB16 &amp; above</t>
  </si>
  <si>
    <t>Increase of single premium is allowed before policy is incepted.
Decrease of single premium is allowed but it will be classified as partial withdrawal.</t>
  </si>
  <si>
    <t>ANB 1 - 70</t>
  </si>
  <si>
    <t>Increase in Sum Assured: 
Allowed before policy is incepted
Reduction in Sum Assured:
Allowed before policy is incepted</t>
  </si>
  <si>
    <t>Start of 4th policy year /
ALB44</t>
  </si>
  <si>
    <t>Based on MNS. ALB29/ ANB30, Singapore Residency, Single Premium USD$150,000, Payout mode</t>
  </si>
  <si>
    <t>Start of 4th policy year /
ALB9</t>
  </si>
  <si>
    <t>Start of 4th policy year /
ALB59</t>
  </si>
  <si>
    <t>ANB1</t>
  </si>
  <si>
    <t>ALB0</t>
  </si>
  <si>
    <t>Single Premium (USD)</t>
  </si>
  <si>
    <r>
      <t>Guaranteed – 4</t>
    </r>
    <r>
      <rPr>
        <vertAlign val="superscript"/>
        <sz val="11"/>
        <color rgb="FF000000"/>
        <rFont val="Arial"/>
        <family val="2"/>
      </rPr>
      <t>th</t>
    </r>
    <r>
      <rPr>
        <sz val="11"/>
        <color rgb="FF000000"/>
        <rFont val="Arial"/>
        <family val="2"/>
      </rPr>
      <t xml:space="preserve"> policy year/ANB5</t>
    </r>
  </si>
  <si>
    <r>
      <t>Non-guaranteed - 5</t>
    </r>
    <r>
      <rPr>
        <vertAlign val="superscript"/>
        <sz val="11"/>
        <color rgb="FF000000"/>
        <rFont val="Arial"/>
        <family val="2"/>
      </rPr>
      <t>th</t>
    </r>
    <r>
      <rPr>
        <sz val="11"/>
        <color rgb="FF000000"/>
        <rFont val="Arial"/>
        <family val="2"/>
      </rPr>
      <t xml:space="preserve"> policy year/ANB6</t>
    </r>
  </si>
  <si>
    <t>4th policy year/ALB4</t>
  </si>
  <si>
    <t>Total Yearly Income (Guaranteed and non-guaranteed)</t>
  </si>
  <si>
    <t>15th</t>
  </si>
  <si>
    <t>Guaranteed Death Benefit</t>
  </si>
  <si>
    <t>Total Death Benefit</t>
  </si>
  <si>
    <t>Total Death Benefit/Single Premium</t>
  </si>
  <si>
    <t>Total Guaranteed Yearly Income</t>
  </si>
  <si>
    <t>Guaranteed Surrender Value</t>
  </si>
  <si>
    <t>Total Guaranteed Yearly Income/Single Premium</t>
  </si>
  <si>
    <t>(Total guaranteed yearly income + Guaranteed Surrender Value)/Single Premium</t>
  </si>
  <si>
    <t>Total Yearly Income, Including Non-guaranteed</t>
  </si>
  <si>
    <t>Total Surrender Value</t>
  </si>
  <si>
    <t>(Total Yearly Income + Surrender Value)/Single Premium</t>
  </si>
  <si>
    <t>@ Age 81 (ANB), Age 80 (ALB) / Policy Year 80</t>
  </si>
  <si>
    <t>@ Age 41 (ANB), Age 40 (ALB) / Policy Year 40</t>
  </si>
  <si>
    <t>@ Age 61 (ANB), Age 60 (ALB) / Policy Year 60</t>
  </si>
  <si>
    <t>ANB30</t>
  </si>
  <si>
    <t>ALB29</t>
  </si>
  <si>
    <t>Guaranteed – 4th policy year/ANB34</t>
  </si>
  <si>
    <t>Non-guaranteed - 5th policy year/ANB35</t>
  </si>
  <si>
    <t>4th policy year/ALB33</t>
  </si>
  <si>
    <t>@ Age 41 (ANB), Age 40 (ALB) / Policy Year 11</t>
  </si>
  <si>
    <t>@ Age 61 (ANB), Age 60 (ALB) / Policy Year 31</t>
  </si>
  <si>
    <t>@ Age 81 (ANB), Age 80 (ALB) / Policy Year 51</t>
  </si>
  <si>
    <t>SGD Plans</t>
  </si>
  <si>
    <t>USD Plans</t>
  </si>
  <si>
    <t xml:space="preserve">SGD </t>
  </si>
  <si>
    <t xml:space="preserve">3% @ IRR 4.25%
</t>
  </si>
  <si>
    <t>US$300</t>
  </si>
  <si>
    <t>US$500,000</t>
  </si>
  <si>
    <t>Guaranteed Yearly Income/ Single Premium</t>
  </si>
  <si>
    <t>Total Yearly Income/ Single Premium</t>
  </si>
  <si>
    <t>Based on MNS, ALB 0/ANB 1, Singapore Residency, Single Premium approximately USD$1,000,000, Payout mode</t>
  </si>
  <si>
    <t>Guaranteed MCB:
From 3rd Policy Anniversary (start of 4th policy year)
Non-Guaranteed MCB:
From 4th Policy Anniversary (start of 5th policy year)</t>
  </si>
  <si>
    <t>Singlife Legacy Income</t>
  </si>
  <si>
    <t>Wealth Plus Solitaire</t>
  </si>
  <si>
    <t>100 years</t>
  </si>
  <si>
    <t>Subject to minimum sum assured of $25,000</t>
  </si>
  <si>
    <t>Cash: 
ANB 1 – 70 
SRS: 
ANB 19 - 70</t>
  </si>
  <si>
    <t>The higher of: 
(i)101% of total premiums paid for the basic plan up to the date of death (excluding advance premiums and premiums for supplementary benefits (if any) attached to the policy) less
the total Guaranteed Income paid out to date; or
(ii) The guaranteed cash surrender value; 
Plus 
(i) Terminal Bonus (if any) and (ii)Any re-invested Guaranteed Income and Cash Bonus (if any) with non-guaranteed interest (if any and not previously withdrawn). 
less any amount owing to Singlife</t>
  </si>
  <si>
    <t>From end of policy month 13</t>
  </si>
  <si>
    <t>Policy Year 2 &amp; 3: 
1.35% of SP
Policy Year 4 to 16: 
2.16% of SP
Policy Year 17 onwards:
2.38% of SP</t>
  </si>
  <si>
    <t>Subject to single premium: $6 million</t>
  </si>
  <si>
    <t>Increase in Sum Assured: Allowed during the 1st policy year only 
Reduction in Sum Assured: Allowed, anytime.</t>
  </si>
  <si>
    <t>From the 49th monthiversary (start of 5th policy year)</t>
  </si>
  <si>
    <t>Yes, before policy maturity</t>
  </si>
  <si>
    <t>Start of 2nd policy year/ANB8</t>
  </si>
  <si>
    <t>17th</t>
  </si>
  <si>
    <t>Policy Year 2 &amp; 3: 1.00%
Policy Year 3 to 16: 1.28%
Policy year 17 onwards: 1.37%</t>
  </si>
  <si>
    <t>Start of 2nd policy year/ANB43</t>
  </si>
  <si>
    <t>Start of 2nd policy year/ANB58</t>
  </si>
  <si>
    <t>Start of 5th policy year / ALB60</t>
  </si>
  <si>
    <t>Start of 5th policy year / ALB45</t>
  </si>
  <si>
    <t>Start of 5th policy year / ALB10</t>
  </si>
  <si>
    <t>28th</t>
  </si>
  <si>
    <t xml:space="preserve">Wealth Plus Solitaire
</t>
  </si>
  <si>
    <t>- Offers ease of entry with a wide range of entry age for Life Insured aged ALB 0 - 75
- Offers option for appointment of Secondary Life Insured available up to 3 times during the policy term to ensure the continuity of the policy
- Pays one of the highest Maturity Benefit (120% of Single Premium and Terminal Bonus) at policy maturity at age 120
- Relatively competitive non-guaranteed yearly income at 2.886% of single premium
- Guaranteed issuance with no medical underwriting needed</t>
  </si>
  <si>
    <t>Optional Riders</t>
  </si>
  <si>
    <r>
      <rPr>
        <b/>
        <sz val="12"/>
        <rFont val="Calibri"/>
        <family val="2"/>
        <scheme val="minor"/>
      </rPr>
      <t>Policy Year 2 &amp; 3:</t>
    </r>
    <r>
      <rPr>
        <sz val="12"/>
        <rFont val="Calibri"/>
        <family val="2"/>
        <scheme val="minor"/>
      </rPr>
      <t xml:space="preserve"> $5,000
</t>
    </r>
    <r>
      <rPr>
        <b/>
        <sz val="12"/>
        <rFont val="Calibri"/>
        <family val="2"/>
        <scheme val="minor"/>
      </rPr>
      <t xml:space="preserve">Policy Year 4 to 16: </t>
    </r>
    <r>
      <rPr>
        <sz val="12"/>
        <rFont val="Calibri"/>
        <family val="2"/>
        <scheme val="minor"/>
      </rPr>
      <t xml:space="preserve">$6,399
</t>
    </r>
    <r>
      <rPr>
        <b/>
        <sz val="12"/>
        <rFont val="Calibri"/>
        <family val="2"/>
        <scheme val="minor"/>
      </rPr>
      <t>Policy year 17 onwards:</t>
    </r>
    <r>
      <rPr>
        <sz val="12"/>
        <rFont val="Calibri"/>
        <family val="2"/>
        <scheme val="minor"/>
      </rPr>
      <t xml:space="preserve"> $6,849</t>
    </r>
  </si>
  <si>
    <r>
      <t xml:space="preserve">Policy Year 2 &amp; 3: </t>
    </r>
    <r>
      <rPr>
        <sz val="12"/>
        <rFont val="Calibri"/>
        <family val="2"/>
        <scheme val="minor"/>
      </rPr>
      <t>$11,750</t>
    </r>
    <r>
      <rPr>
        <b/>
        <sz val="12"/>
        <rFont val="Calibri"/>
        <family val="2"/>
        <scheme val="minor"/>
      </rPr>
      <t xml:space="preserve">
Policy Year 4 to 16: </t>
    </r>
    <r>
      <rPr>
        <sz val="12"/>
        <rFont val="Calibri"/>
        <family val="2"/>
        <scheme val="minor"/>
      </rPr>
      <t>$17,199</t>
    </r>
    <r>
      <rPr>
        <b/>
        <sz val="12"/>
        <rFont val="Calibri"/>
        <family val="2"/>
        <scheme val="minor"/>
      </rPr>
      <t xml:space="preserve">
Policy year 17 onwards: </t>
    </r>
    <r>
      <rPr>
        <sz val="12"/>
        <rFont val="Calibri"/>
        <family val="2"/>
        <scheme val="minor"/>
      </rPr>
      <t>$18,749</t>
    </r>
  </si>
  <si>
    <t>Policy Year 2 &amp; 3: 1.00%
Policy Year 4 to 16: 1.28%
Policy year 17 onwards: 1.37%</t>
  </si>
  <si>
    <r>
      <rPr>
        <b/>
        <sz val="12"/>
        <rFont val="Calibri"/>
        <family val="2"/>
        <scheme val="minor"/>
      </rPr>
      <t>Policy Year 2 &amp; 3:</t>
    </r>
    <r>
      <rPr>
        <sz val="12"/>
        <rFont val="Calibri"/>
        <family val="2"/>
        <scheme val="minor"/>
      </rPr>
      <t xml:space="preserve"> $9,999
</t>
    </r>
    <r>
      <rPr>
        <b/>
        <sz val="12"/>
        <rFont val="Calibri"/>
        <family val="2"/>
        <scheme val="minor"/>
      </rPr>
      <t xml:space="preserve">Policy Year 4 to 16: </t>
    </r>
    <r>
      <rPr>
        <sz val="12"/>
        <rFont val="Calibri"/>
        <family val="2"/>
        <scheme val="minor"/>
      </rPr>
      <t xml:space="preserve">$12,800
</t>
    </r>
    <r>
      <rPr>
        <b/>
        <sz val="12"/>
        <rFont val="Calibri"/>
        <family val="2"/>
        <scheme val="minor"/>
      </rPr>
      <t>Policy year 17 onwards:</t>
    </r>
    <r>
      <rPr>
        <sz val="12"/>
        <rFont val="Calibri"/>
        <family val="2"/>
        <scheme val="minor"/>
      </rPr>
      <t xml:space="preserve"> $13,700</t>
    </r>
  </si>
  <si>
    <r>
      <t xml:space="preserve">Policy Year 2 &amp; 3: </t>
    </r>
    <r>
      <rPr>
        <sz val="12"/>
        <rFont val="Calibri"/>
        <family val="2"/>
        <scheme val="minor"/>
      </rPr>
      <t>$23,499</t>
    </r>
    <r>
      <rPr>
        <b/>
        <sz val="12"/>
        <rFont val="Calibri"/>
        <family val="2"/>
        <scheme val="minor"/>
      </rPr>
      <t xml:space="preserve">
Policy Year 4 to 16: </t>
    </r>
    <r>
      <rPr>
        <sz val="12"/>
        <rFont val="Calibri"/>
        <family val="2"/>
        <scheme val="minor"/>
      </rPr>
      <t>$34,400</t>
    </r>
    <r>
      <rPr>
        <b/>
        <sz val="12"/>
        <rFont val="Calibri"/>
        <family val="2"/>
        <scheme val="minor"/>
      </rPr>
      <t xml:space="preserve">
Policy year 17 onwards: </t>
    </r>
    <r>
      <rPr>
        <sz val="12"/>
        <rFont val="Calibri"/>
        <family val="2"/>
        <scheme val="minor"/>
      </rPr>
      <t>$37,499</t>
    </r>
  </si>
  <si>
    <t>End of 13th monthiversary/ ALB42</t>
  </si>
  <si>
    <t>China Life</t>
  </si>
  <si>
    <t>Subject to minimum sum assured of $50,000</t>
  </si>
  <si>
    <t>ALB 18 – 70</t>
  </si>
  <si>
    <t>15 days – ALB 65</t>
  </si>
  <si>
    <t>The higher of:
(i) 101% of the single premium paid, or (ii) Guaranteed cash value 
Plus
(i) non-guaranteed terminal bonus (if any)
(ii) accumulated guaranteed yearly income and non-guaranteed yearly income (if any); and
(iii) interest on the accumulated guaranteed yearly income and non-guaranteed yearly income (if any)
less any amounts owing (if any).</t>
  </si>
  <si>
    <t>Yearly or Accumulated</t>
  </si>
  <si>
    <t>2.75% @ IRR 4.25%</t>
  </si>
  <si>
    <t>0.80% of SA</t>
  </si>
  <si>
    <t>4.5% of SA</t>
  </si>
  <si>
    <t>Subject to minimum sum assured: $50,000</t>
  </si>
  <si>
    <t xml:space="preserve">Subject to maximum sum assured financial underwriting </t>
  </si>
  <si>
    <t>Yes, at the end of the 5th policy year for single premium payment term.</t>
  </si>
  <si>
    <t xml:space="preserve">Increase of Sum Assured is not allowed.
Decrease in Sum Assured is allowed before the first payment of Guaranteed Yearly Income, subject to minimum sum insured
</t>
  </si>
  <si>
    <t>ALB40</t>
  </si>
  <si>
    <t>5th policy year/ALB45</t>
  </si>
  <si>
    <t>Maximum Single Premium</t>
  </si>
  <si>
    <t xml:space="preserve">Subject to maximum sum assured of $6,000,000 </t>
  </si>
  <si>
    <t>Subject to financial underwriting</t>
  </si>
  <si>
    <t>Subject to Etiqa’s approval</t>
  </si>
  <si>
    <t>As long as the policy satisfies the maximum initial monthly income of $500,000 (guaranteed plus non-guaranteed under 4.25% IIRR)</t>
  </si>
  <si>
    <t>As long as the policy satisfies the maximum initial monthly income of $250,000 (guaranteed plus non-guaranteed under 4.25% IIRR)</t>
  </si>
  <si>
    <t>US$5,000,000</t>
  </si>
  <si>
    <t xml:space="preserve">Lifetime Income Plan </t>
  </si>
  <si>
    <t>Lifetime Income Plan</t>
  </si>
  <si>
    <t>Available (DBS)</t>
  </si>
  <si>
    <t>Guaranteed Cash Surrender Value</t>
  </si>
  <si>
    <t>At least 80% of the premium paid.</t>
  </si>
  <si>
    <t>Singlife Flexi Life Income II</t>
  </si>
  <si>
    <t>3rd  policy year/ANB9</t>
  </si>
  <si>
    <t>3rd</t>
  </si>
  <si>
    <t>3rd policy year/ANB44</t>
  </si>
  <si>
    <t>Single Premium approximately $1,000,000</t>
  </si>
  <si>
    <t>Single Premium approximately $500,000</t>
  </si>
  <si>
    <t>Policy Year 3 to 53:3.37%
From policy year 54 onwards: 3.69%</t>
  </si>
  <si>
    <r>
      <rPr>
        <b/>
        <sz val="12"/>
        <rFont val="Calibri"/>
        <family val="2"/>
        <scheme val="minor"/>
      </rPr>
      <t>Policy Year 3 to 53:</t>
    </r>
    <r>
      <rPr>
        <sz val="12"/>
        <rFont val="Calibri"/>
        <family val="2"/>
        <scheme val="minor"/>
      </rPr>
      <t xml:space="preserve">
$16,744 
</t>
    </r>
    <r>
      <rPr>
        <b/>
        <sz val="12"/>
        <rFont val="Calibri"/>
        <family val="2"/>
        <scheme val="minor"/>
      </rPr>
      <t xml:space="preserve">From policy year 54 onwards: </t>
    </r>
    <r>
      <rPr>
        <sz val="12"/>
        <rFont val="Calibri"/>
        <family val="2"/>
        <scheme val="minor"/>
      </rPr>
      <t xml:space="preserve">
$18,354 (including booster bonus)</t>
    </r>
  </si>
  <si>
    <r>
      <rPr>
        <b/>
        <sz val="12"/>
        <rFont val="Calibri"/>
        <family val="2"/>
        <scheme val="minor"/>
      </rPr>
      <t>Policy Year 3 to 53:</t>
    </r>
    <r>
      <rPr>
        <sz val="12"/>
        <rFont val="Calibri"/>
        <family val="2"/>
        <scheme val="minor"/>
      </rPr>
      <t xml:space="preserve">
$33,644
</t>
    </r>
    <r>
      <rPr>
        <b/>
        <sz val="12"/>
        <rFont val="Calibri"/>
        <family val="2"/>
        <scheme val="minor"/>
      </rPr>
      <t xml:space="preserve">From policy year 54 onwards: </t>
    </r>
    <r>
      <rPr>
        <sz val="12"/>
        <rFont val="Calibri"/>
        <family val="2"/>
        <scheme val="minor"/>
      </rPr>
      <t xml:space="preserve">
$36,879 (including booster bonus)</t>
    </r>
  </si>
  <si>
    <t xml:space="preserve">3rd </t>
  </si>
  <si>
    <t xml:space="preserve">2.2%p.a of SA </t>
  </si>
  <si>
    <t>Guaranteed Yearly Income (% of  Single Premium/% of SA)</t>
  </si>
  <si>
    <t>0.5%p.a of SP</t>
  </si>
  <si>
    <t>1.308%p.a. of SP</t>
  </si>
  <si>
    <t>0.864% p.a. of SP</t>
  </si>
  <si>
    <t>1.80%p.a of SP</t>
  </si>
  <si>
    <t xml:space="preserve"> 2.7% (IRR 4.99%) of SP</t>
  </si>
  <si>
    <t>2.886% of SP</t>
  </si>
  <si>
    <t>2.442% of SP</t>
  </si>
  <si>
    <t>2.9% p.a of SP</t>
  </si>
  <si>
    <t xml:space="preserve">3.0% p.a of SA </t>
  </si>
  <si>
    <t>Yes, at the end of accumulation period or the end of the 8th policy year for single premium payment term, whichever is earlier.</t>
  </si>
  <si>
    <t>Policy Year 2 &amp; 3: 2.35%
Policy Year 4 to 16: 3.44%
Policy year 17 onwards: 3.75%</t>
  </si>
  <si>
    <t xml:space="preserve">- Early Payout Commencement at the start of 3rd policy year
- Relatively high total yearly income of up to 3.40% of single premium
</t>
  </si>
  <si>
    <r>
      <t xml:space="preserve">From policy year 3 to 22:
</t>
    </r>
    <r>
      <rPr>
        <sz val="12"/>
        <rFont val="Calibri"/>
        <family val="2"/>
        <scheme val="minor"/>
      </rPr>
      <t>$16,328</t>
    </r>
    <r>
      <rPr>
        <b/>
        <sz val="12"/>
        <rFont val="Calibri"/>
        <family val="2"/>
        <scheme val="minor"/>
      </rPr>
      <t xml:space="preserve">
From policy year 23 onwards: 
</t>
    </r>
    <r>
      <rPr>
        <sz val="12"/>
        <rFont val="Calibri"/>
        <family val="2"/>
        <scheme val="minor"/>
      </rPr>
      <t>$17,898 (including booster bonus)</t>
    </r>
  </si>
  <si>
    <r>
      <t xml:space="preserve">Policy Year 2 &amp; 3: 2.35%
Policy Year 4 to 16: 3.44%
</t>
    </r>
    <r>
      <rPr>
        <b/>
        <sz val="12"/>
        <color rgb="FF0000CC"/>
        <rFont val="Calibri"/>
        <family val="2"/>
        <scheme val="minor"/>
      </rPr>
      <t>Policy year 17 onwards: 3.75%</t>
    </r>
  </si>
  <si>
    <r>
      <t xml:space="preserve">Policy Year 2 &amp; 3: 2.35%
Policy Year 4 to 16: 3.45%
</t>
    </r>
    <r>
      <rPr>
        <b/>
        <sz val="12"/>
        <color rgb="FF0000CC"/>
        <rFont val="Calibri"/>
        <family val="2"/>
        <scheme val="minor"/>
      </rPr>
      <t>Policy year 17 onwards: 3.75%</t>
    </r>
  </si>
  <si>
    <t>Esteem income II</t>
  </si>
  <si>
    <t xml:space="preserve">The higher of:
(i)101% of single premium paid less all guaranteed monthly income paid &amp; any performance bonuses; or
(ii) Total surrender value plus any monthly income deposited with Etiqa with non-guaranteed interest
less any amounts owing to Etiqa
</t>
  </si>
  <si>
    <t xml:space="preserve">From the end of 13th policy monthiversary </t>
  </si>
  <si>
    <t>Monthly income which is paid out as early as the end of policy month 13, with step-up non-guaranteed monthly payout starting from end of policy month 37 onwards</t>
  </si>
  <si>
    <t>1.4% p.a of SP</t>
  </si>
  <si>
    <t xml:space="preserve">From end of 13th policy monthiversary to end of 36th monthiversary: 1.7% p.a of SP
From end of 37th policy monthiversary to policy maturity: 2.3% p.a of SP </t>
  </si>
  <si>
    <t>- Competitive guaranteed yearly income @ 1.4% of single premium
-Monthly cash benefit is payable as early from end of 13th policy monthiversary till the end of policy term
- One time step-up in non-guaranteed monthly payout starting from end of 37th policy monthiversary
- Change of life insured option for both corporate and individual owned policies</t>
  </si>
  <si>
    <t>End of 13th monthiversary/ANB8</t>
  </si>
  <si>
    <t>Start of 3rd policy year/ANB9</t>
  </si>
  <si>
    <t>End of 13th monthiversary/ALB7</t>
  </si>
  <si>
    <r>
      <rPr>
        <b/>
        <sz val="12"/>
        <rFont val="Calibri"/>
        <family val="2"/>
        <scheme val="minor"/>
      </rPr>
      <t>Policy Year 2 &amp; 3</t>
    </r>
    <r>
      <rPr>
        <sz val="12"/>
        <rFont val="Calibri"/>
        <family val="2"/>
        <scheme val="minor"/>
      </rPr>
      <t xml:space="preserve">: $15,500
</t>
    </r>
    <r>
      <rPr>
        <b/>
        <sz val="12"/>
        <rFont val="Calibri"/>
        <family val="2"/>
        <scheme val="minor"/>
      </rPr>
      <t>Policy Year 4 onwards</t>
    </r>
    <r>
      <rPr>
        <sz val="12"/>
        <rFont val="Calibri"/>
        <family val="2"/>
        <scheme val="minor"/>
      </rPr>
      <t>: $18,500</t>
    </r>
  </si>
  <si>
    <t>Policy Year 2 &amp; 3: 3.10% 
From Policy Year 4 onwards: 3.70%</t>
  </si>
  <si>
    <t>16th</t>
  </si>
  <si>
    <t>ANB41</t>
  </si>
  <si>
    <t>End of 13th monthiversary/ANB43</t>
  </si>
  <si>
    <r>
      <rPr>
        <b/>
        <sz val="12"/>
        <rFont val="Calibri"/>
        <family val="2"/>
        <scheme val="minor"/>
      </rPr>
      <t>Policy Year 2 &amp; 3</t>
    </r>
    <r>
      <rPr>
        <sz val="12"/>
        <rFont val="Calibri"/>
        <family val="2"/>
        <scheme val="minor"/>
      </rPr>
      <t xml:space="preserve">: $31,000
</t>
    </r>
    <r>
      <rPr>
        <b/>
        <sz val="12"/>
        <rFont val="Calibri"/>
        <family val="2"/>
        <scheme val="minor"/>
      </rPr>
      <t>Policy Year 4 onwards</t>
    </r>
    <r>
      <rPr>
        <sz val="12"/>
        <rFont val="Calibri"/>
        <family val="2"/>
        <scheme val="minor"/>
      </rPr>
      <t>: $37,000</t>
    </r>
  </si>
  <si>
    <t>Start of 3rd policy year/ANB 44</t>
  </si>
  <si>
    <t>End of 13th monthiversary/ANB58</t>
  </si>
  <si>
    <t>Up till age 125</t>
  </si>
  <si>
    <t>3-year average (2020 to 2022): 2.98%
5-year average (2018 to 2022): 3.43%
10-year average (2013 to 2022): 3.39%</t>
  </si>
  <si>
    <t>Start of 3rd policy year/ANB59</t>
  </si>
  <si>
    <r>
      <t xml:space="preserve">The following, less any indebtedness will be paid:
(a) </t>
    </r>
    <r>
      <rPr>
        <b/>
        <sz val="10"/>
        <color rgb="FF0000CC"/>
        <rFont val="Calibri"/>
        <family val="2"/>
        <scheme val="minor"/>
      </rPr>
      <t>105% of the single premiu</t>
    </r>
    <r>
      <rPr>
        <sz val="10"/>
        <color rgb="FF000000"/>
        <rFont val="Calibri"/>
        <family val="2"/>
        <scheme val="minor"/>
      </rPr>
      <t>m less guaranteed MCB paid out or Guaranteed Surrender Value, whichever is higher; and
(b) a non-guaranteed terminal dividend.
Any accumulated MCB with interest accrued will be paid.</t>
    </r>
  </si>
  <si>
    <t>Monthly income which is paid out as early as the end of policy month 13 with step-up in monthly income at policy year 4 and 17 (until policy maturity)</t>
  </si>
  <si>
    <t xml:space="preserve">Par Fund Returns 
</t>
  </si>
  <si>
    <t xml:space="preserve">-Offers other premium payment terms such as 3,5,10,15, 20, 25 years
-100% capital guaranteed at the end of accumulation period or the end of the 8th policy year for single premium payment term whichever is earliest
- Booster Bonus of 0.50% of Sum Assured (non-guaranteed) 
- SRS option available for SP version
</t>
  </si>
  <si>
    <t xml:space="preserve">-Offers other premium payment terms such as 3,5,10 years
- Step up guaranteed yearly income from 1.00% to 1.28% for payout year 3 to 15; to 1.37% payout year 16 onwards
- Centennial Benefit of 105% of the Total Premiums Paid and non-guaranteed terminal bonus (if any) will be paid if the policy is still in force at the end of the policy term and no claims for benefits have been made
- SRS option available for SP version
- For individual owned policies, client has option to change the life insured up to 2 times; for corporation owned policies, there is no limit to the number of times for change of life insured
</t>
  </si>
  <si>
    <t xml:space="preserve">- Relatively high non-guaranteed yearly income @ 2.9% of single premium
- Early payout commencement at start of 3rd policy year
</t>
  </si>
  <si>
    <t>- For corporate and individual owned policies, client has option to change the life insured over to another valuable employee
- No limit to the number of times for change of life insured for corporate polices</t>
  </si>
  <si>
    <t>- Secondary Insured Option introduced allows for the option to appoint a secondary life insured to ensure continuity of the policy
- Pays 120% of SP and a non-guaranteed terminal bonus as a maturity benefit at age 120</t>
  </si>
  <si>
    <t>-Offers 3Pay &amp; 5Pay
- Secondary Insured Option introduced allows for the option to appoint a secondary life insured to ensure continuity of the policy</t>
  </si>
  <si>
    <t>- For corporate and individual owned policies, client has option to change the life insured over to another valuable employee
- No limit to the number of times for change of life insured for corporate polices
- Also available in SGD currency</t>
  </si>
  <si>
    <r>
      <rPr>
        <sz val="11"/>
        <color rgb="FF0000CC"/>
        <rFont val="Calibri"/>
        <family val="2"/>
        <scheme val="minor"/>
      </rPr>
      <t>- In terms of retirement planning, it offers competitive total payout at age 80. This might appeal for retirees seeking to encash in their latter years.</t>
    </r>
    <r>
      <rPr>
        <sz val="11"/>
        <rFont val="Calibri"/>
        <family val="2"/>
        <scheme val="minor"/>
      </rPr>
      <t xml:space="preserve">
</t>
    </r>
    <r>
      <rPr>
        <sz val="11"/>
        <color rgb="FF0000CC"/>
        <rFont val="Calibri"/>
        <family val="2"/>
        <scheme val="minor"/>
      </rPr>
      <t>- Competitive in its total payouts (inclusive of total yearly income and total surrender value) over single premium paid, especially for MNS Age 5 &amp; MNS Age 40</t>
    </r>
    <r>
      <rPr>
        <sz val="11"/>
        <rFont val="Calibri"/>
        <family val="2"/>
        <scheme val="minor"/>
      </rPr>
      <t xml:space="preserve">
- 2 monthly payout options from 37th policy monthiversary or 49th policy monthiversary till age 120
- SGD and USD currency options available
- (For corporate and Individual owned policy) Change of life insured option available after 2 years from the Policy Issue Date to prolong the duration of the policy payouts
- Allow to withdraw any re-invested yearly income (with accrued interest) either partially or fully
- Pays a Maturity Benefit 
</t>
    </r>
  </si>
  <si>
    <r>
      <rPr>
        <sz val="11"/>
        <color rgb="FF0000CC"/>
        <rFont val="Calibri"/>
        <family val="2"/>
        <scheme val="minor"/>
      </rPr>
      <t>-  Offers one of the earliest payout from 13th monthiversary</t>
    </r>
    <r>
      <rPr>
        <sz val="11"/>
        <rFont val="Calibri"/>
        <family val="2"/>
        <scheme val="minor"/>
      </rPr>
      <t xml:space="preserve">
- Provides step-up guaranteed income up to a high of 1.37% of single premium from policy year 17 onwards till 100th policy year. 
</t>
    </r>
    <r>
      <rPr>
        <sz val="11"/>
        <color rgb="FF0000CC"/>
        <rFont val="Calibri"/>
        <family val="2"/>
        <scheme val="minor"/>
      </rPr>
      <t xml:space="preserve"> - SRS option available</t>
    </r>
    <r>
      <rPr>
        <sz val="11"/>
        <rFont val="Calibri"/>
        <family val="2"/>
        <scheme val="minor"/>
      </rPr>
      <t xml:space="preserve">
</t>
    </r>
  </si>
  <si>
    <r>
      <t xml:space="preserve">- </t>
    </r>
    <r>
      <rPr>
        <sz val="11"/>
        <color rgb="FF0000CC"/>
        <rFont val="Calibri"/>
        <family val="2"/>
        <scheme val="minor"/>
      </rPr>
      <t xml:space="preserve">One of the earliest payout commencement from the end of 13th policy monthiversary onwards (start of the 2nd policy year), payable up till policy maturity at age 125. </t>
    </r>
    <r>
      <rPr>
        <sz val="11"/>
        <rFont val="Calibri"/>
        <family val="2"/>
        <scheme val="minor"/>
      </rPr>
      <t xml:space="preserve">
</t>
    </r>
    <r>
      <rPr>
        <sz val="11"/>
        <color rgb="FF0000CC"/>
        <rFont val="Calibri"/>
        <family val="2"/>
        <scheme val="minor"/>
      </rPr>
      <t xml:space="preserve">- Competitive guaranteed yearly income @ 1.4% of single premium
- Competitive total guaranteed yearly income over single premium paid; total yearly income over single premium paid  due to its one time step-up in non-guaranteed monthly payout starting from end of 37th policy monthiversary
</t>
    </r>
    <r>
      <rPr>
        <sz val="11"/>
        <rFont val="Calibri"/>
        <family val="2"/>
        <scheme val="minor"/>
      </rPr>
      <t xml:space="preserve">- Change of life insured option for both corporate and individual owned policies 
</t>
    </r>
  </si>
  <si>
    <r>
      <t xml:space="preserve">- Offers 3Pay &amp; 5Pay options other than single premium option
</t>
    </r>
    <r>
      <rPr>
        <sz val="11"/>
        <color rgb="FF0000CC"/>
        <rFont val="Calibri"/>
        <family val="2"/>
        <scheme val="minor"/>
      </rPr>
      <t>- Provides competitive guaranteed payouts for single premium payment term at 1.80% of the single premium amount; competitive total yearly income over single premium paid  at 4.50% to provide more certainty for retirement planning</t>
    </r>
    <r>
      <rPr>
        <sz val="11"/>
        <rFont val="Calibri"/>
        <family val="2"/>
        <scheme val="minor"/>
      </rPr>
      <t xml:space="preserve">
</t>
    </r>
    <r>
      <rPr>
        <sz val="11"/>
        <color rgb="FF0000CC"/>
        <rFont val="Calibri"/>
        <family val="2"/>
        <scheme val="minor"/>
      </rPr>
      <t xml:space="preserve">- Competitive in terms of its total guaranteed payouts (inclusive of total guaranteed yearly income and guaranteed surrender value) &amp; total payout (inclusive of total yearly income and total surrender value) over single premium paid
- Competitive in terms of its total death benefit over single premium paid for legacy planning needs
</t>
    </r>
    <r>
      <rPr>
        <sz val="11"/>
        <rFont val="Calibri"/>
        <family val="2"/>
        <scheme val="minor"/>
      </rPr>
      <t xml:space="preserve">- Offers secondary life insured option to ensure a lifetime income as legacy planning for clients. 
</t>
    </r>
  </si>
  <si>
    <r>
      <rPr>
        <b/>
        <sz val="11"/>
        <color rgb="FF0000CC"/>
        <rFont val="Calibri"/>
        <family val="2"/>
        <scheme val="minor"/>
      </rPr>
      <t xml:space="preserve">- Provides certainity, flexibility and upside potential in retirement planning </t>
    </r>
    <r>
      <rPr>
        <sz val="11"/>
        <rFont val="Calibri"/>
        <family val="2"/>
        <scheme val="minor"/>
      </rPr>
      <t xml:space="preserve">
</t>
    </r>
    <r>
      <rPr>
        <b/>
        <u/>
        <sz val="11"/>
        <rFont val="Calibri"/>
        <family val="2"/>
        <scheme val="minor"/>
      </rPr>
      <t xml:space="preserve">Certainty
</t>
    </r>
    <r>
      <rPr>
        <sz val="11"/>
        <color rgb="FF0000CC"/>
        <rFont val="Calibri"/>
        <family val="2"/>
        <scheme val="minor"/>
      </rPr>
      <t xml:space="preserve">- Relatively competitive guaranteed yearly income over single premium paid
- Offers certainty with competitive total guaranteed payouts (inclusive of total guaranteed yearly income &amp; guaranteed surrender value)  over the same single premium paid across our comparisons for age5, 40 and 55
- Guaranteed surrender value is 80% of single premium after policy is incepted and increase gradually at 0.25% per annum (compounded) starting from the 5th policy year after the end of the Accumulation Period
</t>
    </r>
    <r>
      <rPr>
        <sz val="11"/>
        <rFont val="Calibri"/>
        <family val="2"/>
        <scheme val="minor"/>
      </rPr>
      <t xml:space="preserve">- Relatively short breakeven period: 100% capital guaranteed at the end of accumulation period or the end of the 8th policy year for single premium payment term whichever is earliest
- Has the earliest breakeven year at 3rd policy year
</t>
    </r>
    <r>
      <rPr>
        <b/>
        <u/>
        <sz val="11"/>
        <rFont val="Calibri"/>
        <family val="2"/>
        <scheme val="minor"/>
      </rPr>
      <t>Flexibility</t>
    </r>
    <r>
      <rPr>
        <sz val="11"/>
        <rFont val="Calibri"/>
        <family val="2"/>
        <scheme val="minor"/>
      </rPr>
      <t xml:space="preserve">
</t>
    </r>
    <r>
      <rPr>
        <sz val="11"/>
        <color rgb="FF0000CC"/>
        <rFont val="Calibri"/>
        <family val="2"/>
        <scheme val="minor"/>
      </rPr>
      <t>- SRS is also available for Single Premium option</t>
    </r>
    <r>
      <rPr>
        <sz val="11"/>
        <rFont val="Calibri"/>
        <family val="2"/>
        <scheme val="minor"/>
      </rPr>
      <t xml:space="preserve">
- Besides single premium, there are also other choices of premium payment terms:  3, 5, 10, 15, 20 or 25 year. 
- Flexible choice of accumulation periods from 2 to 20 years for single premium mode
-  Payout as early as from 3rd policy anniversary
- Option to partial surrender the policy by reducing the Sum Assured and withdraw the cash surrender value partially anytime
- Allow to withdraw any re-invested yearly income (with accrued interest) either partially or fully
</t>
    </r>
    <r>
      <rPr>
        <b/>
        <u/>
        <sz val="11"/>
        <rFont val="Calibri"/>
        <family val="2"/>
        <scheme val="minor"/>
      </rPr>
      <t>Upside Potential</t>
    </r>
    <r>
      <rPr>
        <sz val="11"/>
        <rFont val="Calibri"/>
        <family val="2"/>
        <scheme val="minor"/>
      </rPr>
      <t xml:space="preserve">
- Booster Bonus of  0.50% of Sum Assured (non-guaranteed) every Policy Year starting from the Policy Anniversary when life assured attain age 60 or end of 20th policy year after accumulation period ends (whichever is later)</t>
    </r>
  </si>
  <si>
    <t>Policy Year 3 to 53: 3.35%
From policy year 54 onwards: 3.67%</t>
  </si>
  <si>
    <t>From policy year 3 to 22:
3.27%
From policy year 23 onwards:
3.58%</t>
  </si>
  <si>
    <t>From policy year 3 to 22: 
3.27%
From policy year 23 onwards:
3.59% (including booster bonus)</t>
  </si>
  <si>
    <t>From policy year 3 to 22:
3.29%
From policy year 23 onwards:
3.61%</t>
  </si>
  <si>
    <t xml:space="preserve">
Singlife Flexi Life Income II
</t>
  </si>
  <si>
    <t>Signature Lifetime Rewards (II) (SGD)</t>
  </si>
  <si>
    <t>Monthly income which is paid out as early as the end of policy month 13, with step-up in monthly payout starting from end of policy month 61 onwards</t>
  </si>
  <si>
    <t>From end of 13th policy monthiversary to end of 60th monthiversary: 1.0008% p.a of SP
From end of 61st policy monthiversary to policy maturity: 1.2000% p.a of SP</t>
  </si>
  <si>
    <t>From end of 13th policy monthiversary to end of 60th monthiversary: 1.9992% p.a of SP
From end of 61st policy monthiversary to policy maturity: 2.2500% p.a of SP</t>
  </si>
  <si>
    <r>
      <rPr>
        <b/>
        <sz val="12"/>
        <color theme="1"/>
        <rFont val="Calibri"/>
        <family val="2"/>
        <scheme val="minor"/>
      </rPr>
      <t>Policy Year 2-5</t>
    </r>
    <r>
      <rPr>
        <sz val="12"/>
        <color theme="1"/>
        <rFont val="Calibri"/>
        <family val="2"/>
        <scheme val="minor"/>
      </rPr>
      <t>: 
$5,004</t>
    </r>
    <r>
      <rPr>
        <b/>
        <sz val="12"/>
        <color theme="1"/>
        <rFont val="Calibri"/>
        <family val="2"/>
        <scheme val="minor"/>
      </rPr>
      <t xml:space="preserve">
From Policy Year 6 onwards</t>
    </r>
    <r>
      <rPr>
        <sz val="12"/>
        <color theme="1"/>
        <rFont val="Calibri"/>
        <family val="2"/>
        <scheme val="minor"/>
      </rPr>
      <t>: 
$6,000</t>
    </r>
  </si>
  <si>
    <r>
      <rPr>
        <b/>
        <sz val="12"/>
        <color theme="1"/>
        <rFont val="Calibri"/>
        <family val="2"/>
        <scheme val="minor"/>
      </rPr>
      <t>Policy Year 2-5</t>
    </r>
    <r>
      <rPr>
        <sz val="12"/>
        <color theme="1"/>
        <rFont val="Calibri"/>
        <family val="2"/>
        <scheme val="minor"/>
      </rPr>
      <t xml:space="preserve">: 
$15,000
</t>
    </r>
    <r>
      <rPr>
        <b/>
        <sz val="12"/>
        <color theme="1"/>
        <rFont val="Calibri"/>
        <family val="2"/>
        <scheme val="minor"/>
      </rPr>
      <t>From Policy Year 6 onwards:</t>
    </r>
    <r>
      <rPr>
        <sz val="12"/>
        <color theme="1"/>
        <rFont val="Calibri"/>
        <family val="2"/>
        <scheme val="minor"/>
      </rPr>
      <t xml:space="preserve"> 
$17,250</t>
    </r>
  </si>
  <si>
    <t>Policy Year 2-5: 
1.0008% 
From Policy Year 6 onwards: 
1.25%</t>
  </si>
  <si>
    <t>Policy Year 2-5: 
3% 
From Policy Year 6 onwards: 
3.45%</t>
  </si>
  <si>
    <t>Lifetime Income Supreme Plan</t>
  </si>
  <si>
    <r>
      <rPr>
        <b/>
        <sz val="12"/>
        <color theme="1"/>
        <rFont val="Calibri"/>
        <family val="2"/>
        <scheme val="minor"/>
      </rPr>
      <t>Policy Year 2-5</t>
    </r>
    <r>
      <rPr>
        <sz val="12"/>
        <color theme="1"/>
        <rFont val="Calibri"/>
        <family val="2"/>
        <scheme val="minor"/>
      </rPr>
      <t>: 
$10,008</t>
    </r>
    <r>
      <rPr>
        <b/>
        <sz val="12"/>
        <color theme="1"/>
        <rFont val="Calibri"/>
        <family val="2"/>
        <scheme val="minor"/>
      </rPr>
      <t xml:space="preserve">
From Policy Year 6 onwards</t>
    </r>
    <r>
      <rPr>
        <sz val="12"/>
        <color theme="1"/>
        <rFont val="Calibri"/>
        <family val="2"/>
        <scheme val="minor"/>
      </rPr>
      <t>: 
$12,000</t>
    </r>
  </si>
  <si>
    <r>
      <rPr>
        <b/>
        <sz val="12"/>
        <color theme="1"/>
        <rFont val="Calibri"/>
        <family val="2"/>
        <scheme val="minor"/>
      </rPr>
      <t>Policy Year 2-5</t>
    </r>
    <r>
      <rPr>
        <sz val="12"/>
        <color theme="1"/>
        <rFont val="Calibri"/>
        <family val="2"/>
        <scheme val="minor"/>
      </rPr>
      <t xml:space="preserve">: 
$30,000
</t>
    </r>
    <r>
      <rPr>
        <b/>
        <sz val="12"/>
        <color theme="1"/>
        <rFont val="Calibri"/>
        <family val="2"/>
        <scheme val="minor"/>
      </rPr>
      <t>From Policy Year 6 onwards:</t>
    </r>
    <r>
      <rPr>
        <sz val="12"/>
        <color theme="1"/>
        <rFont val="Calibri"/>
        <family val="2"/>
        <scheme val="minor"/>
      </rPr>
      <t xml:space="preserve"> 
$34,500</t>
    </r>
  </si>
  <si>
    <t>Policy Year 2-5: 
1.0008% 
From Policy Year 6 onwards: 
1.2000%</t>
  </si>
  <si>
    <t>Policy Year 2-5: 
1.0008% 
From Policy Year 6 onwards: 
1.2%</t>
  </si>
  <si>
    <t>Subject to minimum sum assured of $150,000</t>
  </si>
  <si>
    <t>Yearly , Monthly or Accumulated</t>
  </si>
  <si>
    <t>- As early as from 5th Policy Anniversary for as long as the life assured is alive and while the policy is inforce</t>
  </si>
  <si>
    <t>1.8% of SA</t>
  </si>
  <si>
    <t>Subject to minimum sum assured: $150,000</t>
  </si>
  <si>
    <t>- Flexibility to choose from an accumulation period range of 4 - 40 years
- Capital is guaranteed at end of 5th policy year</t>
  </si>
  <si>
    <t>- Offers 5/10/15/20/25 pay options other than Single Premium option
- Flexibility to choose from an accumulation period range of 4 - 40 years
- Early capital guarantee at end of 5th policy year</t>
  </si>
  <si>
    <t>4.2% of SA</t>
  </si>
  <si>
    <r>
      <rPr>
        <sz val="11"/>
        <color rgb="FF0000CC"/>
        <rFont val="Calibri"/>
        <family val="2"/>
        <scheme val="minor"/>
      </rPr>
      <t xml:space="preserve">- One of the earliest payout commencement from the end of 13th policy monthiversary onwards (start of the 2nd policy year), payable up till policy maturity at age 120. 
</t>
    </r>
    <r>
      <rPr>
        <sz val="11"/>
        <rFont val="Calibri"/>
        <family val="2"/>
        <scheme val="minor"/>
      </rPr>
      <t xml:space="preserve">- It also offers one time step-up in monthly payout which starts from end of 61st policy monthiversary and payable till the end of policy term. 
- Allows clients to change life insured to ensure policy continuity, be it an individual owned policy or a corporate owned policy. For individual, the policyowner may request the change of the life insured up to 2 times during the policy term per policy.
</t>
    </r>
  </si>
  <si>
    <r>
      <t xml:space="preserve">- 	Option to pay the cash benefit either yearly or monthly from end of 5th policy year, as long as the life insured is alive, and the policy is in force. Other plans in our approved suite either pay yearly or monthly. 
- Offers 5pay &amp; 10pay other than single premium option.
- </t>
    </r>
    <r>
      <rPr>
        <sz val="11"/>
        <color rgb="FF0000CC"/>
        <rFont val="Calibri"/>
        <family val="2"/>
        <scheme val="minor"/>
      </rPr>
      <t xml:space="preserve">Capital is guaranteed at the end of 5th policy year. 
- </t>
    </r>
    <r>
      <rPr>
        <sz val="11"/>
        <color theme="1"/>
        <rFont val="Calibri"/>
        <family val="2"/>
        <scheme val="minor"/>
      </rPr>
      <t xml:space="preserve">For legacy planning and policy benefit continuity, the appointment of Insured can be made for an unlimited number of times, subject to maximum of 2 contingent life insureds at any one time of appointment.
- </t>
    </r>
    <r>
      <rPr>
        <sz val="11"/>
        <color rgb="FF0000CC"/>
        <rFont val="Calibri"/>
        <family val="2"/>
        <scheme val="minor"/>
      </rPr>
      <t>Relatively competitive in its total guaranteed payout over single premium paid, especially in the latter ages which gives some assurance for clients in retirement planning. 
- Relatively competitive guaranteed death benefit over single premium paid in latter ages which provides some certainty to clients in legacy planning.</t>
    </r>
  </si>
  <si>
    <t xml:space="preserve"> - Offers either yearly or monthly cash benefit which is payable from the end of 5th policy year for single premium plan, as long as the life insured is alive, and the policy is in force
- For legacy planning the appointment of Insured can be made for an unlimited number of times to ensure the continuity of the policy, subject to maximum of 2 contingent life insured at any one time of appointment</t>
  </si>
  <si>
    <t>-One of the earliest payout commencement from the end of 13th policy monthiversary onwards (start of the 2nd policy year), payable up till policy maturity at age 120.
- One time step-up in monthly payout starting from end of 61st policy monthiversary
- Change of life insured option for both corporate and individual owned policies</t>
  </si>
  <si>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</si>
  <si>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Single Premium approximately $200,000</t>
  </si>
  <si>
    <t>Historical Expense Ratios</t>
  </si>
  <si>
    <r>
      <rPr>
        <b/>
        <sz val="12"/>
        <rFont val="Calibri"/>
        <family val="2"/>
        <scheme val="minor"/>
      </rPr>
      <t>Policy Year 3 to 53:</t>
    </r>
    <r>
      <rPr>
        <sz val="12"/>
        <rFont val="Calibri"/>
        <family val="2"/>
        <scheme val="minor"/>
      </rPr>
      <t xml:space="preserve">
$6,656
</t>
    </r>
    <r>
      <rPr>
        <b/>
        <sz val="12"/>
        <rFont val="Calibri"/>
        <family val="2"/>
        <scheme val="minor"/>
      </rPr>
      <t xml:space="preserve">From policy year 54 onwards: </t>
    </r>
    <r>
      <rPr>
        <sz val="12"/>
        <rFont val="Calibri"/>
        <family val="2"/>
        <scheme val="minor"/>
      </rPr>
      <t xml:space="preserve">
$7,296 (including booster bonus)</t>
    </r>
  </si>
  <si>
    <t>Policy Year 3 to 53: 3.33%
From policy year 54 onwards: 3.65%</t>
  </si>
  <si>
    <r>
      <rPr>
        <b/>
        <sz val="12"/>
        <rFont val="Calibri"/>
        <family val="2"/>
        <scheme val="minor"/>
      </rPr>
      <t>Policy Year 2 &amp; 3:</t>
    </r>
    <r>
      <rPr>
        <sz val="12"/>
        <rFont val="Calibri"/>
        <family val="2"/>
        <scheme val="minor"/>
      </rPr>
      <t xml:space="preserve"> $4,700
</t>
    </r>
    <r>
      <rPr>
        <b/>
        <sz val="12"/>
        <rFont val="Calibri"/>
        <family val="2"/>
        <scheme val="minor"/>
      </rPr>
      <t xml:space="preserve">Policy Year 4 to 16: </t>
    </r>
    <r>
      <rPr>
        <sz val="12"/>
        <rFont val="Calibri"/>
        <family val="2"/>
        <scheme val="minor"/>
      </rPr>
      <t xml:space="preserve">$6,879
</t>
    </r>
    <r>
      <rPr>
        <b/>
        <sz val="12"/>
        <rFont val="Calibri"/>
        <family val="2"/>
        <scheme val="minor"/>
      </rPr>
      <t>Policy year 17 onwards:</t>
    </r>
    <r>
      <rPr>
        <sz val="12"/>
        <rFont val="Calibri"/>
        <family val="2"/>
        <scheme val="minor"/>
      </rPr>
      <t xml:space="preserve"> $7,499</t>
    </r>
  </si>
  <si>
    <r>
      <rPr>
        <b/>
        <sz val="12"/>
        <rFont val="Calibri"/>
        <family val="2"/>
        <scheme val="minor"/>
      </rPr>
      <t>Policy Year 2 &amp; 3:</t>
    </r>
    <r>
      <rPr>
        <sz val="12"/>
        <rFont val="Calibri"/>
        <family val="2"/>
        <scheme val="minor"/>
      </rPr>
      <t xml:space="preserve"> $2,000
</t>
    </r>
    <r>
      <rPr>
        <b/>
        <sz val="12"/>
        <rFont val="Calibri"/>
        <family val="2"/>
        <scheme val="minor"/>
      </rPr>
      <t xml:space="preserve">Policy Year 4 to 16: </t>
    </r>
    <r>
      <rPr>
        <sz val="12"/>
        <rFont val="Calibri"/>
        <family val="2"/>
        <scheme val="minor"/>
      </rPr>
      <t xml:space="preserve">$2,559
</t>
    </r>
    <r>
      <rPr>
        <b/>
        <sz val="12"/>
        <rFont val="Calibri"/>
        <family val="2"/>
        <scheme val="minor"/>
      </rPr>
      <t>Policy year 17 onwards:</t>
    </r>
    <r>
      <rPr>
        <sz val="12"/>
        <rFont val="Calibri"/>
        <family val="2"/>
        <scheme val="minor"/>
      </rPr>
      <t xml:space="preserve"> $2,739</t>
    </r>
  </si>
  <si>
    <r>
      <t xml:space="preserve">From policy year 3 to 22:
</t>
    </r>
    <r>
      <rPr>
        <sz val="12"/>
        <rFont val="Calibri"/>
        <family val="2"/>
        <scheme val="minor"/>
      </rPr>
      <t>$6,500</t>
    </r>
    <r>
      <rPr>
        <b/>
        <sz val="12"/>
        <rFont val="Calibri"/>
        <family val="2"/>
        <scheme val="minor"/>
      </rPr>
      <t xml:space="preserve">
From policy year 23 onwards: 
</t>
    </r>
    <r>
      <rPr>
        <sz val="12"/>
        <rFont val="Calibri"/>
        <family val="2"/>
        <scheme val="minor"/>
      </rPr>
      <t>$7,125 (including booster bonus)</t>
    </r>
  </si>
  <si>
    <t>ANB56</t>
  </si>
  <si>
    <t>3rd/ANB59</t>
  </si>
  <si>
    <r>
      <t xml:space="preserve">From policy year 3 to 22:
</t>
    </r>
    <r>
      <rPr>
        <sz val="12"/>
        <rFont val="Calibri"/>
        <family val="2"/>
        <scheme val="minor"/>
      </rPr>
      <t>$32,812</t>
    </r>
    <r>
      <rPr>
        <b/>
        <sz val="12"/>
        <rFont val="Calibri"/>
        <family val="2"/>
        <scheme val="minor"/>
      </rPr>
      <t xml:space="preserve">
From policy year 23 onwards: 
</t>
    </r>
    <r>
      <rPr>
        <sz val="12"/>
        <rFont val="Calibri"/>
        <family val="2"/>
        <scheme val="minor"/>
      </rPr>
      <t>$35,967 (including booster bonus)</t>
    </r>
  </si>
  <si>
    <t xml:space="preserve">From policy year 3 to 22:
3.29%
From policy year 23 onwards: 
3.60% </t>
  </si>
  <si>
    <r>
      <rPr>
        <b/>
        <sz val="12"/>
        <rFont val="Calibri"/>
        <family val="2"/>
        <scheme val="minor"/>
      </rPr>
      <t>Policy Year 2 &amp; 3</t>
    </r>
    <r>
      <rPr>
        <sz val="12"/>
        <rFont val="Calibri"/>
        <family val="2"/>
        <scheme val="minor"/>
      </rPr>
      <t xml:space="preserve">: $6,200
</t>
    </r>
    <r>
      <rPr>
        <b/>
        <sz val="12"/>
        <rFont val="Calibri"/>
        <family val="2"/>
        <scheme val="minor"/>
      </rPr>
      <t>Policy Year 4 onwards</t>
    </r>
    <r>
      <rPr>
        <sz val="12"/>
        <rFont val="Calibri"/>
        <family val="2"/>
        <scheme val="minor"/>
      </rPr>
      <t>: $7,400</t>
    </r>
  </si>
  <si>
    <r>
      <rPr>
        <b/>
        <sz val="12"/>
        <color theme="1"/>
        <rFont val="Calibri"/>
        <family val="2"/>
        <scheme val="minor"/>
      </rPr>
      <t>Policy Year 2-5</t>
    </r>
    <r>
      <rPr>
        <sz val="12"/>
        <color theme="1"/>
        <rFont val="Calibri"/>
        <family val="2"/>
        <scheme val="minor"/>
      </rPr>
      <t>: 
$2,002</t>
    </r>
    <r>
      <rPr>
        <b/>
        <sz val="12"/>
        <color theme="1"/>
        <rFont val="Calibri"/>
        <family val="2"/>
        <scheme val="minor"/>
      </rPr>
      <t xml:space="preserve">
From Policy Year 6 onwards</t>
    </r>
    <r>
      <rPr>
        <sz val="12"/>
        <color theme="1"/>
        <rFont val="Calibri"/>
        <family val="2"/>
        <scheme val="minor"/>
      </rPr>
      <t>: 
$2,400</t>
    </r>
  </si>
  <si>
    <t>Policy Year 2-5: 
1.001% 
From Policy Year 6 onwards: 
1.20%</t>
  </si>
  <si>
    <r>
      <rPr>
        <b/>
        <sz val="12"/>
        <color theme="1"/>
        <rFont val="Calibri"/>
        <family val="2"/>
        <scheme val="minor"/>
      </rPr>
      <t>Policy Year 2-5</t>
    </r>
    <r>
      <rPr>
        <sz val="12"/>
        <color theme="1"/>
        <rFont val="Calibri"/>
        <family val="2"/>
        <scheme val="minor"/>
      </rPr>
      <t xml:space="preserve">: 
$6,000
</t>
    </r>
    <r>
      <rPr>
        <b/>
        <sz val="12"/>
        <color theme="1"/>
        <rFont val="Calibri"/>
        <family val="2"/>
        <scheme val="minor"/>
      </rPr>
      <t>From Policy Year 6 onwards:</t>
    </r>
    <r>
      <rPr>
        <sz val="12"/>
        <color theme="1"/>
        <rFont val="Calibri"/>
        <family val="2"/>
        <scheme val="minor"/>
      </rPr>
      <t xml:space="preserve"> 
$6,900</t>
    </r>
  </si>
  <si>
    <t>Signature Income (III) USD</t>
  </si>
  <si>
    <t>As long as the policy satisfies the maximum initial monthly income of US$500,000 (guaranteed plus non-guaranteed under 5.20% IIRR)</t>
  </si>
  <si>
    <t>3.25% p.a. @ IRR 5.20%</t>
  </si>
  <si>
    <r>
      <rPr>
        <sz val="10"/>
        <rFont val="Calibri"/>
        <family val="2"/>
        <scheme val="minor"/>
      </rPr>
      <t>From 37th/49th policy monthiversary:</t>
    </r>
    <r>
      <rPr>
        <u/>
        <sz val="10"/>
        <rFont val="Calibri"/>
        <family val="2"/>
        <scheme val="minor"/>
      </rPr>
      <t xml:space="preserve">
</t>
    </r>
    <r>
      <rPr>
        <sz val="10"/>
        <rFont val="Calibri"/>
        <family val="2"/>
        <scheme val="minor"/>
      </rPr>
      <t>1.7004% of SP</t>
    </r>
  </si>
  <si>
    <r>
      <rPr>
        <b/>
        <sz val="10"/>
        <color rgb="FF0000CC"/>
        <rFont val="Calibri"/>
        <family val="2"/>
        <scheme val="minor"/>
      </rPr>
      <t xml:space="preserve">From 37th policy monthiversary
2.8500% of SP (IRR 5.20%)
</t>
    </r>
    <r>
      <rPr>
        <b/>
        <sz val="10"/>
        <rFont val="Calibri"/>
        <family val="2"/>
        <scheme val="minor"/>
      </rPr>
      <t xml:space="preserve">
From 49th policy monthiversary
</t>
    </r>
    <r>
      <rPr>
        <sz val="10"/>
        <rFont val="Calibri"/>
        <family val="2"/>
        <scheme val="minor"/>
      </rPr>
      <t xml:space="preserve">2.49960% of SP (IRR 5.20%)
</t>
    </r>
  </si>
  <si>
    <r>
      <t xml:space="preserve">3-year average (2020 to 2022): </t>
    </r>
    <r>
      <rPr>
        <b/>
        <sz val="10"/>
        <color rgb="FFFF0000"/>
        <rFont val="Calibri"/>
        <family val="2"/>
        <scheme val="minor"/>
      </rPr>
      <t>-1.93%</t>
    </r>
    <r>
      <rPr>
        <sz val="10"/>
        <rFont val="Calibri"/>
        <family val="2"/>
        <scheme val="minor"/>
      </rPr>
      <t xml:space="preserve">
5-year average (2018 to 2022): 1.40%
10-year average (2013 to 2022): NA</t>
    </r>
  </si>
  <si>
    <t>3-year average (2021 to 2023): 2.21%
5-year average (2019 to 2023): 2.38%
10-year average (2014 to 2023): 2.58%</t>
  </si>
  <si>
    <t>3-year average (2021 to 2023): 1.86%
5-year average (2019 to 2023): 3.02%
10-year average (2014 to 2023): NA</t>
  </si>
  <si>
    <t>3-year average (2021 to 2023): 1.00%
5-year average (2019 to 2023): 0.93%
10-year average (2014 to 2023): 0.88%</t>
  </si>
  <si>
    <r>
      <rPr>
        <sz val="11"/>
        <color rgb="FF0000CC"/>
        <rFont val="Calibri"/>
        <family val="2"/>
        <scheme val="minor"/>
      </rPr>
      <t>- Competitive in terms of its guaranteed death benefit and total income over single premium paid</t>
    </r>
    <r>
      <rPr>
        <sz val="11"/>
        <rFont val="Calibri"/>
        <family val="2"/>
        <scheme val="minor"/>
      </rPr>
      <t xml:space="preserve">
- 2 monthly payout options from 37th policy monthiversary or 49th policy monthiversary till age 120
- SGD and USD currency options available
- Change of life insured option available after 2 years from the Policy Issue Date to prolong the duration of the policy payouts for both corporate and Individual owned policy
- Allow to withdraw any re-invested yearly income (with accrued interest) either partially or fully
- Pays a Maturity Benefit 
</t>
    </r>
  </si>
  <si>
    <r>
      <rPr>
        <sz val="10"/>
        <color rgb="FFFF0000"/>
        <rFont val="Calibri"/>
        <family val="2"/>
        <scheme val="minor"/>
      </rPr>
      <t>2022: -13.1%</t>
    </r>
    <r>
      <rPr>
        <sz val="10"/>
        <rFont val="Calibri"/>
        <family val="2"/>
        <scheme val="minor"/>
      </rPr>
      <t xml:space="preserve">
2023: 4.6%
</t>
    </r>
  </si>
  <si>
    <t>2021: 11.40%
2022: 6.30%
2023:5.8%
3-year average (2021 to 2023): 7.2%
5-year average (2019 to 2023): NA
10-year average (2014 to 2023): NA</t>
  </si>
  <si>
    <t>Infinite Harvest Plus (II)</t>
  </si>
  <si>
    <t>End of 3rd policy year/ANB 44</t>
  </si>
  <si>
    <t>From end of 3rd policy year</t>
  </si>
  <si>
    <t>1.30% - 1.50% of SP, depending on entry age of primary life insured</t>
  </si>
  <si>
    <t>1.70% - 2.00% of SP, depending on entry age of primary life insured</t>
  </si>
  <si>
    <t>0.27% - 0.35% of SP, depending on entry age of primary life insured</t>
  </si>
  <si>
    <t>Subject to minimum single premium: $75,000</t>
  </si>
  <si>
    <t xml:space="preserve">Subject to maximum single premium: 
$7.2 million 
</t>
  </si>
  <si>
    <t>Yes, at the end of 3rd policy year</t>
  </si>
  <si>
    <t>3-year average (2021 to 2023): 7.2%
5-year average (2019 to 2023): N.A.
10-year average (2014 to 2023): N.A.</t>
  </si>
  <si>
    <t>- Short, limited pay option of 3 years and 5 years are available other than single premium option.
- Secondary life insured option is available
- Refund of premium if death due to any causes other than Accident within 1 year from the Issue Date
- Short breakeven at end of 3rd policy year</t>
  </si>
  <si>
    <t>End of 3rd policy year/ANB9</t>
  </si>
  <si>
    <t>Policy Year 3 to 34:
3.50%
Policy Year 35 onwards 
with Booster Bonus:
3.85%</t>
  </si>
  <si>
    <r>
      <t xml:space="preserve">Policy Year 3 to 34:
3.50%
Policy Year 35 onwards 
with Booster Bonus:
</t>
    </r>
    <r>
      <rPr>
        <b/>
        <sz val="12"/>
        <color rgb="FF0000CC"/>
        <rFont val="Calibri"/>
        <family val="2"/>
        <scheme val="minor"/>
      </rPr>
      <t>3.85%</t>
    </r>
  </si>
  <si>
    <t xml:space="preserve">End of 3rd policy year/ANB9 </t>
  </si>
  <si>
    <t>From policy year 3 to 22: 3.25%
From policy year 23 onwards:
3.57% (including booster bonus)</t>
  </si>
  <si>
    <r>
      <t xml:space="preserve">Policy Year 3 to 24: 3.45%
Policy Year 25 onwards with Booster Bonus: </t>
    </r>
    <r>
      <rPr>
        <b/>
        <sz val="12"/>
        <color rgb="FF0000CC"/>
        <rFont val="Calibri"/>
        <family val="2"/>
        <scheme val="minor"/>
      </rPr>
      <t>3.77%</t>
    </r>
  </si>
  <si>
    <r>
      <t xml:space="preserve">From policy year 3 to 22:
</t>
    </r>
    <r>
      <rPr>
        <sz val="12"/>
        <rFont val="Calibri"/>
        <family val="2"/>
        <scheme val="minor"/>
      </rPr>
      <t>$32,864</t>
    </r>
    <r>
      <rPr>
        <b/>
        <sz val="12"/>
        <rFont val="Calibri"/>
        <family val="2"/>
        <scheme val="minor"/>
      </rPr>
      <t xml:space="preserve">
From policy year 23 onwards: 
</t>
    </r>
    <r>
      <rPr>
        <sz val="12"/>
        <rFont val="Calibri"/>
        <family val="2"/>
        <scheme val="minor"/>
      </rPr>
      <t>$36,024 (including booster bonus)</t>
    </r>
  </si>
  <si>
    <r>
      <t xml:space="preserve">Policy Year 3 to 24: 3.45%
Policy Year 25 onwards 
with Booster Bonus: </t>
    </r>
    <r>
      <rPr>
        <b/>
        <sz val="12"/>
        <color rgb="FF0000CC"/>
        <rFont val="Calibri"/>
        <family val="2"/>
        <scheme val="minor"/>
      </rPr>
      <t>3.77%</t>
    </r>
  </si>
  <si>
    <t>Policy Year 2-5: 3%
From Policy Year 6 onwards: 3.45%</t>
  </si>
  <si>
    <t>End of 3rd policy year/ANB 59</t>
  </si>
  <si>
    <t>Policy Year 3 to 24: 3.40%
Policy Year 25 onwards with Booster Bonus: 3.70%</t>
  </si>
  <si>
    <t>Policy Year 3 to 24: $17,000
Policy Year 25 onwards with Booster Bonus: $18,500</t>
  </si>
  <si>
    <t>Policy Year 3 to 24: $34,000
Policy Year 25 onwards with Booster Bonus: $37,000</t>
  </si>
  <si>
    <r>
      <t xml:space="preserve">ANB 17 - </t>
    </r>
    <r>
      <rPr>
        <b/>
        <sz val="10"/>
        <color rgb="FF0000CC"/>
        <rFont val="Calibri"/>
        <family val="2"/>
        <scheme val="minor"/>
      </rPr>
      <t>100</t>
    </r>
  </si>
  <si>
    <r>
      <t xml:space="preserve">Death, </t>
    </r>
    <r>
      <rPr>
        <b/>
        <sz val="10"/>
        <color rgb="FF0000CC"/>
        <rFont val="Calibri"/>
        <family val="2"/>
        <scheme val="minor"/>
      </rPr>
      <t xml:space="preserve">Refund of premium if death due to any causes other than Accident within 1 year from the issue date </t>
    </r>
  </si>
  <si>
    <r>
      <t xml:space="preserve">The sum of:
a) Higher of
i) </t>
    </r>
    <r>
      <rPr>
        <b/>
        <sz val="10"/>
        <color rgb="FF0000CC"/>
        <rFont val="Calibri"/>
        <family val="2"/>
        <scheme val="minor"/>
      </rPr>
      <t>105% of the Single Premium pai</t>
    </r>
    <r>
      <rPr>
        <sz val="10"/>
        <color rgb="FF000000"/>
        <rFont val="Calibri"/>
        <family val="2"/>
        <scheme val="minor"/>
      </rPr>
      <t>d; or
ii) a non-guaranteed surrender value, and
b)a non-guaranteed terminal dividend
Refund of premium if death due to any causes other than Accident within 1 year from the Issue Date.</t>
    </r>
  </si>
  <si>
    <r>
      <t>The higher of:
(i)</t>
    </r>
    <r>
      <rPr>
        <b/>
        <sz val="10"/>
        <color rgb="FF0000CC"/>
        <rFont val="Calibri"/>
        <family val="2"/>
        <scheme val="minor"/>
      </rPr>
      <t>105%</t>
    </r>
    <r>
      <rPr>
        <sz val="10"/>
        <color rgb="FF000000"/>
        <rFont val="Calibri"/>
        <family val="2"/>
        <scheme val="minor"/>
      </rPr>
      <t xml:space="preserve"> of single premium + non-guaranteed claim bonus (if any) – guaranteed &amp; non-guaranteed monthly income paid; 
(ii) The sum of the surrender value, including non-guaranteed surrender bonus (if any) and the surrender value booster benefit (if any).
Less any amount owing to Manulife
Any monthly income left to accumulate with Manulife will also be paid out with interest (if any)
</t>
    </r>
  </si>
  <si>
    <r>
      <t>The sum of:
(1)The higher of:
(i)</t>
    </r>
    <r>
      <rPr>
        <b/>
        <sz val="10"/>
        <color rgb="FF0000CC"/>
        <rFont val="Calibri"/>
        <family val="2"/>
        <scheme val="minor"/>
      </rPr>
      <t>105% of the net single premium</t>
    </r>
    <r>
      <rPr>
        <sz val="10"/>
        <rFont val="Calibri"/>
        <family val="2"/>
        <scheme val="minor"/>
      </rPr>
      <t xml:space="preserve"> paid less all monthly cash benefits paid; or
(ii)The guaranteed surrender value, and
(2)100% of terminal bonus less cash bonuses paid
If the surrender value is higher that the benefit shown above, the surrender value will be paid instead</t>
    </r>
  </si>
  <si>
    <r>
      <t xml:space="preserve">The sum of:
(i) </t>
    </r>
    <r>
      <rPr>
        <b/>
        <sz val="10"/>
        <color rgb="FF0000CC"/>
        <rFont val="Calibri"/>
        <family val="2"/>
        <scheme val="minor"/>
      </rPr>
      <t xml:space="preserve">105% of the net single premium paid; </t>
    </r>
    <r>
      <rPr>
        <sz val="10"/>
        <rFont val="Calibri"/>
        <family val="2"/>
        <scheme val="minor"/>
      </rPr>
      <t>and
(ii) 100% of terminal bonus
Any accumulated cash benefits and cash bonuses will also be paid out.
Less any amount owing to Income.</t>
    </r>
  </si>
  <si>
    <r>
      <rPr>
        <b/>
        <sz val="10"/>
        <color rgb="FF0000CC"/>
        <rFont val="Calibri"/>
        <family val="2"/>
        <scheme val="minor"/>
      </rPr>
      <t>Monthly</t>
    </r>
    <r>
      <rPr>
        <sz val="10"/>
        <color rgb="FF000000"/>
        <rFont val="Calibri"/>
        <family val="2"/>
        <scheme val="minor"/>
      </rPr>
      <t xml:space="preserve"> or Accumulated</t>
    </r>
  </si>
  <si>
    <r>
      <t>- As early as from 3rd Policy Anniversary 
-</t>
    </r>
    <r>
      <rPr>
        <b/>
        <sz val="10"/>
        <color rgb="FF0000CC"/>
        <rFont val="Calibri"/>
        <family val="2"/>
        <scheme val="minor"/>
      </rPr>
      <t xml:space="preserve"> Flexibility to choose from an accumulation period range of 2 to 20 years</t>
    </r>
    <r>
      <rPr>
        <sz val="10"/>
        <color rgb="FF000000"/>
        <rFont val="Calibri"/>
        <family val="2"/>
        <scheme val="minor"/>
      </rPr>
      <t xml:space="preserve"> (accumulation period must be in multiples of 1 year)
(subject to entry age + premium term + Accumulation Period ≤ 80 ANB)</t>
    </r>
  </si>
  <si>
    <r>
      <t xml:space="preserve">- As early as from 5th Policy Anniversary for as long as the life assured is alive and while the policy is inforce
</t>
    </r>
    <r>
      <rPr>
        <b/>
        <sz val="10"/>
        <color rgb="FF0000CC"/>
        <rFont val="Calibri"/>
        <family val="2"/>
        <scheme val="minor"/>
      </rPr>
      <t xml:space="preserve">- Flexibility to choose from an accumulation period range of 4 - 40 years
</t>
    </r>
    <r>
      <rPr>
        <sz val="10"/>
        <rFont val="Calibri"/>
        <family val="2"/>
        <scheme val="minor"/>
      </rPr>
      <t xml:space="preserve">
(subject to entry age + premium term + Accumulation Period ≤ 75 ALB)</t>
    </r>
  </si>
  <si>
    <r>
      <rPr>
        <b/>
        <sz val="10"/>
        <color rgb="FF0000CC"/>
        <rFont val="Calibri"/>
        <family val="2"/>
        <scheme val="minor"/>
      </rPr>
      <t xml:space="preserve">From the end of 13th policy monthiversary 
</t>
    </r>
    <r>
      <rPr>
        <sz val="10"/>
        <color rgb="FF000000"/>
        <rFont val="Calibri"/>
        <family val="2"/>
        <scheme val="minor"/>
      </rPr>
      <t xml:space="preserve">
</t>
    </r>
  </si>
  <si>
    <r>
      <t xml:space="preserve">Policy Year 2 &amp; 3:
1.00% of SP
Policy Year 4 to 16:
1.28% of SP
</t>
    </r>
    <r>
      <rPr>
        <b/>
        <sz val="10"/>
        <color rgb="FF0000CC"/>
        <rFont val="Calibri"/>
        <family val="2"/>
        <scheme val="minor"/>
      </rPr>
      <t>Policy Year 17 onwards:
1.37% of SP</t>
    </r>
  </si>
  <si>
    <r>
      <rPr>
        <sz val="10"/>
        <rFont val="Calibri"/>
        <family val="2"/>
        <scheme val="minor"/>
      </rPr>
      <t>From 37th/49th policy monthiversary:</t>
    </r>
    <r>
      <rPr>
        <u/>
        <sz val="10"/>
        <rFont val="Calibri"/>
        <family val="2"/>
        <scheme val="minor"/>
      </rPr>
      <t xml:space="preserve">
</t>
    </r>
    <r>
      <rPr>
        <sz val="10"/>
        <rFont val="Calibri"/>
        <family val="2"/>
        <scheme val="minor"/>
      </rPr>
      <t>1.2408% p.a of  SA</t>
    </r>
    <r>
      <rPr>
        <u/>
        <sz val="10"/>
        <rFont val="Calibri"/>
        <family val="2"/>
        <scheme val="minor"/>
      </rPr>
      <t xml:space="preserve">
</t>
    </r>
  </si>
  <si>
    <r>
      <rPr>
        <b/>
        <sz val="10"/>
        <rFont val="Calibri"/>
        <family val="2"/>
        <scheme val="minor"/>
      </rPr>
      <t>From 37th policy monthiversary</t>
    </r>
    <r>
      <rPr>
        <sz val="10"/>
        <rFont val="Calibri"/>
        <family val="2"/>
        <scheme val="minor"/>
      </rPr>
      <t xml:space="preserve">
2.3616% p.a of SA
</t>
    </r>
    <r>
      <rPr>
        <b/>
        <sz val="10"/>
        <rFont val="Calibri"/>
        <family val="2"/>
        <scheme val="minor"/>
      </rPr>
      <t xml:space="preserve">
From 49th policy monthiversary
</t>
    </r>
    <r>
      <rPr>
        <sz val="10"/>
        <rFont val="Calibri"/>
        <family val="2"/>
        <scheme val="minor"/>
      </rPr>
      <t xml:space="preserve">2.0256% p.a of SA
</t>
    </r>
  </si>
  <si>
    <r>
      <rPr>
        <b/>
        <sz val="10"/>
        <color rgb="FF0000CC"/>
        <rFont val="Calibri"/>
        <family val="2"/>
        <scheme val="minor"/>
      </rPr>
      <t>Non-Guaranteed Booster Bonus of 0.50% of Sum Assured</t>
    </r>
    <r>
      <rPr>
        <sz val="10"/>
        <rFont val="Calibri"/>
        <family val="2"/>
        <scheme val="minor"/>
      </rPr>
      <t xml:space="preserve">  (IRR4.25%) (non-guaranteed) payable every Policy Year starting from the policy anniversary immediately following:
(i)The date on which the life assured attained ANB60; 
or 
(ii)The end of the 20th policy year after the end of the accumulation period,
Whichever is later.</t>
    </r>
  </si>
  <si>
    <r>
      <t xml:space="preserve">3-year average (2021 to 2023): </t>
    </r>
    <r>
      <rPr>
        <sz val="10"/>
        <color rgb="FFFF0000"/>
        <rFont val="Calibri"/>
        <family val="2"/>
        <scheme val="minor"/>
      </rPr>
      <t>-2.51%</t>
    </r>
    <r>
      <rPr>
        <sz val="10"/>
        <rFont val="Calibri"/>
        <family val="2"/>
        <scheme val="minor"/>
      </rPr>
      <t xml:space="preserve">
5-year average (2019 to 2023): 2.52%
10-year average (2014 to 2023): 3.13%</t>
    </r>
  </si>
  <si>
    <r>
      <t xml:space="preserve">3-year average (2021 to 2023): </t>
    </r>
    <r>
      <rPr>
        <sz val="10"/>
        <color rgb="FFFF0000"/>
        <rFont val="Calibri"/>
        <family val="2"/>
        <scheme val="minor"/>
      </rPr>
      <t>-0.08%</t>
    </r>
    <r>
      <rPr>
        <sz val="10"/>
        <rFont val="Calibri"/>
        <family val="2"/>
        <scheme val="minor"/>
      </rPr>
      <t xml:space="preserve">
5-year average (2019 to 2023): 4.99%
10-year average (2013 to 2023): NA</t>
    </r>
  </si>
  <si>
    <r>
      <t xml:space="preserve">3-year average (2021 to 2023): </t>
    </r>
    <r>
      <rPr>
        <sz val="10"/>
        <color rgb="FFFF0000"/>
        <rFont val="Calibri"/>
        <family val="2"/>
        <scheme val="minor"/>
      </rPr>
      <t>-3.4%</t>
    </r>
    <r>
      <rPr>
        <sz val="10"/>
        <rFont val="Calibri"/>
        <family val="2"/>
        <scheme val="minor"/>
      </rPr>
      <t xml:space="preserve">
5-year average (2019 to 2023): NA
10-year average (2014 to 2023): NA</t>
    </r>
  </si>
  <si>
    <r>
      <t xml:space="preserve">3-year average (2021 to 2023): </t>
    </r>
    <r>
      <rPr>
        <sz val="10"/>
        <color rgb="FFFF0000"/>
        <rFont val="Calibri"/>
        <family val="2"/>
        <scheme val="minor"/>
      </rPr>
      <t>-2.48%</t>
    </r>
    <r>
      <rPr>
        <sz val="10"/>
        <rFont val="Calibri"/>
        <family val="2"/>
        <scheme val="minor"/>
      </rPr>
      <t xml:space="preserve">
5-year average (2019 to 2023): 1.26%
10-year average (2014 to 2023): NA</t>
    </r>
  </si>
  <si>
    <r>
      <t xml:space="preserve">2022: </t>
    </r>
    <r>
      <rPr>
        <sz val="10"/>
        <color rgb="FFFF0000"/>
        <rFont val="Calibri"/>
        <family val="2"/>
        <scheme val="minor"/>
      </rPr>
      <t>-4.92%</t>
    </r>
  </si>
  <si>
    <r>
      <t xml:space="preserve">3-year average (2021 to 2023): </t>
    </r>
    <r>
      <rPr>
        <sz val="10"/>
        <color rgb="FFFF0000"/>
        <rFont val="Calibri"/>
        <family val="2"/>
        <scheme val="minor"/>
      </rPr>
      <t>-1.48%</t>
    </r>
    <r>
      <rPr>
        <sz val="10"/>
        <rFont val="Calibri"/>
        <family val="2"/>
        <scheme val="minor"/>
      </rPr>
      <t xml:space="preserve">
5-year average (2019 to 2023): 2.72%
10-year average (2014 to 2023): 3.50%</t>
    </r>
  </si>
  <si>
    <r>
      <t>2021: 6.93%
2022: 3.86%
2023: 3.38%
3-year average (2021 to 2023): 4.29%
5-year average (2019 to 2023): NA
10-year average (2014 to 2023): NA</t>
    </r>
    <r>
      <rPr>
        <sz val="10"/>
        <color rgb="FF0000CC"/>
        <rFont val="Calibri"/>
        <family val="2"/>
        <scheme val="minor"/>
      </rPr>
      <t>.</t>
    </r>
  </si>
  <si>
    <t>Luxe Plus Solitaire II</t>
  </si>
  <si>
    <t>Decrease of single premium is allowed but it will be classified as partial withdrawal.</t>
  </si>
  <si>
    <r>
      <rPr>
        <b/>
        <sz val="10"/>
        <color rgb="FF0000CC"/>
        <rFont val="Calibri"/>
        <family val="2"/>
        <scheme val="minor"/>
      </rPr>
      <t xml:space="preserve">Increase in Sum Assured: 
Allowed before policy is incepted
</t>
    </r>
    <r>
      <rPr>
        <sz val="10"/>
        <rFont val="Calibri"/>
        <family val="2"/>
        <scheme val="minor"/>
      </rPr>
      <t xml:space="preserve"> 
Reduction in Sum Assured:
Allowed before policy is incepted</t>
    </r>
  </si>
  <si>
    <r>
      <rPr>
        <b/>
        <sz val="12"/>
        <rFont val="Calibri"/>
        <family val="2"/>
        <scheme val="minor"/>
      </rPr>
      <t>Policy Year 3 to 34:</t>
    </r>
    <r>
      <rPr>
        <sz val="12"/>
        <rFont val="Calibri"/>
        <family val="2"/>
        <scheme val="minor"/>
      </rPr>
      <t xml:space="preserve">
$17,500
</t>
    </r>
    <r>
      <rPr>
        <b/>
        <sz val="12"/>
        <rFont val="Calibri"/>
        <family val="2"/>
        <scheme val="minor"/>
      </rPr>
      <t xml:space="preserve">Policy Year 35 onwards 
with Booster Bonus:
</t>
    </r>
    <r>
      <rPr>
        <sz val="12"/>
        <rFont val="Calibri"/>
        <family val="2"/>
        <scheme val="minor"/>
      </rPr>
      <t>$19,250</t>
    </r>
  </si>
  <si>
    <r>
      <t>Policy Year 2 &amp; 3: 2.35%
Policy Year 4 to 16: 3.44%
Policy year 17 onwards:</t>
    </r>
    <r>
      <rPr>
        <b/>
        <sz val="12"/>
        <color rgb="FF0000CC"/>
        <rFont val="Calibri"/>
        <family val="2"/>
        <scheme val="minor"/>
      </rPr>
      <t xml:space="preserve"> 3.75%</t>
    </r>
  </si>
  <si>
    <r>
      <t xml:space="preserve">Policy Year 3 to 34: 3.50%
Policy Year 35 onwards with Booster Bonus: </t>
    </r>
    <r>
      <rPr>
        <b/>
        <sz val="12"/>
        <color rgb="FF0000CC"/>
        <rFont val="Calibri"/>
        <family val="2"/>
        <scheme val="minor"/>
      </rPr>
      <t>3.85%</t>
    </r>
  </si>
  <si>
    <r>
      <rPr>
        <b/>
        <sz val="12"/>
        <rFont val="Calibri"/>
        <family val="2"/>
        <scheme val="minor"/>
      </rPr>
      <t>Policy Year 3 to 34:</t>
    </r>
    <r>
      <rPr>
        <sz val="12"/>
        <rFont val="Calibri"/>
        <family val="2"/>
        <scheme val="minor"/>
      </rPr>
      <t xml:space="preserve">
$7,000
</t>
    </r>
    <r>
      <rPr>
        <b/>
        <sz val="12"/>
        <rFont val="Calibri"/>
        <family val="2"/>
        <scheme val="minor"/>
      </rPr>
      <t xml:space="preserve">Policy Year 35 onwards 
with Booster Bonus:
</t>
    </r>
    <r>
      <rPr>
        <sz val="12"/>
        <rFont val="Calibri"/>
        <family val="2"/>
        <scheme val="minor"/>
      </rPr>
      <t>$7,700</t>
    </r>
  </si>
  <si>
    <r>
      <rPr>
        <b/>
        <sz val="12"/>
        <rFont val="Calibri"/>
        <family val="2"/>
        <scheme val="minor"/>
      </rPr>
      <t>Policy Year 3 to 34</t>
    </r>
    <r>
      <rPr>
        <sz val="12"/>
        <rFont val="Calibri"/>
        <family val="2"/>
        <scheme val="minor"/>
      </rPr>
      <t xml:space="preserve">: $35,000
</t>
    </r>
    <r>
      <rPr>
        <b/>
        <sz val="12"/>
        <rFont val="Calibri"/>
        <family val="2"/>
        <scheme val="minor"/>
      </rPr>
      <t>Policy Year 35 onwards with Booster Bonus:</t>
    </r>
    <r>
      <rPr>
        <sz val="12"/>
        <rFont val="Calibri"/>
        <family val="2"/>
        <scheme val="minor"/>
      </rPr>
      <t xml:space="preserve"> $38,500</t>
    </r>
  </si>
  <si>
    <r>
      <rPr>
        <b/>
        <sz val="12"/>
        <rFont val="Calibri"/>
        <family val="2"/>
        <scheme val="minor"/>
      </rPr>
      <t>Policy Year 3 to 24</t>
    </r>
    <r>
      <rPr>
        <sz val="12"/>
        <rFont val="Calibri"/>
        <family val="2"/>
        <scheme val="minor"/>
      </rPr>
      <t xml:space="preserve">: $6,900
</t>
    </r>
    <r>
      <rPr>
        <b/>
        <sz val="12"/>
        <rFont val="Calibri"/>
        <family val="2"/>
        <scheme val="minor"/>
      </rPr>
      <t>Policy Year 25 onwards with Booster Bonus</t>
    </r>
    <r>
      <rPr>
        <sz val="12"/>
        <rFont val="Calibri"/>
        <family val="2"/>
        <scheme val="minor"/>
      </rPr>
      <t>: $7,540</t>
    </r>
  </si>
  <si>
    <r>
      <t xml:space="preserve">Policy Year 2 &amp; 3: 2.35%
Policy Year 4 to 16: 3.44%
Policy year 17 onwards: </t>
    </r>
    <r>
      <rPr>
        <b/>
        <sz val="12"/>
        <color rgb="FF0000CC"/>
        <rFont val="Calibri"/>
        <family val="2"/>
        <scheme val="minor"/>
      </rPr>
      <t>3.75%</t>
    </r>
  </si>
  <si>
    <r>
      <rPr>
        <b/>
        <sz val="12"/>
        <rFont val="Calibri"/>
        <family val="2"/>
        <scheme val="minor"/>
      </rPr>
      <t>Policy Year 3 to 24:</t>
    </r>
    <r>
      <rPr>
        <sz val="12"/>
        <rFont val="Calibri"/>
        <family val="2"/>
        <scheme val="minor"/>
      </rPr>
      <t xml:space="preserve"> $17,250
</t>
    </r>
    <r>
      <rPr>
        <b/>
        <sz val="12"/>
        <rFont val="Calibri"/>
        <family val="2"/>
        <scheme val="minor"/>
      </rPr>
      <t>Policy Year 25 onwards 
with Booster Bonus:</t>
    </r>
    <r>
      <rPr>
        <sz val="12"/>
        <rFont val="Calibri"/>
        <family val="2"/>
        <scheme val="minor"/>
      </rPr>
      <t xml:space="preserve"> $18,850</t>
    </r>
  </si>
  <si>
    <r>
      <rPr>
        <b/>
        <sz val="12"/>
        <rFont val="Calibri"/>
        <family val="2"/>
        <scheme val="minor"/>
      </rPr>
      <t>Policy Year 3 to 24</t>
    </r>
    <r>
      <rPr>
        <sz val="12"/>
        <rFont val="Calibri"/>
        <family val="2"/>
        <scheme val="minor"/>
      </rPr>
      <t xml:space="preserve">: $34,500
</t>
    </r>
    <r>
      <rPr>
        <b/>
        <sz val="12"/>
        <rFont val="Calibri"/>
        <family val="2"/>
        <scheme val="minor"/>
      </rPr>
      <t xml:space="preserve">
Policy Year 25 onwards 
with Booster Bonus:</t>
    </r>
    <r>
      <rPr>
        <sz val="12"/>
        <rFont val="Calibri"/>
        <family val="2"/>
        <scheme val="minor"/>
      </rPr>
      <t xml:space="preserve"> $37,700</t>
    </r>
  </si>
  <si>
    <t xml:space="preserve">- Policy term up till age 120 for a longer payout
- Secondary Life Insured option during the policy term to ensure continuity of the policy
- More flexibility with Change of Insured option
- Pays 105% of SP and a non-guaranteed terminal bonus as a Maturity Benefit at age 120
</t>
  </si>
  <si>
    <r>
      <t xml:space="preserve">- Offers 3Pay &amp; 5Pay options other than single premium option
</t>
    </r>
    <r>
      <rPr>
        <sz val="11"/>
        <color rgb="FF0000CC"/>
        <rFont val="Calibri"/>
        <family val="2"/>
        <scheme val="minor"/>
      </rPr>
      <t>- Capital guaranteed as early at the end of 3rd policy year which is one of the earliest</t>
    </r>
    <r>
      <rPr>
        <sz val="11"/>
        <rFont val="Calibri"/>
        <family val="2"/>
        <scheme val="minor"/>
      </rPr>
      <t xml:space="preserve">
</t>
    </r>
    <r>
      <rPr>
        <sz val="11"/>
        <color rgb="FF0000CC"/>
        <rFont val="Calibri"/>
        <family val="2"/>
        <scheme val="minor"/>
      </rPr>
      <t>- Competitive in terms of its guaranteed surrender value, total surrender value and guaranteed yearly income
- Surrender value is 80% of single premium after policy incepted and reaches 100% of the single premium at the end of the 3rd policy year. The guaranteed surrender value then increases gradually until it reaches 105% of the single premium at the end of the 25th policy year and stays level thereafter.</t>
    </r>
    <r>
      <rPr>
        <sz val="11"/>
        <rFont val="Calibri"/>
        <family val="2"/>
        <scheme val="minor"/>
      </rPr>
      <t xml:space="preserve">
- Secondary life insured option is available
- Refund of premium if death due to any causes other than Accident within 1 year from the Issue Date</t>
    </r>
  </si>
  <si>
    <r>
      <rPr>
        <b/>
        <sz val="12"/>
        <rFont val="Calibri"/>
        <family val="2"/>
        <scheme val="minor"/>
      </rPr>
      <t>Policy Year 3 to 24</t>
    </r>
    <r>
      <rPr>
        <sz val="12"/>
        <rFont val="Calibri"/>
        <family val="2"/>
        <scheme val="minor"/>
      </rPr>
      <t xml:space="preserve">: $6,800
</t>
    </r>
    <r>
      <rPr>
        <b/>
        <sz val="12"/>
        <rFont val="Calibri"/>
        <family val="2"/>
        <scheme val="minor"/>
      </rPr>
      <t>Policy Year 25 onwards with Booster Bonus</t>
    </r>
    <r>
      <rPr>
        <sz val="12"/>
        <rFont val="Calibri"/>
        <family val="2"/>
        <scheme val="minor"/>
      </rPr>
      <t>: $7,400</t>
    </r>
  </si>
  <si>
    <t>From policy year 3 to 22: 3.25%
From policy year 23 onwards: 3.56%</t>
  </si>
  <si>
    <t>Secondary Insured Option</t>
  </si>
  <si>
    <r>
      <rPr>
        <sz val="10"/>
        <rFont val="Calibri"/>
        <family val="2"/>
        <scheme val="minor"/>
      </rPr>
      <t xml:space="preserve">Allowed after second policy year. </t>
    </r>
    <r>
      <rPr>
        <b/>
        <sz val="10"/>
        <color rgb="FF0000CC"/>
        <rFont val="Calibri"/>
        <family val="2"/>
        <scheme val="minor"/>
      </rPr>
      <t xml:space="preserve">
Unlimited times for both individual and corporate-owned policies.</t>
    </r>
  </si>
  <si>
    <t>Change of Insured Option</t>
  </si>
  <si>
    <t>- Secondary Insured Option introduced allows for the option to appoint a secondary life insured to ensure continuity of the policy
- No limit for both individual and Corporate policies for Change of Insured Option
- Pays 105% of SP and a non-guaranteed terminal bonus as a maturity benefit at age 120</t>
  </si>
  <si>
    <t xml:space="preserve">Allowed after second policy year. 
Up to 3 times for individual owned policies and unlimited times for corporate-owned policies </t>
  </si>
  <si>
    <t>Allowed after second policy year. 
Up to 2 times for individual owned policies and unlimited times for corporate-owned policies</t>
  </si>
  <si>
    <r>
      <t xml:space="preserve">Allowed after first policy year 
</t>
    </r>
    <r>
      <rPr>
        <sz val="10"/>
        <rFont val="Calibri"/>
        <family val="2"/>
        <scheme val="minor"/>
      </rPr>
      <t>Up to 2 times for individual owned policies and unlimited times for corporate-owned policies</t>
    </r>
  </si>
  <si>
    <t>Up to 2 times.</t>
  </si>
  <si>
    <t>Up to 3 times</t>
  </si>
  <si>
    <t>Up to 2 times</t>
  </si>
  <si>
    <t>Yes, at end of policy term at age 100
Sum of the following:
(a) guaranteed surrender value; and
(b) non-guaranteed maturity bonus (if any); 
Less policy debt (if any)
Any accumulated Income plus interest accrued will also be paid</t>
  </si>
  <si>
    <t>Yes, at end of policy term at age 120
Sum of the following:
(a) guaranteed surrender value; and
(b) non-guaranteed maturity bonus (if any); 
Less policy debt (if any)
Any accumulated Income plus interest accrued will also be paid</t>
  </si>
  <si>
    <t>Yes, at end of policy term at age 120
Sum of the following:
(a) guaranteed surrender value; and
(b) non-guaranteed maturity bonus (if any);
Less policy debt (if any)
Any accumulated Income plus interest accrued will also be paid</t>
  </si>
  <si>
    <t>Yes, at policy maturity at age 120
Sum of the following:
(a) guaranteed surrender value;
(b) non-guaranteed terminal dividend;
Less policy debt (if any)
Any accumulated Income plus interest accrued will also be paid</t>
  </si>
  <si>
    <t>Yes, at policy maturity at age 120.
Sum of the following:
(a) guaranteed surrender value; and
(b) non-guaranteed maturity bonus (if any);
Less policy debt (if any)
Any accumulated Income plus interest accrued will also be paid</t>
  </si>
  <si>
    <t>Yes, at end of policy term at age 125
Sum of the following:
(a) guaranteed surrender value; and
(b )last monthly income
(c) Any performance bonus
Less policy debt (if any)
Any accumulated Income plus interest accrued will also be paid</t>
  </si>
  <si>
    <r>
      <t xml:space="preserve">Equivalent to 80% of the Single Premium from Day 1.
</t>
    </r>
    <r>
      <rPr>
        <b/>
        <sz val="10"/>
        <color rgb="FF0000CC"/>
        <rFont val="Calibri"/>
        <family val="2"/>
        <scheme val="minor"/>
      </rPr>
      <t>Increase at 0.25% per annum (compounded) starting from the 5th policy year after the end of the Accumulation Period.</t>
    </r>
  </si>
  <si>
    <t>Equivalent to 80% of the Single Premium from Day 1 and level throughout the policy term.</t>
  </si>
  <si>
    <r>
      <t xml:space="preserve">Equivalent to 80% of the Single Premium from Day 1.
</t>
    </r>
    <r>
      <rPr>
        <b/>
        <sz val="10"/>
        <color rgb="FF0000CC"/>
        <rFont val="Calibri"/>
        <family val="2"/>
        <scheme val="minor"/>
      </rPr>
      <t>Reaches 100% of the single premium at the end of the 3rd policy year and increases until it reaches 105% of the single premium at the end of the 25th policy year and stays level thereafter.</t>
    </r>
  </si>
  <si>
    <t>Summary</t>
  </si>
  <si>
    <t>Provider</t>
  </si>
  <si>
    <t>Plan</t>
  </si>
  <si>
    <t>Source of Fund</t>
  </si>
  <si>
    <t>Type</t>
  </si>
  <si>
    <t>Product Info</t>
  </si>
  <si>
    <t>AIA</t>
  </si>
  <si>
    <t>Cash</t>
  </si>
  <si>
    <t>FWD</t>
  </si>
  <si>
    <t>Great Eastern</t>
  </si>
  <si>
    <t>HSBC Life</t>
  </si>
  <si>
    <t>Prudential</t>
  </si>
  <si>
    <t>AIA Platinum Gift for Life Plus (II))</t>
  </si>
  <si>
    <t>Single Premium with Payout</t>
  </si>
  <si>
    <t>https://www.aia.com.sg/en/our-products/platinum/wealth-accumulation/aia-platinum-gift-for-life-series</t>
  </si>
  <si>
    <t>https://www.fwd.com.sg/personalised-financial-advice/life-income-plus/</t>
  </si>
  <si>
    <t>FWD Life Income Plus</t>
  </si>
  <si>
    <t>Prestige Life Rewards 5A (SGD)</t>
  </si>
  <si>
    <t>https://www.greateasternlife.com/sg/en/personal-insurance/our-products/wealth-accumulation/prestige-life-rewards-series.html</t>
  </si>
  <si>
    <t>Prestige Life Rewards 5 (SGD)</t>
  </si>
  <si>
    <t>Prestige Life Rewards 4 (USD)</t>
  </si>
  <si>
    <t>https://www.hsbc.com.sg/insurance/products/life/sapphire-prestige-income/</t>
  </si>
  <si>
    <t>https://www.prudential.com.sg/products/wealth-accumulation/savings/pruwealth-income</t>
  </si>
  <si>
    <t>PRUWealth Income</t>
  </si>
  <si>
    <r>
      <t xml:space="preserve">$100,000
</t>
    </r>
    <r>
      <rPr>
        <b/>
        <sz val="10"/>
        <color rgb="FF0000CC"/>
        <rFont val="Calibri"/>
        <family val="2"/>
        <scheme val="minor"/>
      </rPr>
      <t xml:space="preserve">Note: In the campaign period from 23 May 2024 – 30 June 2025, this is reduced to $80,000. </t>
    </r>
  </si>
  <si>
    <r>
      <t xml:space="preserve">Subject to minimum single premium: $100,000
</t>
    </r>
    <r>
      <rPr>
        <b/>
        <sz val="10"/>
        <color rgb="FF0000CC"/>
        <rFont val="Calibri"/>
        <family val="2"/>
        <scheme val="minor"/>
      </rPr>
      <t xml:space="preserve">Note: In the campaign period from 23 May 2024 – 30 June 2025, this is reduced to $80,000. 
</t>
    </r>
  </si>
  <si>
    <r>
      <t xml:space="preserve">Reduction in monthly income is allowed, subject to a remaining single premium of S$100k.
</t>
    </r>
    <r>
      <rPr>
        <b/>
        <sz val="10"/>
        <color rgb="FF0000CC"/>
        <rFont val="Calibri"/>
        <family val="2"/>
        <scheme val="minor"/>
      </rPr>
      <t xml:space="preserve">Note: In the campaign period from 23 May 2024 – 30 June 2025, this is reduced to $80,000. </t>
    </r>
    <r>
      <rPr>
        <sz val="10"/>
        <rFont val="Calibri"/>
        <family val="2"/>
        <scheme val="minor"/>
      </rPr>
      <t xml:space="preserve">
</t>
    </r>
  </si>
  <si>
    <r>
      <t xml:space="preserve">This information is accurate as of </t>
    </r>
    <r>
      <rPr>
        <b/>
        <sz val="12"/>
        <color rgb="FF0000CC"/>
        <rFont val="Arial"/>
        <family val="2"/>
      </rPr>
      <t>06 December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</si>
</sst>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0.000%"/>
  </numFmts>
  <fonts count="4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1"/>
      <name val="Calibri"/>
      <family val="2"/>
      <scheme val="minor"/>
    </font>
    <font>
      <b/>
      <sz val="12"/>
      <color theme="1" tint="0.499984740745262"/>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FF0000"/>
      <name val="Calibri"/>
      <family val="2"/>
      <scheme val="minor"/>
    </font>
    <font>
      <b/>
      <sz val="12"/>
      <color rgb="FF0000CC"/>
      <name val="Calibri"/>
      <family val="2"/>
      <scheme val="minor"/>
    </font>
    <font>
      <b/>
      <sz val="11"/>
      <name val="Calibri"/>
      <family val="2"/>
      <scheme val="minor"/>
    </font>
    <font>
      <sz val="10"/>
      <name val="Calibri"/>
      <family val="2"/>
      <scheme val="minor"/>
    </font>
    <font>
      <b/>
      <u/>
      <sz val="11"/>
      <name val="Calibri"/>
      <family val="2"/>
      <scheme val="minor"/>
    </font>
    <font>
      <b/>
      <sz val="10"/>
      <color rgb="FF0000CC"/>
      <name val="Calibri"/>
      <family val="2"/>
      <scheme val="minor"/>
    </font>
    <font>
      <sz val="10"/>
      <color theme="1"/>
      <name val="Calibri"/>
      <family val="2"/>
      <scheme val="minor"/>
    </font>
    <font>
      <b/>
      <sz val="10"/>
      <name val="Calibri"/>
      <family val="2"/>
      <scheme val="minor"/>
    </font>
    <font>
      <sz val="10"/>
      <color rgb="FF000000"/>
      <name val="Calibri"/>
      <family val="2"/>
      <scheme val="minor"/>
    </font>
    <font>
      <u/>
      <sz val="10"/>
      <name val="Calibri"/>
      <family val="2"/>
      <scheme val="minor"/>
    </font>
    <font>
      <b/>
      <sz val="12"/>
      <color rgb="FF0000CC"/>
      <name val="Arial"/>
      <family val="2"/>
    </font>
    <font>
      <b/>
      <sz val="11"/>
      <color rgb="FF000000"/>
      <name val="Arial"/>
      <family val="2"/>
    </font>
    <font>
      <b/>
      <sz val="11"/>
      <color theme="1"/>
      <name val="Arial"/>
      <family val="2"/>
    </font>
    <font>
      <sz val="11"/>
      <color rgb="FF000000"/>
      <name val="Arial"/>
      <family val="2"/>
    </font>
    <font>
      <vertAlign val="superscript"/>
      <sz val="11"/>
      <color rgb="FF000000"/>
      <name val="Arial"/>
      <family val="2"/>
    </font>
    <font>
      <b/>
      <sz val="11"/>
      <color rgb="FF0000CC"/>
      <name val="Arial"/>
      <family val="2"/>
    </font>
    <font>
      <b/>
      <sz val="11"/>
      <color rgb="FF0000CC"/>
      <name val="Calibri"/>
      <family val="2"/>
      <scheme val="minor"/>
    </font>
    <font>
      <sz val="11"/>
      <color rgb="FF0000CC"/>
      <name val="Calibri"/>
      <family val="2"/>
      <scheme val="minor"/>
    </font>
    <font>
      <sz val="12"/>
      <name val="Arial"/>
      <family val="2"/>
    </font>
    <font>
      <b/>
      <sz val="12"/>
      <name val="Arial"/>
      <family val="2"/>
    </font>
    <font>
      <sz val="10"/>
      <color rgb="FFFF0000"/>
      <name val="Calibri"/>
      <family val="2"/>
      <scheme val="minor"/>
    </font>
    <font>
      <sz val="8"/>
      <name val="Calibri"/>
      <family val="2"/>
      <scheme val="minor"/>
    </font>
    <font>
      <b/>
      <sz val="12"/>
      <name val="Calibri"/>
      <family val="2"/>
    </font>
    <font>
      <b/>
      <sz val="10"/>
      <color rgb="FFFF0000"/>
      <name val="Calibri"/>
      <family val="2"/>
      <scheme val="minor"/>
    </font>
    <font>
      <sz val="7"/>
      <color theme="1"/>
      <name val="Calibri"/>
      <family val="2"/>
      <scheme val="minor"/>
    </font>
    <font>
      <b/>
      <sz val="7"/>
      <color theme="1"/>
      <name val="Calibri"/>
      <family val="2"/>
      <scheme val="minor"/>
    </font>
    <font>
      <sz val="10"/>
      <color rgb="FF0000CC"/>
      <name val="Calibri"/>
      <family val="2"/>
      <scheme val="minor"/>
    </font>
    <font>
      <b/>
      <sz val="11"/>
      <color theme="0"/>
      <name val="Calibri"/>
      <family val="2"/>
      <scheme val="minor"/>
    </font>
    <font>
      <sz val="12"/>
      <color rgb="FF000000"/>
      <name val="Calibri"/>
      <family val="2"/>
      <scheme val="minor"/>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CCFFCC"/>
        <bgColor indexed="64"/>
      </patternFill>
    </fill>
    <fill>
      <patternFill patternType="solid">
        <fgColor rgb="FFFFC000"/>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theme="7" tint="0.79998168889431442"/>
        <bgColor indexed="64"/>
      </patternFill>
    </fill>
    <fill>
      <patternFill patternType="solid">
        <fgColor theme="9"/>
        <bgColor indexed="64"/>
      </patternFill>
    </fill>
    <fill>
      <patternFill patternType="solid">
        <fgColor rgb="FFC0000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3" fillId="0" borderId="0"/>
    <xf numFmtId="0" fontId="1" fillId="0" borderId="0"/>
    <xf numFmtId="0" fontId="9" fillId="0" borderId="0" applyNumberFormat="0" applyFill="0" applyBorder="0" applyAlignment="0" applyProtection="0">
      <alignment vertical="top"/>
      <protection locked="0"/>
    </xf>
    <xf numFmtId="0" fontId="3" fillId="0" borderId="0"/>
    <xf numFmtId="0" fontId="1" fillId="0" borderId="0"/>
  </cellStyleXfs>
  <cellXfs count="438">
    <xf numFmtId="0" fontId="0" fillId="0" borderId="0" xfId="0"/>
    <xf numFmtId="0" fontId="3" fillId="0" borderId="0" xfId="2"/>
    <xf numFmtId="0" fontId="7" fillId="2" borderId="0" xfId="2" applyFont="1" applyFill="1"/>
    <xf numFmtId="0" fontId="6" fillId="2" borderId="0" xfId="2" applyFont="1" applyFill="1"/>
    <xf numFmtId="0" fontId="10" fillId="2" borderId="0" xfId="4" applyFont="1" applyFill="1" applyAlignment="1" applyProtection="1">
      <alignment horizontal="left" vertical="center" wrapText="1"/>
    </xf>
    <xf numFmtId="16" fontId="6" fillId="2" borderId="0" xfId="2" applyNumberFormat="1" applyFont="1" applyFill="1"/>
    <xf numFmtId="0" fontId="6" fillId="2" borderId="0" xfId="2" applyFont="1" applyFill="1" applyAlignment="1">
      <alignment wrapText="1"/>
    </xf>
    <xf numFmtId="0" fontId="0" fillId="2" borderId="0" xfId="0" applyFill="1"/>
    <xf numFmtId="0" fontId="0" fillId="2" borderId="0" xfId="0" quotePrefix="1" applyFill="1" applyAlignment="1">
      <alignment vertical="top" wrapText="1"/>
    </xf>
    <xf numFmtId="0" fontId="2" fillId="2" borderId="9" xfId="0" applyFont="1" applyFill="1" applyBorder="1" applyAlignment="1">
      <alignment vertical="top"/>
    </xf>
    <xf numFmtId="0" fontId="2" fillId="0" borderId="9" xfId="0" applyFont="1" applyBorder="1" applyAlignment="1">
      <alignment vertical="top"/>
    </xf>
    <xf numFmtId="0" fontId="15" fillId="0" borderId="0" xfId="0" applyFont="1"/>
    <xf numFmtId="0" fontId="15" fillId="0" borderId="0" xfId="0" applyFont="1" applyAlignment="1">
      <alignment wrapText="1"/>
    </xf>
    <xf numFmtId="0" fontId="15" fillId="0" borderId="0" xfId="0" applyFont="1" applyAlignment="1">
      <alignment horizontal="center"/>
    </xf>
    <xf numFmtId="0" fontId="15" fillId="0" borderId="0" xfId="0" applyFont="1" applyAlignment="1">
      <alignment vertical="center"/>
    </xf>
    <xf numFmtId="0" fontId="17" fillId="0" borderId="10" xfId="0" applyFont="1" applyBorder="1" applyAlignment="1">
      <alignment horizontal="left" vertical="center" wrapText="1"/>
    </xf>
    <xf numFmtId="10" fontId="15" fillId="0" borderId="10" xfId="0" applyNumberFormat="1" applyFont="1" applyBorder="1" applyAlignment="1">
      <alignment horizontal="center" vertical="center"/>
    </xf>
    <xf numFmtId="0" fontId="17" fillId="0" borderId="0" xfId="0" applyFont="1" applyAlignment="1">
      <alignment horizontal="center" vertical="center"/>
    </xf>
    <xf numFmtId="0" fontId="17" fillId="0" borderId="10" xfId="0" applyFont="1" applyBorder="1" applyAlignment="1">
      <alignment horizontal="left" vertical="center"/>
    </xf>
    <xf numFmtId="6" fontId="17" fillId="0" borderId="0" xfId="0" applyNumberFormat="1" applyFont="1" applyAlignment="1">
      <alignment horizontal="center" vertical="center" wrapText="1"/>
    </xf>
    <xf numFmtId="0" fontId="17" fillId="0" borderId="9" xfId="0" applyFont="1" applyBorder="1" applyAlignment="1">
      <alignment horizontal="left" vertical="center" wrapText="1"/>
    </xf>
    <xf numFmtId="0" fontId="15" fillId="0" borderId="9" xfId="0" applyFont="1" applyBorder="1" applyAlignment="1">
      <alignment horizontal="center" vertical="center"/>
    </xf>
    <xf numFmtId="6" fontId="15" fillId="0" borderId="9" xfId="0" applyNumberFormat="1" applyFont="1" applyBorder="1" applyAlignment="1">
      <alignment horizontal="center" vertical="center"/>
    </xf>
    <xf numFmtId="0" fontId="17" fillId="0" borderId="9" xfId="0" applyFont="1" applyBorder="1" applyAlignment="1">
      <alignment vertical="center" wrapText="1"/>
    </xf>
    <xf numFmtId="164" fontId="17" fillId="0" borderId="9" xfId="1" applyNumberFormat="1" applyFont="1" applyFill="1" applyBorder="1" applyAlignment="1">
      <alignment horizontal="center" vertical="center"/>
    </xf>
    <xf numFmtId="164" fontId="17" fillId="0" borderId="0" xfId="1" applyNumberFormat="1" applyFont="1" applyFill="1" applyBorder="1" applyAlignment="1">
      <alignment horizontal="center" vertical="center"/>
    </xf>
    <xf numFmtId="164" fontId="15" fillId="0" borderId="9" xfId="0" applyNumberFormat="1" applyFont="1" applyBorder="1" applyAlignment="1">
      <alignment horizontal="center" vertical="center"/>
    </xf>
    <xf numFmtId="0" fontId="17" fillId="0" borderId="9" xfId="0" quotePrefix="1" applyFont="1" applyBorder="1" applyAlignment="1">
      <alignment horizontal="left" vertical="center" wrapText="1"/>
    </xf>
    <xf numFmtId="6" fontId="17" fillId="0" borderId="9" xfId="0" quotePrefix="1" applyNumberFormat="1" applyFont="1" applyBorder="1" applyAlignment="1">
      <alignment horizontal="center" vertical="center" wrapText="1"/>
    </xf>
    <xf numFmtId="164" fontId="17" fillId="0" borderId="9" xfId="0" quotePrefix="1" applyNumberFormat="1" applyFont="1" applyBorder="1" applyAlignment="1">
      <alignment horizontal="center" vertical="center" wrapText="1"/>
    </xf>
    <xf numFmtId="164" fontId="18" fillId="0" borderId="0" xfId="1" applyNumberFormat="1" applyFont="1" applyFill="1" applyBorder="1" applyAlignment="1">
      <alignment horizontal="center" vertical="center"/>
    </xf>
    <xf numFmtId="0" fontId="16" fillId="0" borderId="0" xfId="0" applyFont="1"/>
    <xf numFmtId="0" fontId="18" fillId="3" borderId="9" xfId="0" quotePrefix="1" applyFont="1" applyFill="1" applyBorder="1" applyAlignment="1">
      <alignment horizontal="left" vertical="center" wrapText="1"/>
    </xf>
    <xf numFmtId="2" fontId="18" fillId="3" borderId="9" xfId="0" quotePrefix="1" applyNumberFormat="1" applyFont="1" applyFill="1" applyBorder="1" applyAlignment="1">
      <alignment horizontal="center" vertical="center" wrapText="1"/>
    </xf>
    <xf numFmtId="0" fontId="18" fillId="3" borderId="9" xfId="0" applyFont="1" applyFill="1" applyBorder="1" applyAlignment="1">
      <alignment horizontal="left" vertical="center" wrapText="1"/>
    </xf>
    <xf numFmtId="6" fontId="17" fillId="0" borderId="9" xfId="0" applyNumberFormat="1" applyFont="1" applyBorder="1" applyAlignment="1">
      <alignment horizontal="center" vertical="center" wrapText="1"/>
    </xf>
    <xf numFmtId="0" fontId="18" fillId="0" borderId="9" xfId="0" quotePrefix="1" applyFont="1" applyBorder="1" applyAlignment="1">
      <alignment vertical="center" wrapText="1"/>
    </xf>
    <xf numFmtId="0" fontId="17" fillId="0" borderId="9" xfId="0" quotePrefix="1" applyFont="1" applyBorder="1" applyAlignment="1">
      <alignment horizontal="center" vertical="center" wrapText="1"/>
    </xf>
    <xf numFmtId="0" fontId="16" fillId="5" borderId="13" xfId="0" quotePrefix="1" applyFont="1" applyFill="1" applyBorder="1"/>
    <xf numFmtId="0" fontId="16" fillId="5" borderId="14" xfId="0" quotePrefix="1" applyFont="1" applyFill="1" applyBorder="1"/>
    <xf numFmtId="2" fontId="20" fillId="3" borderId="9" xfId="0" quotePrefix="1" applyNumberFormat="1" applyFont="1" applyFill="1" applyBorder="1" applyAlignment="1">
      <alignment horizontal="center" vertical="center" wrapText="1"/>
    </xf>
    <xf numFmtId="6" fontId="18" fillId="3" borderId="9" xfId="0" applyNumberFormat="1" applyFont="1" applyFill="1" applyBorder="1" applyAlignment="1">
      <alignment horizontal="center" vertical="center"/>
    </xf>
    <xf numFmtId="0" fontId="18" fillId="3" borderId="9" xfId="0" applyFont="1" applyFill="1" applyBorder="1" applyAlignment="1">
      <alignment vertical="center" wrapText="1"/>
    </xf>
    <xf numFmtId="9" fontId="18" fillId="3" borderId="9" xfId="1" applyNumberFormat="1" applyFont="1" applyFill="1" applyBorder="1" applyAlignment="1">
      <alignment horizontal="center" vertical="center"/>
    </xf>
    <xf numFmtId="10" fontId="18" fillId="3" borderId="9" xfId="1" applyNumberFormat="1" applyFont="1" applyFill="1" applyBorder="1" applyAlignment="1">
      <alignment horizontal="center" vertical="center"/>
    </xf>
    <xf numFmtId="0" fontId="17" fillId="0" borderId="10" xfId="0" quotePrefix="1" applyFont="1" applyBorder="1" applyAlignment="1">
      <alignment horizontal="left" vertical="center" wrapText="1"/>
    </xf>
    <xf numFmtId="164" fontId="17" fillId="0" borderId="10" xfId="0" quotePrefix="1" applyNumberFormat="1" applyFont="1" applyBorder="1" applyAlignment="1">
      <alignment horizontal="center" vertical="center" wrapText="1"/>
    </xf>
    <xf numFmtId="6" fontId="17" fillId="0" borderId="10" xfId="0" quotePrefix="1" applyNumberFormat="1" applyFont="1" applyBorder="1" applyAlignment="1">
      <alignment horizontal="center" vertical="center" wrapText="1"/>
    </xf>
    <xf numFmtId="0" fontId="0" fillId="2" borderId="9" xfId="0" applyFill="1" applyBorder="1" applyAlignment="1">
      <alignment vertical="top" wrapText="1"/>
    </xf>
    <xf numFmtId="0" fontId="17" fillId="0" borderId="10" xfId="0" applyFont="1" applyBorder="1" applyAlignment="1">
      <alignment horizontal="center" vertical="center" wrapText="1"/>
    </xf>
    <xf numFmtId="10" fontId="18" fillId="3" borderId="9" xfId="0" applyNumberFormat="1" applyFont="1" applyFill="1" applyBorder="1" applyAlignment="1">
      <alignment horizontal="center" vertical="center" wrapText="1"/>
    </xf>
    <xf numFmtId="9" fontId="18" fillId="3" borderId="9" xfId="0" applyNumberFormat="1" applyFont="1" applyFill="1" applyBorder="1" applyAlignment="1">
      <alignment horizontal="center" vertical="center" wrapText="1"/>
    </xf>
    <xf numFmtId="6" fontId="17" fillId="0" borderId="10" xfId="0" applyNumberFormat="1" applyFont="1" applyBorder="1" applyAlignment="1">
      <alignment horizontal="center" vertical="center" wrapText="1"/>
    </xf>
    <xf numFmtId="164" fontId="17" fillId="0" borderId="9" xfId="0" applyNumberFormat="1" applyFont="1" applyBorder="1" applyAlignment="1">
      <alignment horizontal="center" vertical="center" wrapText="1"/>
    </xf>
    <xf numFmtId="0" fontId="0" fillId="0" borderId="0" xfId="0" applyAlignment="1">
      <alignment vertical="top"/>
    </xf>
    <xf numFmtId="0" fontId="2" fillId="0" borderId="0" xfId="0" applyFont="1" applyAlignment="1">
      <alignment vertical="top"/>
    </xf>
    <xf numFmtId="0" fontId="12" fillId="0" borderId="9" xfId="0" applyFont="1" applyBorder="1" applyAlignment="1">
      <alignment vertical="top" wrapText="1"/>
    </xf>
    <xf numFmtId="0" fontId="2" fillId="3" borderId="11" xfId="0" applyFont="1" applyFill="1" applyBorder="1" applyAlignment="1">
      <alignment horizontal="left" vertical="center"/>
    </xf>
    <xf numFmtId="0" fontId="2" fillId="3" borderId="12" xfId="0" applyFont="1" applyFill="1" applyBorder="1" applyAlignment="1">
      <alignment horizontal="left" vertical="center"/>
    </xf>
    <xf numFmtId="10" fontId="20" fillId="3" borderId="9" xfId="0" applyNumberFormat="1" applyFont="1" applyFill="1" applyBorder="1" applyAlignment="1">
      <alignment horizontal="center" vertical="center" wrapText="1"/>
    </xf>
    <xf numFmtId="0" fontId="16" fillId="5" borderId="17" xfId="0" quotePrefix="1" applyFont="1" applyFill="1" applyBorder="1"/>
    <xf numFmtId="0" fontId="16" fillId="5" borderId="9" xfId="0" quotePrefix="1" applyFont="1" applyFill="1" applyBorder="1"/>
    <xf numFmtId="0" fontId="18" fillId="3" borderId="15" xfId="0" applyFont="1" applyFill="1" applyBorder="1" applyAlignment="1">
      <alignment horizontal="left" vertical="center" wrapText="1"/>
    </xf>
    <xf numFmtId="0" fontId="16" fillId="5" borderId="18" xfId="0" quotePrefix="1" applyFont="1" applyFill="1" applyBorder="1"/>
    <xf numFmtId="0" fontId="18" fillId="3" borderId="15" xfId="0" quotePrefix="1" applyFont="1" applyFill="1" applyBorder="1" applyAlignment="1">
      <alignment horizontal="left" vertical="center" wrapText="1"/>
    </xf>
    <xf numFmtId="164" fontId="17" fillId="0" borderId="10" xfId="0" applyNumberFormat="1" applyFont="1" applyBorder="1" applyAlignment="1">
      <alignment horizontal="center" vertical="center" wrapText="1"/>
    </xf>
    <xf numFmtId="164" fontId="15" fillId="0" borderId="10" xfId="0" applyNumberFormat="1" applyFont="1" applyBorder="1" applyAlignment="1">
      <alignment horizontal="center" vertical="center"/>
    </xf>
    <xf numFmtId="164" fontId="17" fillId="0" borderId="19" xfId="0" quotePrefix="1" applyNumberFormat="1" applyFont="1" applyBorder="1" applyAlignment="1">
      <alignment horizontal="center" vertical="center" wrapText="1"/>
    </xf>
    <xf numFmtId="0" fontId="20" fillId="0" borderId="13" xfId="0" quotePrefix="1" applyFont="1" applyBorder="1" applyAlignment="1">
      <alignment horizontal="left"/>
    </xf>
    <xf numFmtId="0" fontId="20" fillId="0" borderId="14" xfId="0" quotePrefix="1" applyFont="1" applyBorder="1" applyAlignment="1">
      <alignment horizontal="left"/>
    </xf>
    <xf numFmtId="2" fontId="20" fillId="0" borderId="0" xfId="0" applyNumberFormat="1" applyFont="1" applyAlignment="1">
      <alignment horizontal="center" vertical="center" wrapText="1"/>
    </xf>
    <xf numFmtId="2" fontId="18" fillId="0" borderId="0" xfId="0" applyNumberFormat="1" applyFont="1" applyAlignment="1">
      <alignment horizontal="center" vertical="center" wrapText="1"/>
    </xf>
    <xf numFmtId="0" fontId="18" fillId="5" borderId="16" xfId="0" quotePrefix="1" applyFont="1" applyFill="1" applyBorder="1"/>
    <xf numFmtId="0" fontId="18" fillId="5" borderId="13" xfId="0" quotePrefix="1" applyFont="1" applyFill="1" applyBorder="1"/>
    <xf numFmtId="0" fontId="14" fillId="0" borderId="0" xfId="0" applyFont="1" applyAlignment="1">
      <alignment vertical="top"/>
    </xf>
    <xf numFmtId="0" fontId="12" fillId="0" borderId="9" xfId="0" quotePrefix="1" applyFont="1" applyBorder="1" applyAlignment="1">
      <alignment vertical="top" wrapText="1"/>
    </xf>
    <xf numFmtId="0" fontId="12" fillId="2" borderId="9" xfId="0" quotePrefix="1" applyFont="1" applyFill="1" applyBorder="1" applyAlignment="1">
      <alignment vertical="top" wrapText="1"/>
    </xf>
    <xf numFmtId="0" fontId="15" fillId="0" borderId="9" xfId="0" applyFont="1" applyBorder="1" applyAlignment="1">
      <alignment horizontal="center" vertical="center" wrapText="1"/>
    </xf>
    <xf numFmtId="0" fontId="18" fillId="3" borderId="9" xfId="0" applyFont="1" applyFill="1" applyBorder="1" applyAlignment="1">
      <alignment horizontal="center" vertical="center" wrapText="1"/>
    </xf>
    <xf numFmtId="10" fontId="16" fillId="3" borderId="9" xfId="0" applyNumberFormat="1" applyFont="1" applyFill="1" applyBorder="1" applyAlignment="1">
      <alignment horizontal="center" vertical="center" wrapText="1"/>
    </xf>
    <xf numFmtId="6" fontId="15" fillId="0" borderId="9" xfId="0" quotePrefix="1" applyNumberFormat="1" applyFont="1" applyBorder="1" applyAlignment="1">
      <alignment horizontal="center" vertical="center" wrapText="1"/>
    </xf>
    <xf numFmtId="0" fontId="12" fillId="2" borderId="9" xfId="0" applyFont="1" applyFill="1" applyBorder="1" applyAlignment="1">
      <alignment vertical="top"/>
    </xf>
    <xf numFmtId="0" fontId="12" fillId="2" borderId="0" xfId="0" quotePrefix="1" applyFont="1" applyFill="1" applyAlignment="1">
      <alignment vertical="top" wrapText="1"/>
    </xf>
    <xf numFmtId="0" fontId="12" fillId="2" borderId="0" xfId="0" applyFont="1" applyFill="1"/>
    <xf numFmtId="0" fontId="24" fillId="0" borderId="9" xfId="0" quotePrefix="1" applyFont="1" applyBorder="1" applyAlignment="1">
      <alignment horizontal="left" vertical="top" wrapText="1"/>
    </xf>
    <xf numFmtId="0" fontId="22" fillId="0" borderId="9" xfId="0" applyFont="1" applyBorder="1" applyAlignment="1">
      <alignment vertical="top" wrapText="1"/>
    </xf>
    <xf numFmtId="6" fontId="27" fillId="0" borderId="9" xfId="0" applyNumberFormat="1" applyFont="1" applyBorder="1" applyAlignment="1">
      <alignment horizontal="left" vertical="top" wrapText="1"/>
    </xf>
    <xf numFmtId="2" fontId="27" fillId="0" borderId="9" xfId="0" quotePrefix="1" applyNumberFormat="1" applyFont="1" applyBorder="1" applyAlignment="1">
      <alignment horizontal="left" vertical="top" wrapText="1"/>
    </xf>
    <xf numFmtId="0" fontId="22" fillId="0" borderId="9" xfId="0" quotePrefix="1" applyFont="1" applyBorder="1" applyAlignment="1">
      <alignment horizontal="left" vertical="top" wrapText="1"/>
    </xf>
    <xf numFmtId="10" fontId="24" fillId="0" borderId="9" xfId="0" applyNumberFormat="1" applyFont="1" applyBorder="1" applyAlignment="1">
      <alignment horizontal="left" vertical="top" wrapText="1"/>
    </xf>
    <xf numFmtId="6" fontId="22" fillId="0" borderId="9" xfId="0" applyNumberFormat="1" applyFont="1" applyBorder="1" applyAlignment="1">
      <alignment horizontal="left" vertical="top" wrapText="1"/>
    </xf>
    <xf numFmtId="6" fontId="15" fillId="0" borderId="9" xfId="0" applyNumberFormat="1" applyFont="1" applyBorder="1" applyAlignment="1">
      <alignment horizontal="center" vertical="center" wrapText="1"/>
    </xf>
    <xf numFmtId="10" fontId="18" fillId="3" borderId="9" xfId="1" applyNumberFormat="1" applyFont="1" applyFill="1" applyBorder="1" applyAlignment="1">
      <alignment horizontal="center" vertical="center" wrapText="1"/>
    </xf>
    <xf numFmtId="0" fontId="20" fillId="0" borderId="18" xfId="0" quotePrefix="1" applyFont="1" applyBorder="1" applyAlignment="1">
      <alignment horizontal="left"/>
    </xf>
    <xf numFmtId="0" fontId="30" fillId="6" borderId="9" xfId="0" applyFont="1" applyFill="1" applyBorder="1" applyAlignment="1">
      <alignment vertical="center" wrapText="1"/>
    </xf>
    <xf numFmtId="0" fontId="30" fillId="6" borderId="9" xfId="0" applyFont="1" applyFill="1" applyBorder="1" applyAlignment="1">
      <alignment vertical="center"/>
    </xf>
    <xf numFmtId="0" fontId="7" fillId="0" borderId="9" xfId="0" applyFont="1" applyBorder="1" applyAlignment="1">
      <alignment horizontal="center" vertical="center" wrapText="1"/>
    </xf>
    <xf numFmtId="6" fontId="7" fillId="0" borderId="9" xfId="0" applyNumberFormat="1" applyFont="1" applyBorder="1" applyAlignment="1">
      <alignment horizontal="center" vertical="center" wrapText="1"/>
    </xf>
    <xf numFmtId="6" fontId="7" fillId="0" borderId="9" xfId="0" applyNumberFormat="1" applyFont="1" applyBorder="1" applyAlignment="1">
      <alignment horizontal="center" vertical="center"/>
    </xf>
    <xf numFmtId="0" fontId="30" fillId="3" borderId="9" xfId="0" applyFont="1" applyFill="1" applyBorder="1" applyAlignment="1">
      <alignment vertical="center" wrapText="1"/>
    </xf>
    <xf numFmtId="0" fontId="32" fillId="6" borderId="9" xfId="0" applyFont="1" applyFill="1" applyBorder="1" applyAlignment="1">
      <alignment vertical="center" wrapText="1"/>
    </xf>
    <xf numFmtId="10" fontId="30" fillId="7" borderId="9" xfId="0" applyNumberFormat="1" applyFont="1" applyFill="1" applyBorder="1" applyAlignment="1">
      <alignment horizontal="center" vertical="center"/>
    </xf>
    <xf numFmtId="0" fontId="30" fillId="7" borderId="9" xfId="0" applyFont="1" applyFill="1" applyBorder="1" applyAlignment="1">
      <alignment horizontal="center" vertical="center"/>
    </xf>
    <xf numFmtId="0" fontId="31" fillId="0" borderId="9" xfId="0" applyFont="1" applyBorder="1" applyAlignment="1">
      <alignment horizontal="center" vertical="center" wrapText="1"/>
    </xf>
    <xf numFmtId="6" fontId="32" fillId="0" borderId="9" xfId="0" applyNumberFormat="1" applyFont="1" applyBorder="1" applyAlignment="1">
      <alignment horizontal="center" vertical="center"/>
    </xf>
    <xf numFmtId="0" fontId="31" fillId="0" borderId="9" xfId="0" applyFont="1" applyBorder="1" applyAlignment="1">
      <alignment horizontal="center" vertical="center"/>
    </xf>
    <xf numFmtId="0" fontId="32" fillId="8" borderId="9" xfId="0" applyFont="1" applyFill="1" applyBorder="1" applyAlignment="1">
      <alignment vertical="center" wrapText="1"/>
    </xf>
    <xf numFmtId="0" fontId="30" fillId="6" borderId="10" xfId="0" applyFont="1" applyFill="1" applyBorder="1" applyAlignment="1">
      <alignment vertical="center" wrapText="1"/>
    </xf>
    <xf numFmtId="10" fontId="32" fillId="0" borderId="10" xfId="0" applyNumberFormat="1" applyFont="1" applyBorder="1" applyAlignment="1">
      <alignment horizontal="center" vertical="center"/>
    </xf>
    <xf numFmtId="0" fontId="30" fillId="4" borderId="20" xfId="0" applyFont="1" applyFill="1" applyBorder="1" applyAlignment="1">
      <alignment horizontal="center" vertical="center"/>
    </xf>
    <xf numFmtId="0" fontId="30" fillId="4" borderId="22" xfId="0" applyFont="1" applyFill="1" applyBorder="1" applyAlignment="1">
      <alignment horizontal="center" vertical="center"/>
    </xf>
    <xf numFmtId="0" fontId="20" fillId="0" borderId="0" xfId="0" applyFont="1"/>
    <xf numFmtId="0" fontId="16" fillId="0" borderId="0" xfId="0" applyFont="1" applyAlignment="1">
      <alignment vertical="center" wrapText="1"/>
    </xf>
    <xf numFmtId="0" fontId="32" fillId="0" borderId="15" xfId="0" applyFont="1" applyBorder="1" applyAlignment="1">
      <alignment horizontal="center" vertical="center"/>
    </xf>
    <xf numFmtId="0" fontId="32" fillId="0" borderId="10" xfId="0" applyFont="1" applyBorder="1" applyAlignment="1">
      <alignment horizontal="center" vertical="center"/>
    </xf>
    <xf numFmtId="6" fontId="7" fillId="0" borderId="15" xfId="0" applyNumberFormat="1" applyFont="1" applyBorder="1" applyAlignment="1">
      <alignment horizontal="center" vertical="center" wrapText="1"/>
    </xf>
    <xf numFmtId="6" fontId="7" fillId="0" borderId="10" xfId="0" applyNumberFormat="1" applyFont="1" applyBorder="1" applyAlignment="1">
      <alignment horizontal="center" vertical="center"/>
    </xf>
    <xf numFmtId="0" fontId="32" fillId="0" borderId="15" xfId="0" applyFont="1" applyBorder="1" applyAlignment="1">
      <alignment horizontal="center" vertical="center" wrapText="1"/>
    </xf>
    <xf numFmtId="0" fontId="32" fillId="0" borderId="10" xfId="0" applyFont="1" applyBorder="1" applyAlignment="1">
      <alignment horizontal="center" vertical="center" wrapText="1"/>
    </xf>
    <xf numFmtId="0" fontId="16" fillId="3" borderId="9" xfId="0" applyFont="1" applyFill="1" applyBorder="1" applyAlignment="1">
      <alignment horizontal="center" vertical="center" wrapText="1"/>
    </xf>
    <xf numFmtId="2" fontId="16" fillId="3" borderId="9" xfId="0" quotePrefix="1" applyNumberFormat="1" applyFont="1" applyFill="1" applyBorder="1" applyAlignment="1">
      <alignment horizontal="center" vertical="center" wrapText="1"/>
    </xf>
    <xf numFmtId="2" fontId="31" fillId="0" borderId="9" xfId="0" applyNumberFormat="1" applyFont="1" applyBorder="1" applyAlignment="1">
      <alignment horizontal="center" vertical="center" wrapText="1"/>
    </xf>
    <xf numFmtId="0" fontId="30" fillId="3" borderId="9" xfId="0" applyFont="1" applyFill="1" applyBorder="1" applyAlignment="1">
      <alignment horizontal="left" vertical="center" wrapText="1"/>
    </xf>
    <xf numFmtId="0" fontId="2" fillId="0" borderId="0" xfId="0" applyFont="1" applyAlignment="1">
      <alignment horizontal="center" vertical="top" wrapText="1"/>
    </xf>
    <xf numFmtId="10" fontId="31" fillId="0" borderId="9" xfId="0" applyNumberFormat="1" applyFont="1" applyBorder="1" applyAlignment="1">
      <alignment horizontal="center" vertical="center"/>
    </xf>
    <xf numFmtId="0" fontId="27" fillId="0" borderId="9" xfId="0" applyFont="1" applyBorder="1" applyAlignment="1">
      <alignment horizontal="left" vertical="top" wrapText="1"/>
    </xf>
    <xf numFmtId="0" fontId="22" fillId="0" borderId="9" xfId="0" applyFont="1" applyBorder="1" applyAlignment="1">
      <alignment horizontal="left" vertical="top" wrapText="1"/>
    </xf>
    <xf numFmtId="0" fontId="27" fillId="0" borderId="9" xfId="0" quotePrefix="1" applyFont="1" applyBorder="1" applyAlignment="1">
      <alignment horizontal="left" vertical="top" wrapText="1"/>
    </xf>
    <xf numFmtId="0" fontId="26" fillId="5" borderId="9" xfId="0" applyFont="1" applyFill="1" applyBorder="1" applyAlignment="1">
      <alignment horizontal="center" vertical="center" wrapText="1" readingOrder="1"/>
    </xf>
    <xf numFmtId="0" fontId="2" fillId="5" borderId="11" xfId="0" applyFont="1" applyFill="1" applyBorder="1" applyAlignment="1">
      <alignment horizontal="left" vertical="center"/>
    </xf>
    <xf numFmtId="0" fontId="2" fillId="5" borderId="12" xfId="0" applyFont="1" applyFill="1" applyBorder="1" applyAlignment="1">
      <alignment horizontal="left" vertical="center"/>
    </xf>
    <xf numFmtId="10" fontId="34" fillId="7" borderId="9" xfId="0" applyNumberFormat="1" applyFont="1" applyFill="1" applyBorder="1" applyAlignment="1">
      <alignment horizontal="center" vertical="center"/>
    </xf>
    <xf numFmtId="2" fontId="34" fillId="9" borderId="9" xfId="0" applyNumberFormat="1" applyFont="1" applyFill="1" applyBorder="1" applyAlignment="1">
      <alignment horizontal="center" vertical="center" wrapText="1"/>
    </xf>
    <xf numFmtId="2" fontId="34" fillId="7" borderId="9" xfId="0" applyNumberFormat="1" applyFont="1" applyFill="1" applyBorder="1" applyAlignment="1">
      <alignment horizontal="center" vertical="center" wrapText="1"/>
    </xf>
    <xf numFmtId="0" fontId="34" fillId="7" borderId="9" xfId="0" applyFont="1" applyFill="1" applyBorder="1" applyAlignment="1">
      <alignment horizontal="center" vertical="center"/>
    </xf>
    <xf numFmtId="0" fontId="34" fillId="7" borderId="9" xfId="0" applyFont="1" applyFill="1" applyBorder="1" applyAlignment="1">
      <alignment horizontal="center" vertical="center" wrapText="1"/>
    </xf>
    <xf numFmtId="2" fontId="34" fillId="7" borderId="9" xfId="0" applyNumberFormat="1" applyFont="1" applyFill="1" applyBorder="1" applyAlignment="1">
      <alignment horizontal="center" vertical="center"/>
    </xf>
    <xf numFmtId="6" fontId="24" fillId="0" borderId="9" xfId="0" applyNumberFormat="1" applyFont="1" applyBorder="1" applyAlignment="1">
      <alignment horizontal="left" vertical="top" wrapText="1"/>
    </xf>
    <xf numFmtId="0" fontId="12" fillId="2" borderId="9" xfId="0" applyFont="1" applyFill="1" applyBorder="1" applyAlignment="1">
      <alignment vertical="top" wrapText="1"/>
    </xf>
    <xf numFmtId="10" fontId="18" fillId="2" borderId="9" xfId="0" applyNumberFormat="1" applyFont="1" applyFill="1" applyBorder="1" applyAlignment="1">
      <alignment horizontal="center" vertical="center" wrapText="1"/>
    </xf>
    <xf numFmtId="0" fontId="22" fillId="2" borderId="9" xfId="0" quotePrefix="1" applyFont="1" applyFill="1" applyBorder="1" applyAlignment="1">
      <alignment horizontal="left" vertical="top" wrapText="1"/>
    </xf>
    <xf numFmtId="0" fontId="0" fillId="2" borderId="0" xfId="0" applyFill="1" applyAlignment="1">
      <alignment vertical="top"/>
    </xf>
    <xf numFmtId="164" fontId="17" fillId="0" borderId="9" xfId="0" applyNumberFormat="1" applyFont="1" applyBorder="1" applyAlignment="1">
      <alignment horizontal="center" vertical="center"/>
    </xf>
    <xf numFmtId="0" fontId="17" fillId="0" borderId="19" xfId="0" applyFont="1" applyBorder="1" applyAlignment="1">
      <alignment horizontal="center" vertical="center" wrapText="1"/>
    </xf>
    <xf numFmtId="6" fontId="17" fillId="0" borderId="18" xfId="0" applyNumberFormat="1" applyFont="1" applyBorder="1" applyAlignment="1">
      <alignment horizontal="center" vertical="center" wrapText="1"/>
    </xf>
    <xf numFmtId="0" fontId="15" fillId="0" borderId="18" xfId="0" applyFont="1" applyBorder="1" applyAlignment="1">
      <alignment horizontal="center" vertical="center"/>
    </xf>
    <xf numFmtId="164" fontId="17" fillId="2" borderId="9" xfId="0" applyNumberFormat="1" applyFont="1" applyFill="1" applyBorder="1" applyAlignment="1">
      <alignment horizontal="center" vertical="center" wrapText="1"/>
    </xf>
    <xf numFmtId="6" fontId="17" fillId="0" borderId="18" xfId="0" quotePrefix="1" applyNumberFormat="1" applyFont="1" applyBorder="1" applyAlignment="1">
      <alignment horizontal="center" vertical="center" wrapText="1"/>
    </xf>
    <xf numFmtId="0" fontId="2" fillId="2" borderId="15" xfId="0" applyFont="1" applyFill="1" applyBorder="1" applyAlignment="1">
      <alignment vertical="top"/>
    </xf>
    <xf numFmtId="0" fontId="2" fillId="2" borderId="0" xfId="0" applyFont="1" applyFill="1" applyAlignment="1">
      <alignment horizontal="left" vertical="top"/>
    </xf>
    <xf numFmtId="0" fontId="0" fillId="2" borderId="0" xfId="0" applyFill="1" applyAlignment="1">
      <alignment vertical="top" wrapText="1"/>
    </xf>
    <xf numFmtId="0" fontId="12" fillId="0" borderId="0" xfId="0" applyFont="1" applyAlignment="1">
      <alignment vertical="top"/>
    </xf>
    <xf numFmtId="0" fontId="2" fillId="2" borderId="9" xfId="0" applyFont="1" applyFill="1" applyBorder="1" applyAlignment="1">
      <alignment horizontal="left" vertical="top"/>
    </xf>
    <xf numFmtId="0" fontId="25" fillId="0" borderId="9" xfId="0" applyFont="1" applyBorder="1" applyAlignment="1">
      <alignment horizontal="left" vertical="top" wrapText="1"/>
    </xf>
    <xf numFmtId="6" fontId="37" fillId="0" borderId="9" xfId="0" applyNumberFormat="1" applyFont="1" applyBorder="1" applyAlignment="1">
      <alignment horizontal="center" vertical="center" wrapText="1"/>
    </xf>
    <xf numFmtId="9" fontId="38" fillId="3" borderId="9" xfId="0" applyNumberFormat="1" applyFont="1" applyFill="1" applyBorder="1" applyAlignment="1">
      <alignment horizontal="center" vertical="center" wrapText="1"/>
    </xf>
    <xf numFmtId="0" fontId="20" fillId="3" borderId="9" xfId="0" applyFont="1" applyFill="1" applyBorder="1" applyAlignment="1">
      <alignment horizontal="center" vertical="center" wrapText="1"/>
    </xf>
    <xf numFmtId="6" fontId="37" fillId="0" borderId="9" xfId="0" quotePrefix="1" applyNumberFormat="1" applyFont="1" applyBorder="1" applyAlignment="1">
      <alignment horizontal="center" vertical="center" wrapText="1"/>
    </xf>
    <xf numFmtId="2" fontId="38" fillId="3" borderId="9" xfId="0" quotePrefix="1" applyNumberFormat="1" applyFont="1" applyFill="1" applyBorder="1" applyAlignment="1">
      <alignment horizontal="center" vertical="center" wrapText="1"/>
    </xf>
    <xf numFmtId="0" fontId="0" fillId="2" borderId="9" xfId="0" quotePrefix="1" applyFill="1" applyBorder="1" applyAlignment="1">
      <alignment vertical="top" wrapText="1"/>
    </xf>
    <xf numFmtId="0" fontId="0" fillId="0" borderId="9" xfId="0" quotePrefix="1" applyBorder="1" applyAlignment="1">
      <alignment vertical="top" wrapText="1"/>
    </xf>
    <xf numFmtId="6" fontId="18" fillId="0" borderId="9" xfId="0" applyNumberFormat="1" applyFont="1" applyBorder="1" applyAlignment="1">
      <alignment horizontal="center" vertical="center" wrapText="1"/>
    </xf>
    <xf numFmtId="10" fontId="18" fillId="0" borderId="9" xfId="0" applyNumberFormat="1" applyFont="1" applyBorder="1" applyAlignment="1">
      <alignment horizontal="center" vertical="center" wrapText="1"/>
    </xf>
    <xf numFmtId="6" fontId="18" fillId="3" borderId="9" xfId="0" applyNumberFormat="1" applyFont="1" applyFill="1" applyBorder="1" applyAlignment="1">
      <alignment horizontal="center" vertical="center" wrapText="1"/>
    </xf>
    <xf numFmtId="164" fontId="17" fillId="0" borderId="9" xfId="1" applyNumberFormat="1" applyFont="1" applyFill="1" applyBorder="1" applyAlignment="1">
      <alignment horizontal="center" vertical="center" wrapText="1"/>
    </xf>
    <xf numFmtId="0" fontId="0" fillId="0" borderId="0" xfId="0" applyAlignment="1">
      <alignment vertical="center"/>
    </xf>
    <xf numFmtId="0" fontId="12" fillId="0" borderId="9" xfId="0" applyFont="1" applyBorder="1" applyAlignment="1">
      <alignment vertical="top"/>
    </xf>
    <xf numFmtId="10" fontId="15" fillId="0" borderId="19" xfId="0" applyNumberFormat="1" applyFont="1" applyBorder="1" applyAlignment="1">
      <alignment horizontal="center" vertical="center"/>
    </xf>
    <xf numFmtId="0" fontId="18" fillId="4" borderId="9" xfId="0" applyFont="1" applyFill="1" applyBorder="1" applyAlignment="1">
      <alignment horizontal="center" vertical="center" wrapText="1" readingOrder="1"/>
    </xf>
    <xf numFmtId="0" fontId="16" fillId="4" borderId="9" xfId="0" applyFont="1" applyFill="1" applyBorder="1" applyAlignment="1">
      <alignment horizontal="center" vertical="center"/>
    </xf>
    <xf numFmtId="0" fontId="16" fillId="4" borderId="9" xfId="0" applyFont="1" applyFill="1" applyBorder="1" applyAlignment="1">
      <alignment horizontal="center" vertical="center" wrapText="1" readingOrder="1"/>
    </xf>
    <xf numFmtId="6" fontId="15" fillId="0" borderId="10" xfId="0" quotePrefix="1" applyNumberFormat="1" applyFont="1" applyBorder="1" applyAlignment="1">
      <alignment horizontal="center" vertical="center" wrapText="1"/>
    </xf>
    <xf numFmtId="164" fontId="15" fillId="0" borderId="10" xfId="0" quotePrefix="1" applyNumberFormat="1" applyFont="1" applyBorder="1" applyAlignment="1">
      <alignment horizontal="center" vertical="center" wrapText="1"/>
    </xf>
    <xf numFmtId="164" fontId="15" fillId="0" borderId="9" xfId="0" quotePrefix="1" applyNumberFormat="1" applyFont="1" applyBorder="1" applyAlignment="1">
      <alignment horizontal="center" vertical="center" wrapText="1"/>
    </xf>
    <xf numFmtId="0" fontId="20" fillId="0" borderId="0" xfId="0" applyFont="1" applyAlignment="1">
      <alignment wrapText="1"/>
    </xf>
    <xf numFmtId="2" fontId="20" fillId="3" borderId="9" xfId="0" applyNumberFormat="1" applyFont="1" applyFill="1" applyBorder="1" applyAlignment="1">
      <alignment horizontal="center" vertical="center" wrapText="1"/>
    </xf>
    <xf numFmtId="164" fontId="17" fillId="0" borderId="9" xfId="1" applyNumberFormat="1" applyFont="1" applyBorder="1" applyAlignment="1">
      <alignment horizontal="center" vertical="center"/>
    </xf>
    <xf numFmtId="0" fontId="17" fillId="0" borderId="9" xfId="0" applyFont="1" applyBorder="1" applyAlignment="1">
      <alignment horizontal="center" vertical="center" wrapText="1"/>
    </xf>
    <xf numFmtId="0" fontId="19" fillId="0" borderId="0" xfId="0" applyFont="1" applyAlignment="1">
      <alignment vertical="center" wrapText="1"/>
    </xf>
    <xf numFmtId="2" fontId="18" fillId="3" borderId="9" xfId="0" applyNumberFormat="1" applyFont="1" applyFill="1" applyBorder="1" applyAlignment="1">
      <alignment horizontal="center" vertical="center" wrapText="1"/>
    </xf>
    <xf numFmtId="164" fontId="17" fillId="0" borderId="9" xfId="1" applyNumberFormat="1" applyFont="1" applyBorder="1" applyAlignment="1">
      <alignment horizontal="center" vertical="center" wrapText="1"/>
    </xf>
    <xf numFmtId="6" fontId="17" fillId="0" borderId="27" xfId="0" applyNumberFormat="1" applyFont="1" applyBorder="1" applyAlignment="1">
      <alignment horizontal="center" vertical="center" wrapText="1"/>
    </xf>
    <xf numFmtId="2" fontId="18" fillId="3" borderId="13" xfId="0" applyNumberFormat="1" applyFont="1" applyFill="1" applyBorder="1" applyAlignment="1">
      <alignment horizontal="center" vertical="center" wrapText="1"/>
    </xf>
    <xf numFmtId="6" fontId="17" fillId="0" borderId="13" xfId="0" applyNumberFormat="1" applyFont="1" applyBorder="1" applyAlignment="1">
      <alignment horizontal="center" vertical="center" wrapText="1"/>
    </xf>
    <xf numFmtId="0" fontId="18" fillId="3" borderId="13" xfId="0" applyFont="1" applyFill="1" applyBorder="1" applyAlignment="1">
      <alignment horizontal="center" vertical="center" wrapText="1"/>
    </xf>
    <xf numFmtId="9" fontId="18" fillId="3" borderId="13" xfId="1" applyNumberFormat="1" applyFont="1" applyFill="1" applyBorder="1" applyAlignment="1">
      <alignment horizontal="center" vertical="center"/>
    </xf>
    <xf numFmtId="10" fontId="18" fillId="3" borderId="13" xfId="0" applyNumberFormat="1" applyFont="1" applyFill="1" applyBorder="1" applyAlignment="1">
      <alignment horizontal="center" vertical="center" wrapText="1"/>
    </xf>
    <xf numFmtId="10" fontId="18" fillId="3" borderId="13" xfId="1" applyNumberFormat="1" applyFont="1" applyFill="1" applyBorder="1" applyAlignment="1">
      <alignment horizontal="center" vertical="center"/>
    </xf>
    <xf numFmtId="164" fontId="17" fillId="0" borderId="13" xfId="1" applyNumberFormat="1" applyFont="1" applyBorder="1" applyAlignment="1">
      <alignment horizontal="center" vertical="center"/>
    </xf>
    <xf numFmtId="164" fontId="17" fillId="0" borderId="13" xfId="0" applyNumberFormat="1" applyFont="1" applyBorder="1" applyAlignment="1">
      <alignment horizontal="center" vertical="center" wrapText="1"/>
    </xf>
    <xf numFmtId="0" fontId="15" fillId="0" borderId="13" xfId="0" applyFont="1" applyBorder="1" applyAlignment="1">
      <alignment horizontal="center" vertical="center"/>
    </xf>
    <xf numFmtId="0" fontId="17" fillId="0" borderId="9" xfId="0" applyFont="1" applyBorder="1" applyAlignment="1">
      <alignment horizontal="center" vertical="center"/>
    </xf>
    <xf numFmtId="0" fontId="17" fillId="0" borderId="27" xfId="0" applyFont="1" applyBorder="1" applyAlignment="1">
      <alignment horizontal="center" vertical="center" wrapText="1"/>
    </xf>
    <xf numFmtId="10" fontId="15" fillId="0" borderId="9" xfId="0" applyNumberFormat="1" applyFont="1" applyBorder="1" applyAlignment="1">
      <alignment horizontal="center" vertical="center"/>
    </xf>
    <xf numFmtId="10" fontId="15" fillId="0" borderId="30" xfId="0" applyNumberFormat="1" applyFont="1" applyBorder="1" applyAlignment="1">
      <alignment horizontal="center" vertical="center"/>
    </xf>
    <xf numFmtId="0" fontId="18" fillId="4" borderId="13" xfId="0" applyFont="1" applyFill="1" applyBorder="1" applyAlignment="1">
      <alignment horizontal="center" vertical="center" wrapText="1" readingOrder="1"/>
    </xf>
    <xf numFmtId="9" fontId="41" fillId="3" borderId="9" xfId="0" applyNumberFormat="1" applyFont="1" applyFill="1" applyBorder="1" applyAlignment="1">
      <alignment horizontal="center" vertical="center" wrapText="1"/>
    </xf>
    <xf numFmtId="2" fontId="31" fillId="0" borderId="9" xfId="0" applyNumberFormat="1" applyFont="1" applyBorder="1" applyAlignment="1">
      <alignment horizontal="center" vertical="center"/>
    </xf>
    <xf numFmtId="10" fontId="7" fillId="0" borderId="9" xfId="0" applyNumberFormat="1" applyFont="1" applyBorder="1" applyAlignment="1">
      <alignment horizontal="center" vertical="center" wrapText="1"/>
    </xf>
    <xf numFmtId="0" fontId="22" fillId="0" borderId="9" xfId="0" quotePrefix="1" applyFont="1" applyBorder="1" applyAlignment="1">
      <alignment vertical="top" wrapText="1"/>
    </xf>
    <xf numFmtId="0" fontId="43" fillId="0" borderId="0" xfId="0" applyFont="1" applyAlignment="1">
      <alignment vertical="top"/>
    </xf>
    <xf numFmtId="0" fontId="43" fillId="0" borderId="0" xfId="0" applyFont="1"/>
    <xf numFmtId="0" fontId="43" fillId="0" borderId="0" xfId="0" applyFont="1" applyAlignment="1">
      <alignment wrapText="1"/>
    </xf>
    <xf numFmtId="0" fontId="43" fillId="0" borderId="0" xfId="0" applyFont="1" applyAlignment="1">
      <alignment vertical="center"/>
    </xf>
    <xf numFmtId="0" fontId="44" fillId="0" borderId="0" xfId="0" applyFont="1" applyAlignment="1">
      <alignment horizontal="center" vertical="top" wrapText="1"/>
    </xf>
    <xf numFmtId="10" fontId="27" fillId="0" borderId="9" xfId="0" applyNumberFormat="1" applyFont="1" applyBorder="1" applyAlignment="1">
      <alignment horizontal="left" vertical="top" wrapText="1"/>
    </xf>
    <xf numFmtId="6" fontId="20" fillId="3" borderId="9" xfId="0" applyNumberFormat="1" applyFont="1" applyFill="1" applyBorder="1" applyAlignment="1">
      <alignment horizontal="center" vertical="center"/>
    </xf>
    <xf numFmtId="10" fontId="20" fillId="3" borderId="9" xfId="1" applyNumberFormat="1" applyFont="1" applyFill="1" applyBorder="1" applyAlignment="1">
      <alignment horizontal="center" vertical="center"/>
    </xf>
    <xf numFmtId="0" fontId="16" fillId="3" borderId="13" xfId="0" applyFont="1" applyFill="1" applyBorder="1" applyAlignment="1">
      <alignment horizontal="center" vertical="top" wrapText="1"/>
    </xf>
    <xf numFmtId="0" fontId="22" fillId="0" borderId="13" xfId="0" applyFont="1" applyBorder="1" applyAlignment="1">
      <alignment horizontal="left" vertical="top" wrapText="1"/>
    </xf>
    <xf numFmtId="0" fontId="27" fillId="0" borderId="13" xfId="0" applyFont="1" applyBorder="1" applyAlignment="1">
      <alignment horizontal="left" vertical="top" wrapText="1"/>
    </xf>
    <xf numFmtId="0" fontId="24" fillId="0" borderId="9" xfId="0" applyFont="1" applyBorder="1" applyAlignment="1">
      <alignment horizontal="left" vertical="top" wrapText="1"/>
    </xf>
    <xf numFmtId="6" fontId="24" fillId="0" borderId="9" xfId="0" applyNumberFormat="1" applyFont="1" applyBorder="1" applyAlignment="1">
      <alignment horizontal="left" vertical="top"/>
    </xf>
    <xf numFmtId="6" fontId="27" fillId="5" borderId="9" xfId="0" applyNumberFormat="1" applyFont="1" applyFill="1" applyBorder="1" applyAlignment="1">
      <alignment horizontal="left" vertical="top" wrapText="1"/>
    </xf>
    <xf numFmtId="6" fontId="25" fillId="0" borderId="9" xfId="0" applyNumberFormat="1" applyFont="1" applyBorder="1" applyAlignment="1">
      <alignment horizontal="left" vertical="top"/>
    </xf>
    <xf numFmtId="0" fontId="27" fillId="0" borderId="15" xfId="0" applyFont="1" applyBorder="1" applyAlignment="1">
      <alignment vertical="top" wrapText="1"/>
    </xf>
    <xf numFmtId="0" fontId="22" fillId="0" borderId="15" xfId="0" applyFont="1" applyBorder="1" applyAlignment="1">
      <alignment vertical="top" wrapText="1"/>
    </xf>
    <xf numFmtId="0" fontId="27" fillId="0" borderId="10" xfId="0" applyFont="1" applyBorder="1" applyAlignment="1">
      <alignment vertical="top" wrapText="1"/>
    </xf>
    <xf numFmtId="0" fontId="22" fillId="0" borderId="10" xfId="0" applyFont="1" applyBorder="1" applyAlignment="1">
      <alignment vertical="top" wrapText="1"/>
    </xf>
    <xf numFmtId="10" fontId="22" fillId="0" borderId="9" xfId="0" applyNumberFormat="1" applyFont="1" applyBorder="1" applyAlignment="1">
      <alignment horizontal="left" vertical="top" wrapText="1"/>
    </xf>
    <xf numFmtId="0" fontId="27" fillId="0" borderId="15" xfId="0" applyFont="1" applyBorder="1" applyAlignment="1">
      <alignment horizontal="left" vertical="top" wrapText="1"/>
    </xf>
    <xf numFmtId="0" fontId="22" fillId="0" borderId="15" xfId="0" applyFont="1" applyBorder="1" applyAlignment="1">
      <alignment horizontal="left" vertical="top" wrapText="1"/>
    </xf>
    <xf numFmtId="165" fontId="24" fillId="0" borderId="15" xfId="0" applyNumberFormat="1" applyFont="1" applyBorder="1" applyAlignment="1">
      <alignment horizontal="left" vertical="top" wrapText="1"/>
    </xf>
    <xf numFmtId="0" fontId="22" fillId="0" borderId="29" xfId="0" applyFont="1" applyBorder="1" applyAlignment="1">
      <alignment horizontal="left" vertical="top" wrapText="1"/>
    </xf>
    <xf numFmtId="10" fontId="27" fillId="0" borderId="29" xfId="0" applyNumberFormat="1" applyFont="1" applyBorder="1" applyAlignment="1">
      <alignment vertical="top" wrapText="1"/>
    </xf>
    <xf numFmtId="0" fontId="22" fillId="0" borderId="10" xfId="0" applyFont="1" applyBorder="1" applyAlignment="1">
      <alignment horizontal="left" vertical="top" wrapText="1"/>
    </xf>
    <xf numFmtId="10" fontId="27" fillId="0" borderId="10" xfId="0" applyNumberFormat="1" applyFont="1" applyBorder="1" applyAlignment="1">
      <alignment vertical="top" wrapText="1"/>
    </xf>
    <xf numFmtId="0" fontId="27" fillId="5" borderId="9" xfId="0" applyFont="1" applyFill="1" applyBorder="1" applyAlignment="1">
      <alignment horizontal="left" vertical="top" wrapText="1"/>
    </xf>
    <xf numFmtId="0" fontId="25" fillId="0" borderId="9" xfId="0" quotePrefix="1" applyFont="1" applyBorder="1" applyAlignment="1">
      <alignment horizontal="left" vertical="top" wrapText="1"/>
    </xf>
    <xf numFmtId="0" fontId="22" fillId="0" borderId="14" xfId="0" applyFont="1" applyBorder="1" applyAlignment="1">
      <alignment horizontal="left" vertical="top"/>
    </xf>
    <xf numFmtId="0" fontId="22" fillId="0" borderId="14" xfId="0" applyFont="1" applyBorder="1" applyAlignment="1">
      <alignment horizontal="left" vertical="top" wrapText="1"/>
    </xf>
    <xf numFmtId="0" fontId="25" fillId="0" borderId="0" xfId="0" applyFont="1" applyAlignment="1">
      <alignment horizontal="left" vertical="top"/>
    </xf>
    <xf numFmtId="0" fontId="22" fillId="5" borderId="9" xfId="0" quotePrefix="1" applyFont="1" applyFill="1" applyBorder="1" applyAlignment="1">
      <alignment horizontal="left" vertical="top" wrapText="1"/>
    </xf>
    <xf numFmtId="0" fontId="22" fillId="2" borderId="14" xfId="0" applyFont="1" applyFill="1" applyBorder="1" applyAlignment="1">
      <alignment horizontal="left" vertical="top" wrapText="1"/>
    </xf>
    <xf numFmtId="6" fontId="22" fillId="2" borderId="9" xfId="0" applyNumberFormat="1" applyFont="1" applyFill="1" applyBorder="1" applyAlignment="1">
      <alignment horizontal="left" vertical="top" wrapText="1"/>
    </xf>
    <xf numFmtId="0" fontId="18" fillId="4" borderId="11" xfId="0" applyFont="1" applyFill="1" applyBorder="1" applyAlignment="1">
      <alignment horizontal="center" vertical="center" wrapText="1" readingOrder="1"/>
    </xf>
    <xf numFmtId="0" fontId="16" fillId="4" borderId="11" xfId="0" applyFont="1" applyFill="1" applyBorder="1" applyAlignment="1">
      <alignment horizontal="center" vertical="center"/>
    </xf>
    <xf numFmtId="0" fontId="16" fillId="4" borderId="12" xfId="0" applyFont="1" applyFill="1" applyBorder="1" applyAlignment="1">
      <alignment horizontal="center" vertical="center"/>
    </xf>
    <xf numFmtId="0" fontId="18" fillId="4" borderId="31" xfId="0" applyFont="1" applyFill="1" applyBorder="1" applyAlignment="1">
      <alignment horizontal="center" vertical="center" wrapText="1" readingOrder="1"/>
    </xf>
    <xf numFmtId="0" fontId="16" fillId="4" borderId="31" xfId="0" applyFont="1" applyFill="1" applyBorder="1" applyAlignment="1">
      <alignment horizontal="center" vertical="center"/>
    </xf>
    <xf numFmtId="0" fontId="16" fillId="4" borderId="32" xfId="0" applyFont="1" applyFill="1" applyBorder="1" applyAlignment="1">
      <alignment horizontal="center" vertical="center"/>
    </xf>
    <xf numFmtId="0" fontId="18" fillId="4" borderId="12" xfId="0" applyFont="1" applyFill="1" applyBorder="1" applyAlignment="1">
      <alignment horizontal="center" vertical="center" wrapText="1" readingOrder="1"/>
    </xf>
    <xf numFmtId="0" fontId="18" fillId="4" borderId="32" xfId="0" applyFont="1" applyFill="1" applyBorder="1" applyAlignment="1">
      <alignment horizontal="center" vertical="center" wrapText="1" readingOrder="1"/>
    </xf>
    <xf numFmtId="0" fontId="18" fillId="4" borderId="33" xfId="0" applyFont="1" applyFill="1" applyBorder="1" applyAlignment="1">
      <alignment horizontal="center" vertical="center" wrapText="1" readingOrder="1"/>
    </xf>
    <xf numFmtId="0" fontId="18" fillId="4" borderId="34" xfId="0" applyFont="1" applyFill="1" applyBorder="1" applyAlignment="1">
      <alignment horizontal="center" vertical="center" wrapText="1" readingOrder="1"/>
    </xf>
    <xf numFmtId="0" fontId="16" fillId="4" borderId="11" xfId="0" applyFont="1" applyFill="1" applyBorder="1" applyAlignment="1">
      <alignment horizontal="center" vertical="center" wrapText="1" readingOrder="1"/>
    </xf>
    <xf numFmtId="0" fontId="16" fillId="4" borderId="31" xfId="0" applyFont="1" applyFill="1" applyBorder="1" applyAlignment="1">
      <alignment horizontal="center" vertical="center" wrapText="1" readingOrder="1"/>
    </xf>
    <xf numFmtId="0" fontId="17" fillId="0" borderId="35" xfId="0" applyFont="1" applyBorder="1" applyAlignment="1">
      <alignment horizontal="left" vertical="center" wrapText="1"/>
    </xf>
    <xf numFmtId="10" fontId="15" fillId="0" borderId="36" xfId="0" applyNumberFormat="1" applyFont="1" applyBorder="1" applyAlignment="1">
      <alignment horizontal="center" vertical="center"/>
    </xf>
    <xf numFmtId="0" fontId="17" fillId="0" borderId="35" xfId="0" applyFont="1" applyBorder="1" applyAlignment="1">
      <alignment horizontal="left" vertical="center"/>
    </xf>
    <xf numFmtId="0" fontId="17" fillId="0" borderId="36" xfId="0" applyFont="1" applyBorder="1" applyAlignment="1">
      <alignment horizontal="center" vertical="center" wrapText="1"/>
    </xf>
    <xf numFmtId="0" fontId="17" fillId="0" borderId="37" xfId="0" applyFont="1" applyBorder="1" applyAlignment="1">
      <alignment horizontal="left" vertical="center" wrapText="1"/>
    </xf>
    <xf numFmtId="6" fontId="17" fillId="0" borderId="38" xfId="0" applyNumberFormat="1" applyFont="1" applyBorder="1" applyAlignment="1">
      <alignment horizontal="center" vertical="center" wrapText="1"/>
    </xf>
    <xf numFmtId="0" fontId="17" fillId="0" borderId="38" xfId="0" quotePrefix="1" applyFont="1" applyBorder="1" applyAlignment="1">
      <alignment horizontal="center" vertical="center" wrapText="1"/>
    </xf>
    <xf numFmtId="0" fontId="15" fillId="0" borderId="38" xfId="0" applyFont="1" applyBorder="1" applyAlignment="1">
      <alignment horizontal="center" vertical="center" wrapText="1"/>
    </xf>
    <xf numFmtId="0" fontId="17" fillId="0" borderId="37" xfId="0" applyFont="1" applyBorder="1" applyAlignment="1">
      <alignment vertical="center" wrapText="1"/>
    </xf>
    <xf numFmtId="164" fontId="17" fillId="0" borderId="38" xfId="1" applyNumberFormat="1" applyFont="1" applyFill="1" applyBorder="1" applyAlignment="1">
      <alignment horizontal="center" vertical="center"/>
    </xf>
    <xf numFmtId="0" fontId="18" fillId="3" borderId="37" xfId="0" applyFont="1" applyFill="1" applyBorder="1" applyAlignment="1">
      <alignment vertical="center" wrapText="1"/>
    </xf>
    <xf numFmtId="10" fontId="18" fillId="3" borderId="38" xfId="1" applyNumberFormat="1" applyFont="1" applyFill="1" applyBorder="1" applyAlignment="1">
      <alignment horizontal="center" vertical="center"/>
    </xf>
    <xf numFmtId="10" fontId="20" fillId="3" borderId="38" xfId="0" applyNumberFormat="1" applyFont="1" applyFill="1" applyBorder="1" applyAlignment="1">
      <alignment horizontal="center" vertical="center" wrapText="1"/>
    </xf>
    <xf numFmtId="9" fontId="18" fillId="3" borderId="38" xfId="1" applyNumberFormat="1" applyFont="1" applyFill="1" applyBorder="1" applyAlignment="1">
      <alignment horizontal="center" vertical="center"/>
    </xf>
    <xf numFmtId="0" fontId="18" fillId="3" borderId="37" xfId="0" applyFont="1" applyFill="1" applyBorder="1" applyAlignment="1">
      <alignment horizontal="left" vertical="center" wrapText="1"/>
    </xf>
    <xf numFmtId="6" fontId="18" fillId="3" borderId="38" xfId="0" applyNumberFormat="1" applyFont="1" applyFill="1" applyBorder="1" applyAlignment="1">
      <alignment horizontal="center" vertical="center"/>
    </xf>
    <xf numFmtId="0" fontId="18" fillId="0" borderId="37" xfId="0" quotePrefix="1" applyFont="1" applyBorder="1" applyAlignment="1">
      <alignment vertical="center" wrapText="1"/>
    </xf>
    <xf numFmtId="6" fontId="17" fillId="0" borderId="38" xfId="0" quotePrefix="1" applyNumberFormat="1" applyFont="1" applyBorder="1" applyAlignment="1">
      <alignment horizontal="center" vertical="center" wrapText="1"/>
    </xf>
    <xf numFmtId="0" fontId="18" fillId="3" borderId="37" xfId="0" quotePrefix="1" applyFont="1" applyFill="1" applyBorder="1" applyAlignment="1">
      <alignment horizontal="left" vertical="center" wrapText="1"/>
    </xf>
    <xf numFmtId="2" fontId="20" fillId="3" borderId="38" xfId="0" quotePrefix="1" applyNumberFormat="1" applyFont="1" applyFill="1" applyBorder="1" applyAlignment="1">
      <alignment horizontal="center" vertical="center" wrapText="1"/>
    </xf>
    <xf numFmtId="0" fontId="18" fillId="5" borderId="39" xfId="0" quotePrefix="1" applyFont="1" applyFill="1" applyBorder="1"/>
    <xf numFmtId="0" fontId="16" fillId="5" borderId="40" xfId="0" quotePrefix="1" applyFont="1" applyFill="1" applyBorder="1"/>
    <xf numFmtId="0" fontId="17" fillId="0" borderId="35" xfId="0" quotePrefix="1" applyFont="1" applyBorder="1" applyAlignment="1">
      <alignment horizontal="left" vertical="center" wrapText="1"/>
    </xf>
    <xf numFmtId="164" fontId="17" fillId="0" borderId="36" xfId="0" quotePrefix="1" applyNumberFormat="1" applyFont="1" applyBorder="1" applyAlignment="1">
      <alignment horizontal="center" vertical="center" wrapText="1"/>
    </xf>
    <xf numFmtId="0" fontId="17" fillId="0" borderId="37" xfId="0" quotePrefix="1" applyFont="1" applyBorder="1" applyAlignment="1">
      <alignment horizontal="left" vertical="center" wrapText="1"/>
    </xf>
    <xf numFmtId="164" fontId="17" fillId="0" borderId="38" xfId="0" quotePrefix="1" applyNumberFormat="1" applyFont="1" applyBorder="1" applyAlignment="1">
      <alignment horizontal="center" vertical="center" wrapText="1"/>
    </xf>
    <xf numFmtId="2" fontId="18" fillId="3" borderId="38" xfId="0" quotePrefix="1" applyNumberFormat="1" applyFont="1" applyFill="1" applyBorder="1" applyAlignment="1">
      <alignment horizontal="center" vertical="center" wrapText="1"/>
    </xf>
    <xf numFmtId="164" fontId="15" fillId="0" borderId="38" xfId="0" applyNumberFormat="1" applyFont="1" applyBorder="1" applyAlignment="1">
      <alignment horizontal="center" vertical="center"/>
    </xf>
    <xf numFmtId="0" fontId="18" fillId="3" borderId="43" xfId="0" applyFont="1" applyFill="1" applyBorder="1" applyAlignment="1">
      <alignment horizontal="left" vertical="center" wrapText="1"/>
    </xf>
    <xf numFmtId="0" fontId="18" fillId="5" borderId="41" xfId="0" quotePrefix="1" applyFont="1" applyFill="1" applyBorder="1"/>
    <xf numFmtId="0" fontId="16" fillId="5" borderId="42" xfId="0" quotePrefix="1" applyFont="1" applyFill="1" applyBorder="1"/>
    <xf numFmtId="0" fontId="18" fillId="3" borderId="43" xfId="0" quotePrefix="1" applyFont="1" applyFill="1" applyBorder="1" applyAlignment="1">
      <alignment horizontal="left" vertical="center" wrapText="1"/>
    </xf>
    <xf numFmtId="0" fontId="18" fillId="3" borderId="34" xfId="0" applyFont="1" applyFill="1" applyBorder="1" applyAlignment="1">
      <alignment horizontal="left" vertical="center" wrapText="1"/>
    </xf>
    <xf numFmtId="2" fontId="18" fillId="3" borderId="31" xfId="0" quotePrefix="1" applyNumberFormat="1" applyFont="1" applyFill="1" applyBorder="1" applyAlignment="1">
      <alignment horizontal="center" vertical="center" wrapText="1"/>
    </xf>
    <xf numFmtId="2" fontId="18" fillId="3" borderId="32" xfId="0" quotePrefix="1" applyNumberFormat="1" applyFont="1" applyFill="1" applyBorder="1" applyAlignment="1">
      <alignment horizontal="center" vertical="center" wrapText="1"/>
    </xf>
    <xf numFmtId="0" fontId="18" fillId="4" borderId="44" xfId="0" applyFont="1" applyFill="1" applyBorder="1" applyAlignment="1">
      <alignment horizontal="center" vertical="center" wrapText="1" readingOrder="1"/>
    </xf>
    <xf numFmtId="0" fontId="16" fillId="4" borderId="38" xfId="0" applyFont="1" applyFill="1" applyBorder="1" applyAlignment="1">
      <alignment horizontal="center" vertical="center"/>
    </xf>
    <xf numFmtId="0" fontId="17" fillId="0" borderId="37" xfId="0" applyFont="1" applyBorder="1" applyAlignment="1">
      <alignment horizontal="left" vertical="center"/>
    </xf>
    <xf numFmtId="164" fontId="17" fillId="0" borderId="38" xfId="1" applyNumberFormat="1" applyFont="1" applyBorder="1" applyAlignment="1">
      <alignment horizontal="center" vertical="center"/>
    </xf>
    <xf numFmtId="2" fontId="20" fillId="3" borderId="38" xfId="0" applyNumberFormat="1" applyFont="1" applyFill="1" applyBorder="1" applyAlignment="1">
      <alignment horizontal="center" vertical="center" wrapText="1"/>
    </xf>
    <xf numFmtId="164" fontId="17" fillId="0" borderId="36" xfId="0" applyNumberFormat="1" applyFont="1" applyBorder="1" applyAlignment="1">
      <alignment horizontal="center" vertical="center" wrapText="1"/>
    </xf>
    <xf numFmtId="164" fontId="17" fillId="0" borderId="38" xfId="0" applyNumberFormat="1" applyFont="1" applyBorder="1" applyAlignment="1">
      <alignment horizontal="center" vertical="center" wrapText="1"/>
    </xf>
    <xf numFmtId="0" fontId="26" fillId="10" borderId="13" xfId="0" applyFont="1" applyFill="1" applyBorder="1" applyAlignment="1">
      <alignment horizontal="left" vertical="center" wrapText="1" readingOrder="1"/>
    </xf>
    <xf numFmtId="0" fontId="26" fillId="10" borderId="9" xfId="0" applyFont="1" applyFill="1" applyBorder="1" applyAlignment="1">
      <alignment horizontal="center" vertical="center" wrapText="1" readingOrder="1"/>
    </xf>
    <xf numFmtId="0" fontId="26" fillId="10" borderId="9" xfId="0" applyFont="1" applyFill="1" applyBorder="1" applyAlignment="1">
      <alignment horizontal="left" vertical="center" wrapText="1" readingOrder="1"/>
    </xf>
    <xf numFmtId="0" fontId="46" fillId="11" borderId="45" xfId="0" applyFont="1" applyFill="1" applyBorder="1"/>
    <xf numFmtId="0" fontId="46" fillId="11" borderId="46" xfId="0" applyFont="1" applyFill="1" applyBorder="1"/>
    <xf numFmtId="0" fontId="46" fillId="11" borderId="47" xfId="0" applyFont="1" applyFill="1" applyBorder="1"/>
    <xf numFmtId="0" fontId="46" fillId="11" borderId="48" xfId="0" applyFont="1" applyFill="1" applyBorder="1"/>
    <xf numFmtId="0" fontId="46" fillId="11" borderId="49" xfId="0" applyFont="1" applyFill="1" applyBorder="1"/>
    <xf numFmtId="0" fontId="0" fillId="0" borderId="50" xfId="0" applyBorder="1"/>
    <xf numFmtId="0" fontId="0" fillId="0" borderId="9" xfId="0" applyBorder="1"/>
    <xf numFmtId="0" fontId="15" fillId="0" borderId="9" xfId="0" applyFont="1" applyBorder="1" applyAlignment="1">
      <alignment vertical="top"/>
    </xf>
    <xf numFmtId="0" fontId="48" fillId="0" borderId="51" xfId="4" applyFont="1" applyBorder="1" applyAlignment="1" applyProtection="1"/>
    <xf numFmtId="0" fontId="47" fillId="0" borderId="9" xfId="0" applyFont="1" applyBorder="1" applyAlignment="1">
      <alignment vertical="center" readingOrder="1"/>
    </xf>
    <xf numFmtId="0" fontId="48" fillId="0" borderId="9" xfId="4" applyFont="1" applyBorder="1" applyAlignment="1" applyProtection="1"/>
    <xf numFmtId="0" fontId="4" fillId="0" borderId="0" xfId="3" applyFont="1" applyAlignment="1">
      <alignment horizontal="center"/>
    </xf>
    <xf numFmtId="0" fontId="11" fillId="2" borderId="6"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5" fillId="2" borderId="0" xfId="2" applyFont="1" applyFill="1" applyAlignment="1">
      <alignment horizontal="center" vertical="center" wrapText="1"/>
    </xf>
    <xf numFmtId="0" fontId="6" fillId="2" borderId="0" xfId="2" applyFont="1" applyFill="1" applyAlignment="1">
      <alignment horizontal="center" vertical="center" wrapText="1"/>
    </xf>
    <xf numFmtId="0" fontId="3" fillId="2" borderId="0" xfId="2" applyFill="1"/>
    <xf numFmtId="0" fontId="8" fillId="2" borderId="0" xfId="2" applyFont="1" applyFill="1" applyAlignment="1">
      <alignment horizontal="center" vertical="center"/>
    </xf>
    <xf numFmtId="0" fontId="5" fillId="2" borderId="0" xfId="2" applyFont="1" applyFill="1" applyAlignment="1">
      <alignment horizontal="left" vertical="center"/>
    </xf>
    <xf numFmtId="0" fontId="11" fillId="2" borderId="1"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18" fillId="3" borderId="24" xfId="0" applyFont="1" applyFill="1" applyBorder="1" applyAlignment="1">
      <alignment horizontal="center"/>
    </xf>
    <xf numFmtId="0" fontId="18" fillId="3" borderId="25" xfId="0" applyFont="1" applyFill="1" applyBorder="1" applyAlignment="1">
      <alignment horizontal="center"/>
    </xf>
    <xf numFmtId="0" fontId="18" fillId="3" borderId="26"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5" borderId="26" xfId="0" applyFont="1" applyFill="1" applyBorder="1" applyAlignment="1">
      <alignment horizontal="center"/>
    </xf>
    <xf numFmtId="0" fontId="13" fillId="2" borderId="0" xfId="0" applyFont="1" applyFill="1" applyAlignment="1">
      <alignment horizontal="center"/>
    </xf>
    <xf numFmtId="0" fontId="21" fillId="2" borderId="15" xfId="0" applyFont="1" applyFill="1" applyBorder="1" applyAlignment="1">
      <alignment horizontal="left" vertical="top"/>
    </xf>
    <xf numFmtId="0" fontId="21" fillId="2" borderId="10" xfId="0" applyFont="1" applyFill="1" applyBorder="1" applyAlignment="1">
      <alignment horizontal="left" vertical="top"/>
    </xf>
    <xf numFmtId="0" fontId="12" fillId="2" borderId="15"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5" xfId="0" quotePrefix="1" applyFont="1" applyFill="1" applyBorder="1" applyAlignment="1">
      <alignment horizontal="left" vertical="top" wrapText="1"/>
    </xf>
    <xf numFmtId="0" fontId="12" fillId="2" borderId="10" xfId="0" quotePrefix="1" applyFont="1" applyFill="1" applyBorder="1" applyAlignment="1">
      <alignment horizontal="left" vertical="top" wrapText="1"/>
    </xf>
    <xf numFmtId="0" fontId="2" fillId="0" borderId="15" xfId="0" applyFont="1" applyBorder="1" applyAlignment="1">
      <alignment horizontal="left" vertical="top"/>
    </xf>
    <xf numFmtId="0" fontId="2" fillId="0" borderId="10" xfId="0" applyFont="1" applyBorder="1" applyAlignment="1">
      <alignment horizontal="left" vertical="top"/>
    </xf>
    <xf numFmtId="0" fontId="12" fillId="0" borderId="15" xfId="0" applyFont="1" applyBorder="1" applyAlignment="1">
      <alignment horizontal="left" vertical="top" wrapText="1"/>
    </xf>
    <xf numFmtId="0" fontId="12" fillId="0" borderId="10" xfId="0" applyFont="1" applyBorder="1" applyAlignment="1">
      <alignment horizontal="left" vertical="top" wrapText="1"/>
    </xf>
    <xf numFmtId="0" fontId="36" fillId="0" borderId="15" xfId="0" quotePrefix="1" applyFont="1" applyBorder="1" applyAlignment="1">
      <alignment horizontal="left" vertical="top" wrapText="1"/>
    </xf>
    <xf numFmtId="0" fontId="12" fillId="0" borderId="10" xfId="0" quotePrefix="1" applyFont="1" applyBorder="1" applyAlignment="1">
      <alignment horizontal="left" vertical="top" wrapText="1"/>
    </xf>
    <xf numFmtId="0" fontId="22" fillId="0" borderId="9" xfId="0" quotePrefix="1" applyFont="1" applyBorder="1" applyAlignment="1">
      <alignment horizontal="left" vertical="top" wrapText="1"/>
    </xf>
    <xf numFmtId="0" fontId="25" fillId="0" borderId="9" xfId="0" quotePrefix="1" applyFont="1" applyBorder="1" applyAlignment="1">
      <alignment horizontal="left" vertical="top" wrapText="1"/>
    </xf>
    <xf numFmtId="0" fontId="24" fillId="0" borderId="9" xfId="0" applyFont="1" applyBorder="1" applyAlignment="1">
      <alignment horizontal="left" vertical="top" wrapText="1"/>
    </xf>
    <xf numFmtId="10" fontId="22" fillId="0" borderId="27" xfId="0" applyNumberFormat="1" applyFont="1" applyBorder="1" applyAlignment="1">
      <alignment horizontal="left" vertical="top" wrapText="1"/>
    </xf>
    <xf numFmtId="10" fontId="22" fillId="0" borderId="13" xfId="0" applyNumberFormat="1" applyFont="1" applyBorder="1" applyAlignment="1">
      <alignment horizontal="left" vertical="top" wrapText="1"/>
    </xf>
    <xf numFmtId="10" fontId="24" fillId="0" borderId="15" xfId="0" applyNumberFormat="1" applyFont="1" applyBorder="1" applyAlignment="1">
      <alignment horizontal="left" vertical="top" wrapText="1"/>
    </xf>
    <xf numFmtId="10" fontId="24" fillId="0" borderId="29" xfId="0" applyNumberFormat="1" applyFont="1" applyBorder="1" applyAlignment="1">
      <alignment horizontal="left" vertical="top" wrapText="1"/>
    </xf>
    <xf numFmtId="10" fontId="24" fillId="0" borderId="10" xfId="0" applyNumberFormat="1" applyFont="1" applyBorder="1" applyAlignment="1">
      <alignment horizontal="left" vertical="top" wrapText="1"/>
    </xf>
    <xf numFmtId="10" fontId="22" fillId="0" borderId="15" xfId="0" applyNumberFormat="1" applyFont="1" applyBorder="1" applyAlignment="1">
      <alignment horizontal="left" vertical="top" wrapText="1"/>
    </xf>
    <xf numFmtId="10" fontId="22" fillId="0" borderId="29" xfId="0" applyNumberFormat="1" applyFont="1" applyBorder="1" applyAlignment="1">
      <alignment horizontal="left" vertical="top" wrapText="1"/>
    </xf>
    <xf numFmtId="10" fontId="22" fillId="0" borderId="10" xfId="0" applyNumberFormat="1" applyFont="1" applyBorder="1" applyAlignment="1">
      <alignment horizontal="left" vertical="top" wrapText="1"/>
    </xf>
    <xf numFmtId="165" fontId="22" fillId="0" borderId="15" xfId="0" applyNumberFormat="1" applyFont="1" applyBorder="1" applyAlignment="1">
      <alignment horizontal="left" vertical="top" wrapText="1"/>
    </xf>
    <xf numFmtId="165" fontId="22" fillId="0" borderId="29" xfId="0" applyNumberFormat="1" applyFont="1" applyBorder="1" applyAlignment="1">
      <alignment horizontal="left" vertical="top" wrapText="1"/>
    </xf>
    <xf numFmtId="165" fontId="22" fillId="0" borderId="10" xfId="0" applyNumberFormat="1" applyFont="1" applyBorder="1" applyAlignment="1">
      <alignment horizontal="left" vertical="top" wrapText="1"/>
    </xf>
    <xf numFmtId="0" fontId="22" fillId="0" borderId="13" xfId="0" applyFont="1" applyBorder="1" applyAlignment="1">
      <alignment horizontal="left" vertical="top" wrapText="1"/>
    </xf>
    <xf numFmtId="0" fontId="22" fillId="0" borderId="15" xfId="0" quotePrefix="1" applyFont="1" applyBorder="1" applyAlignment="1">
      <alignment horizontal="left" vertical="top" wrapText="1"/>
    </xf>
    <xf numFmtId="0" fontId="22" fillId="0" borderId="29" xfId="0" quotePrefix="1" applyFont="1" applyBorder="1" applyAlignment="1">
      <alignment horizontal="left" vertical="top" wrapText="1"/>
    </xf>
    <xf numFmtId="0" fontId="22" fillId="0" borderId="10" xfId="0" quotePrefix="1" applyFont="1" applyBorder="1" applyAlignment="1">
      <alignment horizontal="left" vertical="top" wrapText="1"/>
    </xf>
    <xf numFmtId="0" fontId="22" fillId="0" borderId="15" xfId="1" quotePrefix="1" applyNumberFormat="1" applyFont="1" applyBorder="1" applyAlignment="1">
      <alignment horizontal="left" vertical="top" wrapText="1"/>
    </xf>
    <xf numFmtId="0" fontId="22" fillId="0" borderId="29" xfId="1" quotePrefix="1" applyNumberFormat="1" applyFont="1" applyBorder="1" applyAlignment="1">
      <alignment horizontal="left" vertical="top" wrapText="1"/>
    </xf>
    <xf numFmtId="0" fontId="22" fillId="0" borderId="10" xfId="1" quotePrefix="1" applyNumberFormat="1" applyFont="1" applyBorder="1" applyAlignment="1">
      <alignment horizontal="left" vertical="top" wrapText="1"/>
    </xf>
    <xf numFmtId="10" fontId="24" fillId="0" borderId="9"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9" xfId="0" applyFont="1" applyBorder="1" applyAlignment="1">
      <alignment horizontal="left" vertical="top" wrapText="1"/>
    </xf>
    <xf numFmtId="0" fontId="27" fillId="0" borderId="10" xfId="0" applyFont="1" applyBorder="1" applyAlignment="1">
      <alignment horizontal="left" vertical="top" wrapText="1"/>
    </xf>
    <xf numFmtId="0" fontId="25" fillId="0" borderId="15" xfId="1" quotePrefix="1" applyNumberFormat="1" applyFont="1" applyFill="1" applyBorder="1" applyAlignment="1">
      <alignment horizontal="left" vertical="top" wrapText="1"/>
    </xf>
    <xf numFmtId="0" fontId="25" fillId="0" borderId="29" xfId="1" quotePrefix="1" applyNumberFormat="1" applyFont="1" applyFill="1" applyBorder="1" applyAlignment="1">
      <alignment horizontal="left" vertical="top" wrapText="1"/>
    </xf>
    <xf numFmtId="0" fontId="25" fillId="0" borderId="10" xfId="1" quotePrefix="1" applyNumberFormat="1" applyFont="1" applyFill="1" applyBorder="1" applyAlignment="1">
      <alignment horizontal="left" vertical="top" wrapText="1"/>
    </xf>
    <xf numFmtId="0" fontId="25" fillId="0" borderId="15" xfId="0" applyFont="1" applyBorder="1" applyAlignment="1">
      <alignment horizontal="left" vertical="top" wrapText="1"/>
    </xf>
    <xf numFmtId="0" fontId="25" fillId="0" borderId="29" xfId="0" applyFont="1" applyBorder="1" applyAlignment="1">
      <alignment horizontal="left" vertical="top" wrapText="1"/>
    </xf>
    <xf numFmtId="0" fontId="25" fillId="0" borderId="10" xfId="0" applyFont="1" applyBorder="1" applyAlignment="1">
      <alignment horizontal="left" vertical="top" wrapText="1"/>
    </xf>
    <xf numFmtId="0" fontId="44" fillId="0" borderId="0" xfId="0" applyFont="1" applyAlignment="1">
      <alignment horizontal="center" vertical="top" wrapText="1"/>
    </xf>
    <xf numFmtId="0" fontId="27" fillId="0" borderId="13" xfId="0" applyFont="1" applyBorder="1" applyAlignment="1">
      <alignment horizontal="left" vertical="top" wrapText="1"/>
    </xf>
    <xf numFmtId="0" fontId="27" fillId="0" borderId="16" xfId="0" applyFont="1" applyBorder="1" applyAlignment="1">
      <alignment horizontal="left" vertical="top" wrapText="1"/>
    </xf>
    <xf numFmtId="0" fontId="27" fillId="0" borderId="28" xfId="0" applyFont="1" applyBorder="1" applyAlignment="1">
      <alignment horizontal="left" vertical="top" wrapText="1"/>
    </xf>
    <xf numFmtId="0" fontId="27" fillId="0" borderId="27" xfId="0" applyFont="1" applyBorder="1" applyAlignment="1">
      <alignment horizontal="left" vertical="top" wrapText="1"/>
    </xf>
    <xf numFmtId="0" fontId="28" fillId="0" borderId="9" xfId="0" applyFont="1" applyBorder="1" applyAlignment="1">
      <alignment horizontal="left" vertical="top" wrapText="1"/>
    </xf>
    <xf numFmtId="0" fontId="22" fillId="0" borderId="18" xfId="0" applyFont="1" applyBorder="1" applyAlignment="1">
      <alignment horizontal="left" vertical="top" wrapText="1"/>
    </xf>
    <xf numFmtId="0" fontId="27" fillId="0" borderId="9" xfId="0" applyFont="1" applyBorder="1" applyAlignment="1">
      <alignment horizontal="left" vertical="top" wrapText="1"/>
    </xf>
    <xf numFmtId="0" fontId="22" fillId="0" borderId="9" xfId="0" applyFont="1" applyBorder="1" applyAlignment="1">
      <alignment horizontal="left" vertical="top" wrapText="1"/>
    </xf>
    <xf numFmtId="0" fontId="27" fillId="0" borderId="9" xfId="0" quotePrefix="1" applyFont="1" applyBorder="1" applyAlignment="1">
      <alignment horizontal="left" vertical="top" wrapText="1"/>
    </xf>
    <xf numFmtId="10" fontId="27" fillId="0" borderId="10" xfId="0" applyNumberFormat="1" applyFont="1" applyBorder="1" applyAlignment="1">
      <alignment horizontal="left" vertical="top" wrapText="1"/>
    </xf>
    <xf numFmtId="10" fontId="27" fillId="0" borderId="29" xfId="0" applyNumberFormat="1" applyFont="1" applyBorder="1" applyAlignment="1">
      <alignment horizontal="left" vertical="top" wrapText="1"/>
    </xf>
    <xf numFmtId="0" fontId="22" fillId="0" borderId="15" xfId="0" applyFont="1" applyBorder="1" applyAlignment="1">
      <alignment horizontal="left" vertical="top" wrapText="1"/>
    </xf>
    <xf numFmtId="0" fontId="22" fillId="0" borderId="29" xfId="0" applyFont="1" applyBorder="1" applyAlignment="1">
      <alignment horizontal="left" vertical="top" wrapText="1"/>
    </xf>
    <xf numFmtId="0" fontId="22" fillId="0" borderId="10" xfId="0" applyFont="1" applyBorder="1" applyAlignment="1">
      <alignment horizontal="left" vertical="top" wrapText="1"/>
    </xf>
    <xf numFmtId="0" fontId="2" fillId="5" borderId="9" xfId="0" applyFont="1" applyFill="1" applyBorder="1" applyAlignment="1">
      <alignment horizontal="center" vertical="top" wrapText="1"/>
    </xf>
    <xf numFmtId="0" fontId="25" fillId="0" borderId="9" xfId="0" applyFont="1" applyBorder="1" applyAlignment="1">
      <alignment horizontal="left" vertical="top" wrapText="1"/>
    </xf>
    <xf numFmtId="0" fontId="25" fillId="0" borderId="9" xfId="0" applyFont="1" applyBorder="1" applyAlignment="1">
      <alignment horizontal="left" vertical="top"/>
    </xf>
    <xf numFmtId="10" fontId="27" fillId="0" borderId="9" xfId="0" applyNumberFormat="1" applyFont="1" applyBorder="1" applyAlignment="1">
      <alignment horizontal="left" vertical="top" wrapText="1"/>
    </xf>
    <xf numFmtId="0" fontId="2" fillId="3" borderId="14" xfId="0" applyFont="1" applyFill="1" applyBorder="1" applyAlignment="1">
      <alignment horizontal="center" vertical="top" wrapText="1"/>
    </xf>
    <xf numFmtId="0" fontId="2" fillId="3" borderId="18" xfId="0" applyFont="1" applyFill="1" applyBorder="1" applyAlignment="1">
      <alignment horizontal="center" vertical="top" wrapText="1"/>
    </xf>
    <xf numFmtId="0" fontId="24" fillId="0" borderId="15" xfId="0" quotePrefix="1" applyFont="1" applyBorder="1" applyAlignment="1">
      <alignment horizontal="left" vertical="top" wrapText="1"/>
    </xf>
    <xf numFmtId="0" fontId="24" fillId="0" borderId="10" xfId="0" quotePrefix="1" applyFont="1" applyBorder="1" applyAlignment="1">
      <alignment horizontal="left" vertical="top" wrapText="1"/>
    </xf>
    <xf numFmtId="165" fontId="22" fillId="0" borderId="9" xfId="0" applyNumberFormat="1" applyFont="1" applyBorder="1" applyAlignment="1">
      <alignment horizontal="left" vertical="top" wrapText="1"/>
    </xf>
    <xf numFmtId="0" fontId="20" fillId="0" borderId="13" xfId="0" quotePrefix="1" applyFont="1" applyBorder="1" applyAlignment="1">
      <alignment horizontal="left" vertical="center" wrapText="1"/>
    </xf>
    <xf numFmtId="0" fontId="20" fillId="0" borderId="14" xfId="0" quotePrefix="1" applyFont="1" applyBorder="1" applyAlignment="1">
      <alignment horizontal="left" vertical="center" wrapText="1"/>
    </xf>
    <xf numFmtId="0" fontId="20" fillId="0" borderId="13" xfId="0" quotePrefix="1" applyFont="1" applyBorder="1" applyAlignment="1">
      <alignment horizontal="left"/>
    </xf>
    <xf numFmtId="0" fontId="20" fillId="0" borderId="14" xfId="0" quotePrefix="1" applyFont="1" applyBorder="1" applyAlignment="1">
      <alignment horizontal="left"/>
    </xf>
    <xf numFmtId="0" fontId="16" fillId="0" borderId="0" xfId="0" applyFont="1" applyAlignment="1">
      <alignment horizontal="center" vertical="center" wrapText="1"/>
    </xf>
    <xf numFmtId="0" fontId="18" fillId="4" borderId="9" xfId="0" applyFont="1" applyFill="1" applyBorder="1" applyAlignment="1">
      <alignment horizontal="left" vertical="center" wrapText="1"/>
    </xf>
    <xf numFmtId="0" fontId="18" fillId="5" borderId="9" xfId="0" quotePrefix="1" applyFont="1" applyFill="1" applyBorder="1" applyAlignment="1">
      <alignment horizontal="left"/>
    </xf>
    <xf numFmtId="0" fontId="20" fillId="0" borderId="9" xfId="0" quotePrefix="1" applyFont="1" applyBorder="1" applyAlignment="1">
      <alignment horizontal="left"/>
    </xf>
    <xf numFmtId="0" fontId="18" fillId="0" borderId="33" xfId="0" applyFont="1" applyBorder="1" applyAlignment="1">
      <alignment horizontal="left" vertical="center" wrapText="1"/>
    </xf>
    <xf numFmtId="0" fontId="18" fillId="0" borderId="34" xfId="0" applyFont="1" applyBorder="1" applyAlignment="1">
      <alignment horizontal="left" vertical="center" wrapText="1"/>
    </xf>
    <xf numFmtId="0" fontId="18" fillId="5" borderId="13" xfId="0" quotePrefix="1" applyFont="1" applyFill="1" applyBorder="1" applyAlignment="1">
      <alignment horizontal="left"/>
    </xf>
    <xf numFmtId="0" fontId="18" fillId="5" borderId="14" xfId="0" quotePrefix="1" applyFont="1" applyFill="1" applyBorder="1" applyAlignment="1">
      <alignment horizontal="left"/>
    </xf>
    <xf numFmtId="0" fontId="20" fillId="0" borderId="41" xfId="0" quotePrefix="1" applyFont="1" applyBorder="1" applyAlignment="1">
      <alignment horizontal="left" vertical="center" wrapText="1"/>
    </xf>
    <xf numFmtId="0" fontId="20" fillId="0" borderId="42" xfId="0" quotePrefix="1" applyFont="1" applyBorder="1" applyAlignment="1">
      <alignment horizontal="left" vertical="center" wrapText="1"/>
    </xf>
    <xf numFmtId="0" fontId="18" fillId="4" borderId="23" xfId="0" applyFont="1" applyFill="1" applyBorder="1" applyAlignment="1">
      <alignment horizontal="left" vertical="center" wrapText="1"/>
    </xf>
    <xf numFmtId="0" fontId="18" fillId="4" borderId="21" xfId="0" applyFont="1" applyFill="1" applyBorder="1" applyAlignment="1">
      <alignment horizontal="left" vertical="center" wrapText="1"/>
    </xf>
    <xf numFmtId="0" fontId="20" fillId="0" borderId="41" xfId="0" quotePrefix="1" applyFont="1" applyBorder="1" applyAlignment="1">
      <alignment horizontal="left"/>
    </xf>
    <xf numFmtId="0" fontId="20" fillId="0" borderId="42" xfId="0" quotePrefix="1" applyFont="1" applyBorder="1" applyAlignment="1">
      <alignment horizontal="left"/>
    </xf>
    <xf numFmtId="0" fontId="18" fillId="4" borderId="33" xfId="0" applyFont="1" applyFill="1" applyBorder="1" applyAlignment="1">
      <alignment horizontal="left" vertical="center" wrapText="1"/>
    </xf>
    <xf numFmtId="0" fontId="18" fillId="4" borderId="34" xfId="0" applyFont="1" applyFill="1" applyBorder="1" applyAlignment="1">
      <alignment horizontal="left" vertical="center" wrapText="1"/>
    </xf>
    <xf numFmtId="0" fontId="16" fillId="5" borderId="9" xfId="0" quotePrefix="1" applyFont="1" applyFill="1" applyBorder="1" applyAlignment="1">
      <alignment horizontal="left"/>
    </xf>
    <xf numFmtId="0" fontId="16" fillId="5" borderId="13" xfId="0" quotePrefix="1" applyFont="1" applyFill="1" applyBorder="1" applyAlignment="1">
      <alignment horizontal="left"/>
    </xf>
    <xf numFmtId="0" fontId="16" fillId="5" borderId="14" xfId="0" quotePrefix="1" applyFont="1" applyFill="1" applyBorder="1" applyAlignment="1">
      <alignment horizontal="left"/>
    </xf>
    <xf numFmtId="0" fontId="18" fillId="4" borderId="37" xfId="0" applyFont="1" applyFill="1" applyBorder="1" applyAlignment="1">
      <alignment horizontal="left" vertical="center" wrapText="1"/>
    </xf>
    <xf numFmtId="0" fontId="16" fillId="5" borderId="37" xfId="0" quotePrefix="1" applyFont="1" applyFill="1" applyBorder="1" applyAlignment="1">
      <alignment horizontal="left"/>
    </xf>
    <xf numFmtId="0" fontId="16" fillId="5" borderId="9" xfId="0" applyFont="1" applyFill="1" applyBorder="1" applyAlignment="1">
      <alignment horizontal="left"/>
    </xf>
    <xf numFmtId="0" fontId="16" fillId="5" borderId="38" xfId="0" applyFont="1" applyFill="1" applyBorder="1" applyAlignment="1">
      <alignment horizontal="left"/>
    </xf>
    <xf numFmtId="0" fontId="20" fillId="0" borderId="37" xfId="0" quotePrefix="1" applyFont="1" applyBorder="1" applyAlignment="1">
      <alignment horizontal="left"/>
    </xf>
    <xf numFmtId="0" fontId="20" fillId="0" borderId="9" xfId="0" applyFont="1" applyBorder="1" applyAlignment="1">
      <alignment horizontal="left"/>
    </xf>
    <xf numFmtId="0" fontId="20" fillId="0" borderId="38" xfId="0" applyFont="1" applyBorder="1" applyAlignment="1">
      <alignment horizontal="left"/>
    </xf>
    <xf numFmtId="0" fontId="20" fillId="0" borderId="14" xfId="0" applyFont="1" applyBorder="1" applyAlignment="1">
      <alignment horizontal="left" vertical="center" wrapText="1"/>
    </xf>
    <xf numFmtId="0" fontId="20" fillId="0" borderId="42" xfId="0" applyFont="1" applyBorder="1" applyAlignment="1">
      <alignment horizontal="left" vertical="center" wrapText="1"/>
    </xf>
    <xf numFmtId="0" fontId="15" fillId="0" borderId="7" xfId="0" applyFont="1" applyBorder="1" applyAlignment="1">
      <alignment horizontal="left" vertical="top" wrapText="1"/>
    </xf>
    <xf numFmtId="0" fontId="20" fillId="0" borderId="0" xfId="0" applyFont="1" applyAlignment="1">
      <alignment horizontal="left" wrapText="1"/>
    </xf>
    <xf numFmtId="0" fontId="34" fillId="6" borderId="9" xfId="0" applyFont="1" applyFill="1" applyBorder="1" applyAlignment="1">
      <alignment vertical="center" wrapText="1"/>
    </xf>
    <xf numFmtId="0" fontId="34" fillId="6" borderId="9" xfId="0" applyFont="1" applyFill="1" applyBorder="1" applyAlignment="1">
      <alignment vertical="center"/>
    </xf>
    <xf numFmtId="0" fontId="30" fillId="4" borderId="23" xfId="0" applyFont="1" applyFill="1" applyBorder="1" applyAlignment="1">
      <alignment vertical="center" wrapText="1"/>
    </xf>
    <xf numFmtId="0" fontId="30" fillId="4" borderId="21" xfId="0" applyFont="1" applyFill="1" applyBorder="1" applyAlignment="1">
      <alignment vertical="center" wrapText="1"/>
    </xf>
    <xf numFmtId="0" fontId="30" fillId="6" borderId="13" xfId="0" applyFont="1" applyFill="1" applyBorder="1" applyAlignment="1">
      <alignment vertical="center" wrapText="1"/>
    </xf>
    <xf numFmtId="0" fontId="32" fillId="0" borderId="18" xfId="0" applyFont="1" applyBorder="1" applyAlignment="1">
      <alignment horizontal="center" vertical="center"/>
    </xf>
    <xf numFmtId="0" fontId="30" fillId="5" borderId="13" xfId="0" applyFont="1" applyFill="1" applyBorder="1" applyAlignment="1">
      <alignment horizontal="left" vertical="center"/>
    </xf>
    <xf numFmtId="0" fontId="30" fillId="5" borderId="14" xfId="0" applyFont="1" applyFill="1" applyBorder="1" applyAlignment="1">
      <alignment horizontal="left" vertical="center"/>
    </xf>
    <xf numFmtId="0" fontId="30" fillId="5" borderId="18" xfId="0" applyFont="1" applyFill="1" applyBorder="1" applyAlignment="1">
      <alignment horizontal="left" vertical="center"/>
    </xf>
    <xf numFmtId="0" fontId="34" fillId="8" borderId="9" xfId="0" applyFont="1" applyFill="1" applyBorder="1" applyAlignment="1">
      <alignment vertical="center" wrapText="1"/>
    </xf>
    <xf numFmtId="0" fontId="30" fillId="5" borderId="9" xfId="0" applyFont="1" applyFill="1" applyBorder="1" applyAlignment="1">
      <alignment horizontal="left" vertical="center"/>
    </xf>
    <xf numFmtId="0" fontId="34" fillId="8" borderId="9" xfId="0" applyFont="1" applyFill="1" applyBorder="1" applyAlignment="1">
      <alignment vertical="center"/>
    </xf>
  </cellXfs>
  <cellStyles count="7">
    <cellStyle name="Comma" xfId="1" builtinId="3"/>
    <cellStyle name="Hyperlink" xfId="4" builtinId="8"/>
    <cellStyle name="Normal" xfId="0" builtinId="0"/>
    <cellStyle name="Normal 3 2" xfId="2" xr:uid="{00000000-0005-0000-0000-000003000000}"/>
    <cellStyle name="Normal 4" xfId="6" xr:uid="{00000000-0005-0000-0000-000004000000}"/>
    <cellStyle name="Normal 4 2" xfId="3" xr:uid="{00000000-0005-0000-0000-000005000000}"/>
    <cellStyle name="Normal 5" xfId="5" xr:uid="{00000000-0005-0000-0000-000006000000}"/>
  </cellStyles>
  <dxfs count="132">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s>
  <tableStyles count="0" defaultTableStyle="TableStyleMedium2" defaultPivotStyle="PivotStyleLight16"/>
  <colors>
    <mruColors>
      <color rgb="FF0000CC"/>
      <color rgb="FFCCFFCC"/>
      <color rgb="FFE5F7FD"/>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803172"/>
          <a:ext cx="4876800" cy="1871570"/>
        </a:xfrm>
        <a:prstGeom prst="rect">
          <a:avLst/>
        </a:prstGeom>
      </xdr:spPr>
    </xdr:pic>
    <xdr:clientData/>
  </xdr:twoCellAnchor>
  <xdr:twoCellAnchor>
    <xdr:from>
      <xdr:col>0</xdr:col>
      <xdr:colOff>219075</xdr:colOff>
      <xdr:row>28</xdr:row>
      <xdr:rowOff>180975</xdr:rowOff>
    </xdr:from>
    <xdr:to>
      <xdr:col>10</xdr:col>
      <xdr:colOff>205292</xdr:colOff>
      <xdr:row>44</xdr:row>
      <xdr:rowOff>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9075" y="5591175"/>
          <a:ext cx="6082217" cy="2867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Single</a:t>
          </a:r>
          <a:r>
            <a:rPr lang="en-US" sz="2800" b="1" baseline="0">
              <a:solidFill>
                <a:schemeClr val="dk1"/>
              </a:solidFill>
              <a:latin typeface="Arial" pitchFamily="34" charset="0"/>
              <a:ea typeface="+mn-ea"/>
              <a:cs typeface="Arial" pitchFamily="34" charset="0"/>
            </a:rPr>
            <a:t> Premium Whole Life with yearly/monthly Income</a:t>
          </a:r>
          <a:endParaRPr lang="en-US" sz="2800" b="1">
            <a:solidFill>
              <a:schemeClr val="dk1"/>
            </a:solidFill>
            <a:latin typeface="Arial" pitchFamily="34" charset="0"/>
            <a:ea typeface="+mn-ea"/>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10</xdr:col>
      <xdr:colOff>550333</xdr:colOff>
      <xdr:row>0</xdr:row>
      <xdr:rowOff>96787</xdr:rowOff>
    </xdr:from>
    <xdr:ext cx="1828462" cy="704850"/>
    <xdr:pic>
      <xdr:nvPicPr>
        <xdr:cNvPr id="3" name="Picture 1" descr="PIAS.png">
          <a:extLst>
            <a:ext uri="{FF2B5EF4-FFF2-40B4-BE49-F238E27FC236}">
              <a16:creationId xmlns:a16="http://schemas.microsoft.com/office/drawing/2014/main" id="{3ACBCD86-7A50-4728-8C17-42D6EDF80EF7}"/>
            </a:ext>
          </a:extLst>
        </xdr:cNvPr>
        <xdr:cNvPicPr>
          <a:picLocks noChangeAspect="1"/>
        </xdr:cNvPicPr>
      </xdr:nvPicPr>
      <xdr:blipFill>
        <a:blip xmlns:r="http://schemas.openxmlformats.org/officeDocument/2006/relationships" r:embed="rId1" cstate="print"/>
        <a:stretch>
          <a:fillRect/>
        </a:stretch>
      </xdr:blipFill>
      <xdr:spPr>
        <a:xfrm>
          <a:off x="33832800" y="96787"/>
          <a:ext cx="1828462" cy="7048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550333</xdr:colOff>
      <xdr:row>0</xdr:row>
      <xdr:rowOff>139121</xdr:rowOff>
    </xdr:from>
    <xdr:ext cx="1828462" cy="704850"/>
    <xdr:pic>
      <xdr:nvPicPr>
        <xdr:cNvPr id="5" name="Picture 2" descr="PIAS.png">
          <a:extLst>
            <a:ext uri="{FF2B5EF4-FFF2-40B4-BE49-F238E27FC236}">
              <a16:creationId xmlns:a16="http://schemas.microsoft.com/office/drawing/2014/main" id="{A5543E47-3988-4F63-A8C7-F19D58493972}"/>
            </a:ext>
          </a:extLst>
        </xdr:cNvPr>
        <xdr:cNvPicPr>
          <a:picLocks noChangeAspect="1"/>
        </xdr:cNvPicPr>
      </xdr:nvPicPr>
      <xdr:blipFill>
        <a:blip xmlns:r="http://schemas.openxmlformats.org/officeDocument/2006/relationships" r:embed="rId1" cstate="print"/>
        <a:stretch>
          <a:fillRect/>
        </a:stretch>
      </xdr:blipFill>
      <xdr:spPr>
        <a:xfrm>
          <a:off x="33832800" y="139121"/>
          <a:ext cx="1828462" cy="70485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9</xdr:col>
      <xdr:colOff>1570181</xdr:colOff>
      <xdr:row>1</xdr:row>
      <xdr:rowOff>122188</xdr:rowOff>
    </xdr:from>
    <xdr:ext cx="1828462" cy="704850"/>
    <xdr:pic>
      <xdr:nvPicPr>
        <xdr:cNvPr id="2" name="Picture 2" descr="PIAS.png">
          <a:extLst>
            <a:ext uri="{FF2B5EF4-FFF2-40B4-BE49-F238E27FC236}">
              <a16:creationId xmlns:a16="http://schemas.microsoft.com/office/drawing/2014/main" id="{E26487FD-A777-4A05-AAAD-F13F70CDC70E}"/>
            </a:ext>
          </a:extLst>
        </xdr:cNvPr>
        <xdr:cNvPicPr>
          <a:picLocks noChangeAspect="1"/>
        </xdr:cNvPicPr>
      </xdr:nvPicPr>
      <xdr:blipFill>
        <a:blip xmlns:r="http://schemas.openxmlformats.org/officeDocument/2006/relationships" r:embed="rId1" cstate="print"/>
        <a:stretch>
          <a:fillRect/>
        </a:stretch>
      </xdr:blipFill>
      <xdr:spPr>
        <a:xfrm>
          <a:off x="65140031" y="312688"/>
          <a:ext cx="1828462" cy="70485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6</xdr:col>
      <xdr:colOff>1285874</xdr:colOff>
      <xdr:row>0</xdr:row>
      <xdr:rowOff>18762</xdr:rowOff>
    </xdr:from>
    <xdr:ext cx="1413094" cy="544731"/>
    <xdr:pic>
      <xdr:nvPicPr>
        <xdr:cNvPr id="2" name="Picture 1" descr="PIAS.png">
          <a:extLst>
            <a:ext uri="{FF2B5EF4-FFF2-40B4-BE49-F238E27FC236}">
              <a16:creationId xmlns:a16="http://schemas.microsoft.com/office/drawing/2014/main" id="{520E2FD0-D2E4-4B76-BA19-4967E1CFC74B}"/>
            </a:ext>
          </a:extLst>
        </xdr:cNvPr>
        <xdr:cNvPicPr>
          <a:picLocks noChangeAspect="1"/>
        </xdr:cNvPicPr>
      </xdr:nvPicPr>
      <xdr:blipFill>
        <a:blip xmlns:r="http://schemas.openxmlformats.org/officeDocument/2006/relationships" r:embed="rId1" cstate="print"/>
        <a:stretch>
          <a:fillRect/>
        </a:stretch>
      </xdr:blipFill>
      <xdr:spPr>
        <a:xfrm>
          <a:off x="25884187" y="18762"/>
          <a:ext cx="1413094" cy="544731"/>
        </a:xfrm>
        <a:prstGeom prst="rect">
          <a:avLst/>
        </a:prstGeom>
      </xdr:spPr>
    </xdr:pic>
    <xdr:clientData/>
  </xdr:oneCellAnchor>
  <xdr:oneCellAnchor>
    <xdr:from>
      <xdr:col>6</xdr:col>
      <xdr:colOff>1285874</xdr:colOff>
      <xdr:row>0</xdr:row>
      <xdr:rowOff>18762</xdr:rowOff>
    </xdr:from>
    <xdr:ext cx="1413094" cy="544731"/>
    <xdr:pic>
      <xdr:nvPicPr>
        <xdr:cNvPr id="3" name="Picture 2" descr="PIAS.png">
          <a:extLst>
            <a:ext uri="{FF2B5EF4-FFF2-40B4-BE49-F238E27FC236}">
              <a16:creationId xmlns:a16="http://schemas.microsoft.com/office/drawing/2014/main" id="{F8C3C99F-0250-4E8C-B6AC-FB09D7B9DDFC}"/>
            </a:ext>
          </a:extLst>
        </xdr:cNvPr>
        <xdr:cNvPicPr>
          <a:picLocks noChangeAspect="1"/>
        </xdr:cNvPicPr>
      </xdr:nvPicPr>
      <xdr:blipFill>
        <a:blip xmlns:r="http://schemas.openxmlformats.org/officeDocument/2006/relationships" r:embed="rId1" cstate="print"/>
        <a:stretch>
          <a:fillRect/>
        </a:stretch>
      </xdr:blipFill>
      <xdr:spPr>
        <a:xfrm>
          <a:off x="23187024" y="18762"/>
          <a:ext cx="1413094" cy="54473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351459</xdr:colOff>
      <xdr:row>0</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oneCellAnchor>
    <xdr:from>
      <xdr:col>4</xdr:col>
      <xdr:colOff>351459</xdr:colOff>
      <xdr:row>0</xdr:row>
      <xdr:rowOff>38100</xdr:rowOff>
    </xdr:from>
    <xdr:ext cx="1828462" cy="704850"/>
    <xdr:pic>
      <xdr:nvPicPr>
        <xdr:cNvPr id="3" name="Picture 2" descr="PIAS.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11</xdr:col>
      <xdr:colOff>1056408</xdr:colOff>
      <xdr:row>0</xdr:row>
      <xdr:rowOff>17318</xdr:rowOff>
    </xdr:from>
    <xdr:ext cx="1828462" cy="704850"/>
    <xdr:pic>
      <xdr:nvPicPr>
        <xdr:cNvPr id="5" name="Picture 4" descr="PIAS.p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28471090" y="17318"/>
          <a:ext cx="1828462" cy="7048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10</xdr:col>
      <xdr:colOff>279400</xdr:colOff>
      <xdr:row>0</xdr:row>
      <xdr:rowOff>169333</xdr:rowOff>
    </xdr:from>
    <xdr:ext cx="1828462" cy="704850"/>
    <xdr:pic>
      <xdr:nvPicPr>
        <xdr:cNvPr id="2" name="Picture 1" descr="PIAS.png">
          <a:extLst>
            <a:ext uri="{FF2B5EF4-FFF2-40B4-BE49-F238E27FC236}">
              <a16:creationId xmlns:a16="http://schemas.microsoft.com/office/drawing/2014/main" id="{422715CB-8BAF-484D-B610-C963C0EDB320}"/>
            </a:ext>
          </a:extLst>
        </xdr:cNvPr>
        <xdr:cNvPicPr>
          <a:picLocks noChangeAspect="1"/>
        </xdr:cNvPicPr>
      </xdr:nvPicPr>
      <xdr:blipFill>
        <a:blip xmlns:r="http://schemas.openxmlformats.org/officeDocument/2006/relationships" r:embed="rId1" cstate="print"/>
        <a:stretch>
          <a:fillRect/>
        </a:stretch>
      </xdr:blipFill>
      <xdr:spPr>
        <a:xfrm>
          <a:off x="29032200" y="169333"/>
          <a:ext cx="1828462" cy="7048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11</xdr:col>
      <xdr:colOff>279400</xdr:colOff>
      <xdr:row>0</xdr:row>
      <xdr:rowOff>169333</xdr:rowOff>
    </xdr:from>
    <xdr:ext cx="1828462" cy="704850"/>
    <xdr:pic>
      <xdr:nvPicPr>
        <xdr:cNvPr id="5" name="Picture 4" descr="PIAS.png">
          <a:extLst>
            <a:ext uri="{FF2B5EF4-FFF2-40B4-BE49-F238E27FC236}">
              <a16:creationId xmlns:a16="http://schemas.microsoft.com/office/drawing/2014/main" id="{B7011DAA-43E6-4FD9-BE05-830052F05CD4}"/>
            </a:ext>
          </a:extLst>
        </xdr:cNvPr>
        <xdr:cNvPicPr>
          <a:picLocks noChangeAspect="1"/>
        </xdr:cNvPicPr>
      </xdr:nvPicPr>
      <xdr:blipFill>
        <a:blip xmlns:r="http://schemas.openxmlformats.org/officeDocument/2006/relationships" r:embed="rId1" cstate="print"/>
        <a:stretch>
          <a:fillRect/>
        </a:stretch>
      </xdr:blipFill>
      <xdr:spPr>
        <a:xfrm>
          <a:off x="29049133" y="169333"/>
          <a:ext cx="1828462" cy="7048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9</xdr:col>
      <xdr:colOff>2286000</xdr:colOff>
      <xdr:row>0</xdr:row>
      <xdr:rowOff>127000</xdr:rowOff>
    </xdr:from>
    <xdr:ext cx="1828462" cy="704850"/>
    <xdr:pic>
      <xdr:nvPicPr>
        <xdr:cNvPr id="2" name="Picture 1" descr="PIAS.png">
          <a:extLst>
            <a:ext uri="{FF2B5EF4-FFF2-40B4-BE49-F238E27FC236}">
              <a16:creationId xmlns:a16="http://schemas.microsoft.com/office/drawing/2014/main" id="{48E57C92-A037-4B21-996B-BE1FA2D84D0A}"/>
            </a:ext>
          </a:extLst>
        </xdr:cNvPr>
        <xdr:cNvPicPr>
          <a:picLocks noChangeAspect="1"/>
        </xdr:cNvPicPr>
      </xdr:nvPicPr>
      <xdr:blipFill>
        <a:blip xmlns:r="http://schemas.openxmlformats.org/officeDocument/2006/relationships" r:embed="rId1" cstate="print"/>
        <a:stretch>
          <a:fillRect/>
        </a:stretch>
      </xdr:blipFill>
      <xdr:spPr>
        <a:xfrm>
          <a:off x="54743350" y="127000"/>
          <a:ext cx="1828462" cy="704850"/>
        </a:xfrm>
        <a:prstGeom prst="rect">
          <a:avLst/>
        </a:prstGeom>
      </xdr:spPr>
    </xdr:pic>
    <xdr:clientData/>
  </xdr:oneCellAnchor>
  <xdr:oneCellAnchor>
    <xdr:from>
      <xdr:col>0</xdr:col>
      <xdr:colOff>2286000</xdr:colOff>
      <xdr:row>0</xdr:row>
      <xdr:rowOff>127000</xdr:rowOff>
    </xdr:from>
    <xdr:ext cx="1828462" cy="704850"/>
    <xdr:pic>
      <xdr:nvPicPr>
        <xdr:cNvPr id="3" name="Picture 2" descr="PIAS.png">
          <a:extLst>
            <a:ext uri="{FF2B5EF4-FFF2-40B4-BE49-F238E27FC236}">
              <a16:creationId xmlns:a16="http://schemas.microsoft.com/office/drawing/2014/main" id="{5E5B5DFD-7DC9-4F38-ABED-594086F5DD4B}"/>
            </a:ext>
          </a:extLst>
        </xdr:cNvPr>
        <xdr:cNvPicPr>
          <a:picLocks noChangeAspect="1"/>
        </xdr:cNvPicPr>
      </xdr:nvPicPr>
      <xdr:blipFill>
        <a:blip xmlns:r="http://schemas.openxmlformats.org/officeDocument/2006/relationships" r:embed="rId1" cstate="print"/>
        <a:stretch>
          <a:fillRect/>
        </a:stretch>
      </xdr:blipFill>
      <xdr:spPr>
        <a:xfrm>
          <a:off x="23916409" y="123825"/>
          <a:ext cx="1828462" cy="704850"/>
        </a:xfrm>
        <a:prstGeom prst="rect">
          <a:avLst/>
        </a:prstGeom>
      </xdr:spPr>
    </xdr:pic>
    <xdr:clientData/>
  </xdr:oneCellAnchor>
  <xdr:oneCellAnchor>
    <xdr:from>
      <xdr:col>9</xdr:col>
      <xdr:colOff>2286000</xdr:colOff>
      <xdr:row>0</xdr:row>
      <xdr:rowOff>127000</xdr:rowOff>
    </xdr:from>
    <xdr:ext cx="1828462" cy="704850"/>
    <xdr:pic>
      <xdr:nvPicPr>
        <xdr:cNvPr id="4" name="Picture 3" descr="PIAS.png">
          <a:extLst>
            <a:ext uri="{FF2B5EF4-FFF2-40B4-BE49-F238E27FC236}">
              <a16:creationId xmlns:a16="http://schemas.microsoft.com/office/drawing/2014/main" id="{D84497BA-E0A5-4190-866E-3B2C1C011D46}"/>
            </a:ext>
          </a:extLst>
        </xdr:cNvPr>
        <xdr:cNvPicPr>
          <a:picLocks noChangeAspect="1"/>
        </xdr:cNvPicPr>
      </xdr:nvPicPr>
      <xdr:blipFill>
        <a:blip xmlns:r="http://schemas.openxmlformats.org/officeDocument/2006/relationships" r:embed="rId1" cstate="print"/>
        <a:stretch>
          <a:fillRect/>
        </a:stretch>
      </xdr:blipFill>
      <xdr:spPr>
        <a:xfrm>
          <a:off x="2286000" y="123825"/>
          <a:ext cx="1828462" cy="7048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10</xdr:col>
      <xdr:colOff>660401</xdr:colOff>
      <xdr:row>0</xdr:row>
      <xdr:rowOff>116225</xdr:rowOff>
    </xdr:from>
    <xdr:ext cx="1828462" cy="704850"/>
    <xdr:pic>
      <xdr:nvPicPr>
        <xdr:cNvPr id="2" name="Picture 1" descr="PIAS.png">
          <a:extLst>
            <a:ext uri="{FF2B5EF4-FFF2-40B4-BE49-F238E27FC236}">
              <a16:creationId xmlns:a16="http://schemas.microsoft.com/office/drawing/2014/main" id="{43248805-46C5-48D9-A06E-96E5734111EA}"/>
            </a:ext>
          </a:extLst>
        </xdr:cNvPr>
        <xdr:cNvPicPr>
          <a:picLocks noChangeAspect="1"/>
        </xdr:cNvPicPr>
      </xdr:nvPicPr>
      <xdr:blipFill>
        <a:blip xmlns:r="http://schemas.openxmlformats.org/officeDocument/2006/relationships" r:embed="rId1" cstate="print"/>
        <a:stretch>
          <a:fillRect/>
        </a:stretch>
      </xdr:blipFill>
      <xdr:spPr>
        <a:xfrm>
          <a:off x="34078334" y="116225"/>
          <a:ext cx="1828462" cy="7048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11</xdr:col>
      <xdr:colOff>609600</xdr:colOff>
      <xdr:row>0</xdr:row>
      <xdr:rowOff>116225</xdr:rowOff>
    </xdr:from>
    <xdr:ext cx="1828462" cy="704850"/>
    <xdr:pic>
      <xdr:nvPicPr>
        <xdr:cNvPr id="6" name="Picture 5" descr="PIAS.png">
          <a:extLst>
            <a:ext uri="{FF2B5EF4-FFF2-40B4-BE49-F238E27FC236}">
              <a16:creationId xmlns:a16="http://schemas.microsoft.com/office/drawing/2014/main" id="{DB88E038-A10A-4153-8629-D18C5C4CD3C4}"/>
            </a:ext>
          </a:extLst>
        </xdr:cNvPr>
        <xdr:cNvPicPr>
          <a:picLocks noChangeAspect="1"/>
        </xdr:cNvPicPr>
      </xdr:nvPicPr>
      <xdr:blipFill>
        <a:blip xmlns:r="http://schemas.openxmlformats.org/officeDocument/2006/relationships" r:embed="rId1" cstate="print"/>
        <a:stretch>
          <a:fillRect/>
        </a:stretch>
      </xdr:blipFill>
      <xdr:spPr>
        <a:xfrm>
          <a:off x="34027533" y="116225"/>
          <a:ext cx="1828462" cy="70485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9</xdr:col>
      <xdr:colOff>1743364</xdr:colOff>
      <xdr:row>1</xdr:row>
      <xdr:rowOff>23091</xdr:rowOff>
    </xdr:from>
    <xdr:ext cx="1828462" cy="704850"/>
    <xdr:pic>
      <xdr:nvPicPr>
        <xdr:cNvPr id="2" name="Picture 1" descr="PIAS.png">
          <a:extLst>
            <a:ext uri="{FF2B5EF4-FFF2-40B4-BE49-F238E27FC236}">
              <a16:creationId xmlns:a16="http://schemas.microsoft.com/office/drawing/2014/main" id="{E7F45360-CA94-44C1-9C95-AEEACB71BF29}"/>
            </a:ext>
          </a:extLst>
        </xdr:cNvPr>
        <xdr:cNvPicPr>
          <a:picLocks noChangeAspect="1"/>
        </xdr:cNvPicPr>
      </xdr:nvPicPr>
      <xdr:blipFill>
        <a:blip xmlns:r="http://schemas.openxmlformats.org/officeDocument/2006/relationships" r:embed="rId1" cstate="print"/>
        <a:stretch>
          <a:fillRect/>
        </a:stretch>
      </xdr:blipFill>
      <xdr:spPr>
        <a:xfrm>
          <a:off x="66151414" y="207241"/>
          <a:ext cx="1828462" cy="7048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
  <sheetViews>
    <sheetView showGridLines="0" topLeftCell="A12" zoomScale="60" zoomScaleNormal="60" workbookViewId="0">
      <selection activeCell="V28" sqref="V28"/>
    </sheetView>
  </sheetViews>
  <sheetFormatPr defaultRowHeight="14.4" x14ac:dyDescent="0.3"/>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ht="17.399999999999999" x14ac:dyDescent="0.3">
      <c r="A3" s="303" t="s">
        <v>0</v>
      </c>
      <c r="B3" s="303"/>
      <c r="C3" s="303"/>
      <c r="D3" s="303"/>
      <c r="E3" s="303"/>
      <c r="F3" s="303"/>
      <c r="G3" s="303"/>
      <c r="H3" s="303"/>
      <c r="I3" s="303"/>
      <c r="J3" s="303"/>
    </row>
    <row r="4" spans="1:10" ht="17.399999999999999" x14ac:dyDescent="0.3">
      <c r="A4" s="303" t="s">
        <v>1</v>
      </c>
      <c r="B4" s="303"/>
      <c r="C4" s="303"/>
      <c r="D4" s="303"/>
      <c r="E4" s="303"/>
      <c r="F4" s="303"/>
      <c r="G4" s="303"/>
      <c r="H4" s="303"/>
      <c r="I4" s="303"/>
      <c r="J4" s="303"/>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row r="45" spans="1:10" x14ac:dyDescent="0.3">
      <c r="A45" s="1"/>
      <c r="B45" s="1"/>
      <c r="C45" s="1"/>
      <c r="D45" s="1"/>
      <c r="E45" s="1"/>
      <c r="F45" s="1"/>
      <c r="G45" s="1"/>
      <c r="H45" s="1"/>
      <c r="I45" s="1"/>
      <c r="J45" s="1"/>
    </row>
    <row r="46" spans="1:10" x14ac:dyDescent="0.3">
      <c r="A46" s="1"/>
      <c r="B46" s="1"/>
      <c r="C46" s="1"/>
      <c r="D46" s="1"/>
      <c r="E46" s="1"/>
      <c r="F46" s="1"/>
      <c r="G46" s="1"/>
      <c r="H46" s="1"/>
      <c r="I46" s="1"/>
      <c r="J46" s="1"/>
    </row>
    <row r="47" spans="1:10" x14ac:dyDescent="0.3">
      <c r="A47" s="1"/>
      <c r="B47" s="1"/>
      <c r="C47" s="1"/>
      <c r="D47" s="1"/>
      <c r="E47" s="1"/>
      <c r="F47" s="1"/>
      <c r="G47" s="1"/>
      <c r="H47" s="1"/>
      <c r="I47" s="1"/>
      <c r="J47" s="1"/>
    </row>
    <row r="48" spans="1:10" x14ac:dyDescent="0.3">
      <c r="A48" s="1"/>
      <c r="B48" s="1"/>
      <c r="C48" s="1"/>
      <c r="D48" s="1"/>
      <c r="E48" s="1"/>
      <c r="F48" s="1"/>
      <c r="G48" s="1"/>
      <c r="H48" s="1"/>
      <c r="I48" s="1"/>
      <c r="J48" s="1"/>
    </row>
  </sheetData>
  <sheetProtection algorithmName="SHA-512" hashValue="H6pqNB9SenVizmwYWPejrqYxA1ip8SO/La/sZ1c/EKWi8WOnKZuOUvCNwz+LrxRGJtUsKO/vYiGiu+Fo3Yml3g==" saltValue="yay2micvQqIuRSnKQsTXpw==" spinCount="100000" sheet="1" objects="1" scenarios="1"/>
  <mergeCells count="2">
    <mergeCell ref="A3:J3"/>
    <mergeCell ref="A4:J4"/>
  </mergeCells>
  <printOptions horizontalCentered="1" verticalCentered="1"/>
  <pageMargins left="0" right="0" top="0" bottom="0" header="0" footer="0"/>
  <pageSetup paperSize="9" scale="90" orientation="landscape"/>
  <headerFooter>
    <oddFooter>&amp;L_x000D_&amp;1#&amp;"Calibri"&amp;8&amp;K0000FF Internal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0000"/>
    <pageSetUpPr fitToPage="1"/>
  </sheetPr>
  <dimension ref="A1:M54"/>
  <sheetViews>
    <sheetView showGridLines="0" zoomScale="55" zoomScaleNormal="55" workbookViewId="0">
      <pane xSplit="1" ySplit="7" topLeftCell="B8" activePane="bottomRight" state="frozen"/>
      <selection pane="topRight" activeCell="B1" sqref="B1"/>
      <selection pane="bottomLeft" activeCell="A8" sqref="A8"/>
      <selection pane="bottomRight" activeCell="F15" sqref="F15"/>
    </sheetView>
  </sheetViews>
  <sheetFormatPr defaultRowHeight="14.4" x14ac:dyDescent="0.3"/>
  <cols>
    <col min="1" max="1" width="46.77734375" customWidth="1"/>
    <col min="2" max="2" width="50.5546875" customWidth="1"/>
    <col min="3" max="4" width="43.77734375" customWidth="1"/>
    <col min="5" max="5" width="32.77734375" customWidth="1"/>
    <col min="6" max="6" width="36.77734375" bestFit="1" customWidth="1"/>
    <col min="7" max="7" width="36.77734375" customWidth="1"/>
    <col min="8" max="8" width="27" bestFit="1" customWidth="1"/>
    <col min="9" max="9" width="37.77734375" bestFit="1" customWidth="1"/>
    <col min="10" max="10" width="50.21875" bestFit="1" customWidth="1"/>
    <col min="11" max="12" width="36.21875" bestFit="1" customWidth="1"/>
  </cols>
  <sheetData>
    <row r="1" spans="1:13" x14ac:dyDescent="0.3">
      <c r="A1" s="396" t="s">
        <v>15</v>
      </c>
      <c r="B1" s="396"/>
      <c r="C1" s="396"/>
      <c r="D1" s="396"/>
      <c r="E1" s="396"/>
      <c r="F1" s="396"/>
      <c r="G1" s="396"/>
      <c r="H1" s="396"/>
      <c r="I1" s="396"/>
      <c r="J1" s="396"/>
      <c r="K1" s="396"/>
      <c r="L1" s="396"/>
      <c r="M1" s="396"/>
    </row>
    <row r="2" spans="1:13" x14ac:dyDescent="0.3">
      <c r="A2" s="396"/>
      <c r="B2" s="396"/>
      <c r="C2" s="396"/>
      <c r="D2" s="396"/>
      <c r="E2" s="396"/>
      <c r="F2" s="396"/>
      <c r="G2" s="396"/>
      <c r="H2" s="396"/>
      <c r="I2" s="396"/>
      <c r="J2" s="396"/>
      <c r="K2" s="396"/>
      <c r="L2" s="396"/>
      <c r="M2" s="396"/>
    </row>
    <row r="3" spans="1:13" ht="15.6" x14ac:dyDescent="0.3">
      <c r="A3" s="11" t="s">
        <v>90</v>
      </c>
      <c r="B3" s="12"/>
      <c r="C3" s="12"/>
      <c r="D3" s="12"/>
      <c r="E3" s="12"/>
      <c r="F3" s="11"/>
      <c r="G3" s="11"/>
      <c r="H3" s="12"/>
      <c r="I3" s="11"/>
      <c r="J3" s="11"/>
      <c r="K3" s="11"/>
      <c r="L3" s="11"/>
      <c r="M3" s="11"/>
    </row>
    <row r="4" spans="1:13" ht="15.6" x14ac:dyDescent="0.3">
      <c r="A4" s="111" t="s">
        <v>272</v>
      </c>
      <c r="B4" s="12"/>
      <c r="C4" s="12"/>
      <c r="D4" s="12"/>
      <c r="E4" s="12"/>
      <c r="F4" s="11"/>
      <c r="G4" s="11"/>
      <c r="H4" s="12"/>
      <c r="I4" s="11"/>
      <c r="J4" s="11"/>
      <c r="K4" s="11"/>
      <c r="L4" s="11"/>
      <c r="M4" s="11"/>
    </row>
    <row r="5" spans="1:13" ht="18" customHeight="1" thickBot="1" x14ac:dyDescent="0.35">
      <c r="A5" s="12" t="s">
        <v>23</v>
      </c>
      <c r="B5" s="12"/>
      <c r="C5" s="12"/>
      <c r="D5" s="12"/>
      <c r="E5" s="12"/>
      <c r="F5" s="11"/>
      <c r="G5" s="11"/>
      <c r="H5" s="12"/>
      <c r="I5" s="11"/>
      <c r="J5" s="11"/>
      <c r="K5" s="11"/>
      <c r="L5" s="11"/>
      <c r="M5" s="11"/>
    </row>
    <row r="6" spans="1:13" ht="15.6" x14ac:dyDescent="0.3">
      <c r="A6" s="406"/>
      <c r="B6" s="235" t="s">
        <v>147</v>
      </c>
      <c r="C6" s="235" t="s">
        <v>147</v>
      </c>
      <c r="D6" s="235" t="s">
        <v>240</v>
      </c>
      <c r="E6" s="235" t="s">
        <v>240</v>
      </c>
      <c r="F6" s="236" t="s">
        <v>60</v>
      </c>
      <c r="G6" s="236" t="s">
        <v>100</v>
      </c>
      <c r="H6" s="236" t="s">
        <v>100</v>
      </c>
      <c r="I6" s="236" t="s">
        <v>28</v>
      </c>
      <c r="J6" s="236" t="s">
        <v>28</v>
      </c>
      <c r="K6" s="236" t="s">
        <v>148</v>
      </c>
      <c r="L6" s="237" t="s">
        <v>148</v>
      </c>
      <c r="M6" s="13"/>
    </row>
    <row r="7" spans="1:13" s="165" customFormat="1" ht="47.4" thickBot="1" x14ac:dyDescent="0.35">
      <c r="A7" s="407"/>
      <c r="B7" s="238" t="s">
        <v>334</v>
      </c>
      <c r="C7" s="238" t="s">
        <v>210</v>
      </c>
      <c r="D7" s="238" t="s">
        <v>262</v>
      </c>
      <c r="E7" s="238" t="s">
        <v>343</v>
      </c>
      <c r="F7" s="239" t="s">
        <v>388</v>
      </c>
      <c r="G7" s="239" t="s">
        <v>294</v>
      </c>
      <c r="H7" s="239" t="s">
        <v>101</v>
      </c>
      <c r="I7" s="239" t="s">
        <v>64</v>
      </c>
      <c r="J7" s="239" t="s">
        <v>335</v>
      </c>
      <c r="K7" s="239" t="s">
        <v>433</v>
      </c>
      <c r="L7" s="240" t="s">
        <v>211</v>
      </c>
      <c r="M7" s="14"/>
    </row>
    <row r="8" spans="1:13" ht="15.6" x14ac:dyDescent="0.3">
      <c r="A8" s="247" t="s">
        <v>19</v>
      </c>
      <c r="B8" s="16">
        <v>4.2500000000000003E-2</v>
      </c>
      <c r="C8" s="16">
        <v>4.2500000000000003E-2</v>
      </c>
      <c r="D8" s="167">
        <v>4.2500000000000003E-2</v>
      </c>
      <c r="E8" s="167">
        <v>4.2500000000000003E-2</v>
      </c>
      <c r="F8" s="16">
        <v>4.2500000000000003E-2</v>
      </c>
      <c r="G8" s="16">
        <v>4.2500000000000003E-2</v>
      </c>
      <c r="H8" s="16">
        <v>4.2500000000000003E-2</v>
      </c>
      <c r="I8" s="16">
        <v>4.2500000000000003E-2</v>
      </c>
      <c r="J8" s="16">
        <v>4.2500000000000003E-2</v>
      </c>
      <c r="K8" s="16">
        <v>4.2500000000000003E-2</v>
      </c>
      <c r="L8" s="248">
        <v>4.2500000000000003E-2</v>
      </c>
      <c r="M8" s="17"/>
    </row>
    <row r="9" spans="1:13" ht="15.6" x14ac:dyDescent="0.3">
      <c r="A9" s="249" t="s">
        <v>16</v>
      </c>
      <c r="B9" s="49" t="s">
        <v>91</v>
      </c>
      <c r="C9" s="49" t="s">
        <v>91</v>
      </c>
      <c r="D9" s="49" t="s">
        <v>253</v>
      </c>
      <c r="E9" s="143" t="s">
        <v>253</v>
      </c>
      <c r="F9" s="49" t="s">
        <v>91</v>
      </c>
      <c r="G9" s="49" t="s">
        <v>307</v>
      </c>
      <c r="H9" s="49" t="s">
        <v>91</v>
      </c>
      <c r="I9" s="49" t="s">
        <v>92</v>
      </c>
      <c r="J9" s="49" t="s">
        <v>92</v>
      </c>
      <c r="K9" s="49" t="s">
        <v>92</v>
      </c>
      <c r="L9" s="250" t="s">
        <v>92</v>
      </c>
      <c r="M9" s="19"/>
    </row>
    <row r="10" spans="1:13" ht="15.6" x14ac:dyDescent="0.3">
      <c r="A10" s="251" t="s">
        <v>29</v>
      </c>
      <c r="B10" s="35">
        <v>498657.15</v>
      </c>
      <c r="C10" s="35">
        <v>500000</v>
      </c>
      <c r="D10" s="35">
        <v>498767</v>
      </c>
      <c r="E10" s="35">
        <v>498798</v>
      </c>
      <c r="F10" s="35">
        <v>500000</v>
      </c>
      <c r="G10" s="35">
        <v>500000</v>
      </c>
      <c r="H10" s="35">
        <v>500000</v>
      </c>
      <c r="I10" s="35">
        <v>500000</v>
      </c>
      <c r="J10" s="35">
        <v>500000</v>
      </c>
      <c r="K10" s="35">
        <v>500000</v>
      </c>
      <c r="L10" s="252">
        <v>500000</v>
      </c>
      <c r="M10" s="19"/>
    </row>
    <row r="11" spans="1:13" ht="15.6" x14ac:dyDescent="0.3">
      <c r="A11" s="251" t="s">
        <v>24</v>
      </c>
      <c r="B11" s="35">
        <v>314000</v>
      </c>
      <c r="C11" s="35">
        <v>500000</v>
      </c>
      <c r="D11" s="35">
        <v>351000</v>
      </c>
      <c r="E11" s="35">
        <v>286000</v>
      </c>
      <c r="F11" s="37" t="s">
        <v>88</v>
      </c>
      <c r="G11" s="28">
        <v>505000</v>
      </c>
      <c r="H11" s="28" t="s">
        <v>88</v>
      </c>
      <c r="I11" s="35">
        <v>500000</v>
      </c>
      <c r="J11" s="35">
        <v>500000</v>
      </c>
      <c r="K11" s="37" t="s">
        <v>88</v>
      </c>
      <c r="L11" s="253" t="s">
        <v>88</v>
      </c>
      <c r="M11" s="19"/>
    </row>
    <row r="12" spans="1:13" ht="15.6" x14ac:dyDescent="0.3">
      <c r="A12" s="251" t="s">
        <v>17</v>
      </c>
      <c r="B12" s="21" t="s">
        <v>270</v>
      </c>
      <c r="C12" s="21" t="s">
        <v>225</v>
      </c>
      <c r="D12" s="21" t="s">
        <v>254</v>
      </c>
      <c r="E12" s="145" t="s">
        <v>254</v>
      </c>
      <c r="F12" s="21" t="s">
        <v>399</v>
      </c>
      <c r="G12" s="77" t="s">
        <v>308</v>
      </c>
      <c r="H12" s="21" t="s">
        <v>310</v>
      </c>
      <c r="I12" s="21" t="s">
        <v>95</v>
      </c>
      <c r="J12" s="21" t="s">
        <v>239</v>
      </c>
      <c r="K12" s="21" t="s">
        <v>167</v>
      </c>
      <c r="L12" s="254" t="s">
        <v>228</v>
      </c>
      <c r="M12" s="19"/>
    </row>
    <row r="13" spans="1:13" ht="62.4" x14ac:dyDescent="0.3">
      <c r="A13" s="255" t="s">
        <v>18</v>
      </c>
      <c r="B13" s="53">
        <v>6908</v>
      </c>
      <c r="C13" s="53" t="s">
        <v>234</v>
      </c>
      <c r="D13" s="53">
        <v>2808</v>
      </c>
      <c r="E13" s="53">
        <v>5148</v>
      </c>
      <c r="F13" s="24">
        <v>7250</v>
      </c>
      <c r="G13" s="24">
        <v>7000</v>
      </c>
      <c r="H13" s="53">
        <v>2500</v>
      </c>
      <c r="I13" s="53">
        <v>6204</v>
      </c>
      <c r="J13" s="91" t="s">
        <v>339</v>
      </c>
      <c r="K13" s="24">
        <v>6540</v>
      </c>
      <c r="L13" s="256">
        <v>4320</v>
      </c>
      <c r="M13" s="25"/>
    </row>
    <row r="14" spans="1:13" ht="88.05" customHeight="1" x14ac:dyDescent="0.3">
      <c r="A14" s="255" t="s">
        <v>26</v>
      </c>
      <c r="B14" s="161" t="s">
        <v>291</v>
      </c>
      <c r="C14" s="139" t="s">
        <v>235</v>
      </c>
      <c r="D14" s="146">
        <v>18603</v>
      </c>
      <c r="E14" s="146">
        <v>17160</v>
      </c>
      <c r="F14" s="164" t="s">
        <v>443</v>
      </c>
      <c r="G14" s="164" t="s">
        <v>304</v>
      </c>
      <c r="H14" s="35">
        <v>17000</v>
      </c>
      <c r="I14" s="35">
        <v>16332</v>
      </c>
      <c r="J14" s="91" t="s">
        <v>340</v>
      </c>
      <c r="K14" s="24">
        <v>18750</v>
      </c>
      <c r="L14" s="256">
        <v>18750</v>
      </c>
      <c r="M14" s="25"/>
    </row>
    <row r="15" spans="1:13" ht="70.349999999999994" customHeight="1" x14ac:dyDescent="0.3">
      <c r="A15" s="257" t="s">
        <v>31</v>
      </c>
      <c r="B15" s="79">
        <f t="shared" ref="B15:I15" si="0">B13/B10</f>
        <v>1.3853205554156799E-2</v>
      </c>
      <c r="C15" s="50" t="s">
        <v>236</v>
      </c>
      <c r="D15" s="44">
        <f t="shared" ref="D15:E15" si="1">D13/D10</f>
        <v>5.6298832921985618E-3</v>
      </c>
      <c r="E15" s="44">
        <f t="shared" si="1"/>
        <v>1.0320811230197395E-2</v>
      </c>
      <c r="F15" s="207">
        <f t="shared" si="0"/>
        <v>1.4500000000000001E-2</v>
      </c>
      <c r="G15" s="44">
        <f>G13/G10</f>
        <v>1.4E-2</v>
      </c>
      <c r="H15" s="50">
        <f t="shared" si="0"/>
        <v>5.0000000000000001E-3</v>
      </c>
      <c r="I15" s="44">
        <f t="shared" si="0"/>
        <v>1.2408000000000001E-2</v>
      </c>
      <c r="J15" s="92" t="s">
        <v>347</v>
      </c>
      <c r="K15" s="44">
        <f>K13/K10</f>
        <v>1.308E-2</v>
      </c>
      <c r="L15" s="258">
        <f>L13/L10</f>
        <v>8.6400000000000001E-3</v>
      </c>
      <c r="M15" s="25"/>
    </row>
    <row r="16" spans="1:13" ht="79.95" customHeight="1" x14ac:dyDescent="0.3">
      <c r="A16" s="257" t="s">
        <v>59</v>
      </c>
      <c r="B16" s="50" t="s">
        <v>332</v>
      </c>
      <c r="C16" s="50" t="s">
        <v>442</v>
      </c>
      <c r="D16" s="50">
        <f>D14/D10</f>
        <v>3.7297976810815474E-2</v>
      </c>
      <c r="E16" s="50">
        <f>E14/E10</f>
        <v>3.4402704100657981E-2</v>
      </c>
      <c r="F16" s="50" t="s">
        <v>406</v>
      </c>
      <c r="G16" s="50" t="s">
        <v>305</v>
      </c>
      <c r="H16" s="50">
        <f>H14/H10</f>
        <v>3.4000000000000002E-2</v>
      </c>
      <c r="I16" s="50">
        <f t="shared" ref="I16:L16" si="2">I14/I10</f>
        <v>3.2663999999999999E-2</v>
      </c>
      <c r="J16" s="50" t="s">
        <v>342</v>
      </c>
      <c r="K16" s="59">
        <f t="shared" ref="K16" si="3">K14/K10</f>
        <v>3.7499999999999999E-2</v>
      </c>
      <c r="L16" s="259">
        <f t="shared" si="2"/>
        <v>3.7499999999999999E-2</v>
      </c>
      <c r="M16" s="25"/>
    </row>
    <row r="17" spans="1:13" ht="24.6" customHeight="1" x14ac:dyDescent="0.3">
      <c r="A17" s="255" t="s">
        <v>105</v>
      </c>
      <c r="B17" s="154">
        <v>398925</v>
      </c>
      <c r="C17" s="35">
        <v>400000</v>
      </c>
      <c r="D17" s="35">
        <v>399013</v>
      </c>
      <c r="E17" s="35">
        <v>399038</v>
      </c>
      <c r="F17" s="24">
        <v>400000</v>
      </c>
      <c r="G17" s="35">
        <v>400000</v>
      </c>
      <c r="H17" s="35">
        <v>400000</v>
      </c>
      <c r="I17" s="35">
        <v>400000</v>
      </c>
      <c r="J17" s="35">
        <v>400000</v>
      </c>
      <c r="K17" s="24">
        <v>400000</v>
      </c>
      <c r="L17" s="256">
        <v>400000</v>
      </c>
      <c r="M17" s="25"/>
    </row>
    <row r="18" spans="1:13" ht="49.35" customHeight="1" x14ac:dyDescent="0.3">
      <c r="A18" s="257" t="s">
        <v>107</v>
      </c>
      <c r="B18" s="155">
        <f>B17/B10</f>
        <v>0.7999985561221773</v>
      </c>
      <c r="C18" s="51">
        <f t="shared" ref="C18:I18" si="4">C17/C10</f>
        <v>0.8</v>
      </c>
      <c r="D18" s="43">
        <f t="shared" si="4"/>
        <v>0.79999879703348453</v>
      </c>
      <c r="E18" s="43">
        <f t="shared" si="4"/>
        <v>0.79999919807216546</v>
      </c>
      <c r="F18" s="43">
        <f t="shared" ref="F18:G18" si="5">F17/F10</f>
        <v>0.8</v>
      </c>
      <c r="G18" s="51">
        <f t="shared" si="5"/>
        <v>0.8</v>
      </c>
      <c r="H18" s="51">
        <f t="shared" si="4"/>
        <v>0.8</v>
      </c>
      <c r="I18" s="43">
        <f t="shared" si="4"/>
        <v>0.8</v>
      </c>
      <c r="J18" s="43">
        <f t="shared" ref="J18" si="6">J17/J10</f>
        <v>0.8</v>
      </c>
      <c r="K18" s="43">
        <f t="shared" ref="K18:L18" si="7">K17/K10</f>
        <v>0.8</v>
      </c>
      <c r="L18" s="260">
        <f t="shared" si="7"/>
        <v>0.8</v>
      </c>
      <c r="M18" s="25"/>
    </row>
    <row r="19" spans="1:13" ht="63" customHeight="1" x14ac:dyDescent="0.3">
      <c r="A19" s="261" t="s">
        <v>25</v>
      </c>
      <c r="B19" s="156" t="s">
        <v>269</v>
      </c>
      <c r="C19" s="78" t="s">
        <v>223</v>
      </c>
      <c r="D19" s="41" t="s">
        <v>77</v>
      </c>
      <c r="E19" s="41" t="s">
        <v>77</v>
      </c>
      <c r="F19" s="156" t="s">
        <v>269</v>
      </c>
      <c r="G19" s="78" t="s">
        <v>306</v>
      </c>
      <c r="H19" s="78" t="s">
        <v>104</v>
      </c>
      <c r="I19" s="41" t="s">
        <v>83</v>
      </c>
      <c r="J19" s="41" t="s">
        <v>125</v>
      </c>
      <c r="K19" s="41" t="s">
        <v>89</v>
      </c>
      <c r="L19" s="262" t="s">
        <v>230</v>
      </c>
      <c r="M19" s="30"/>
    </row>
    <row r="20" spans="1:13" ht="15.6" x14ac:dyDescent="0.3">
      <c r="A20" s="263" t="s">
        <v>30</v>
      </c>
      <c r="B20" s="157">
        <v>503643</v>
      </c>
      <c r="C20" s="28">
        <v>505000</v>
      </c>
      <c r="D20" s="28">
        <v>503755</v>
      </c>
      <c r="E20" s="28">
        <v>503786</v>
      </c>
      <c r="F20" s="28">
        <v>525000</v>
      </c>
      <c r="G20" s="28">
        <v>505000</v>
      </c>
      <c r="H20" s="28">
        <v>505000</v>
      </c>
      <c r="I20" s="28">
        <v>525000</v>
      </c>
      <c r="J20" s="28">
        <v>525000</v>
      </c>
      <c r="K20" s="28">
        <v>525000</v>
      </c>
      <c r="L20" s="264">
        <v>525000</v>
      </c>
      <c r="M20" s="25"/>
    </row>
    <row r="21" spans="1:13" ht="46.8" customHeight="1" x14ac:dyDescent="0.3">
      <c r="A21" s="265" t="s">
        <v>32</v>
      </c>
      <c r="B21" s="158">
        <f t="shared" ref="B21:L21" si="8">B20/B10</f>
        <v>1.0099985531140985</v>
      </c>
      <c r="C21" s="33">
        <f t="shared" si="8"/>
        <v>1.01</v>
      </c>
      <c r="D21" s="33">
        <f t="shared" ref="D21:F21" si="9">D20/D10</f>
        <v>1.0100006616315835</v>
      </c>
      <c r="E21" s="33">
        <f t="shared" si="9"/>
        <v>1.0100000400963918</v>
      </c>
      <c r="F21" s="40">
        <f t="shared" si="9"/>
        <v>1.05</v>
      </c>
      <c r="G21" s="33">
        <f t="shared" si="8"/>
        <v>1.01</v>
      </c>
      <c r="H21" s="33">
        <f t="shared" si="8"/>
        <v>1.01</v>
      </c>
      <c r="I21" s="40">
        <f t="shared" si="8"/>
        <v>1.05</v>
      </c>
      <c r="J21" s="40">
        <f t="shared" ref="J21" si="10">J20/J10</f>
        <v>1.05</v>
      </c>
      <c r="K21" s="40">
        <f t="shared" ref="K21" si="11">K20/K10</f>
        <v>1.05</v>
      </c>
      <c r="L21" s="266">
        <f t="shared" si="8"/>
        <v>1.05</v>
      </c>
      <c r="M21" s="25"/>
    </row>
    <row r="22" spans="1:13" ht="15.6" x14ac:dyDescent="0.3">
      <c r="A22" s="267" t="s">
        <v>96</v>
      </c>
      <c r="B22" s="60"/>
      <c r="C22" s="60"/>
      <c r="D22" s="60"/>
      <c r="E22" s="60"/>
      <c r="F22" s="61"/>
      <c r="G22" s="60"/>
      <c r="H22" s="60"/>
      <c r="I22" s="60"/>
      <c r="J22" s="60"/>
      <c r="K22" s="60"/>
      <c r="L22" s="268"/>
      <c r="M22" s="25"/>
    </row>
    <row r="23" spans="1:13" ht="15.6" x14ac:dyDescent="0.3">
      <c r="A23" s="408" t="s">
        <v>38</v>
      </c>
      <c r="B23" s="395"/>
      <c r="C23" s="395"/>
      <c r="D23" s="395"/>
      <c r="E23" s="395"/>
      <c r="F23" s="395"/>
      <c r="G23" s="395"/>
      <c r="H23" s="395"/>
      <c r="I23" s="395"/>
      <c r="J23" s="395"/>
      <c r="K23" s="395"/>
      <c r="L23" s="409"/>
      <c r="M23" s="25"/>
    </row>
    <row r="24" spans="1:13" ht="15.6" x14ac:dyDescent="0.3">
      <c r="A24" s="269" t="s">
        <v>39</v>
      </c>
      <c r="B24" s="47">
        <v>515112</v>
      </c>
      <c r="C24" s="47">
        <v>400000</v>
      </c>
      <c r="D24" s="47">
        <v>512633</v>
      </c>
      <c r="E24" s="47">
        <v>512664</v>
      </c>
      <c r="F24" s="29">
        <v>525000</v>
      </c>
      <c r="G24" s="46">
        <v>400000</v>
      </c>
      <c r="H24" s="47">
        <v>505000</v>
      </c>
      <c r="I24" s="47">
        <v>525000</v>
      </c>
      <c r="J24" s="47">
        <v>414984</v>
      </c>
      <c r="K24" s="46">
        <v>413820</v>
      </c>
      <c r="L24" s="270">
        <v>525000</v>
      </c>
      <c r="M24" s="25"/>
    </row>
    <row r="25" spans="1:13" ht="15.6" x14ac:dyDescent="0.3">
      <c r="A25" s="271" t="s">
        <v>40</v>
      </c>
      <c r="B25" s="28">
        <v>526630</v>
      </c>
      <c r="C25" s="28">
        <v>425200</v>
      </c>
      <c r="D25" s="28">
        <v>527596</v>
      </c>
      <c r="E25" s="28">
        <v>527627</v>
      </c>
      <c r="F25" s="29">
        <v>545000</v>
      </c>
      <c r="G25" s="29">
        <v>426500</v>
      </c>
      <c r="H25" s="28">
        <v>538350</v>
      </c>
      <c r="I25" s="29">
        <v>567471</v>
      </c>
      <c r="J25" s="29">
        <v>415310</v>
      </c>
      <c r="K25" s="29">
        <v>415000</v>
      </c>
      <c r="L25" s="272">
        <v>530000</v>
      </c>
      <c r="M25" s="25"/>
    </row>
    <row r="26" spans="1:13" ht="15.6" x14ac:dyDescent="0.3">
      <c r="A26" s="265" t="s">
        <v>33</v>
      </c>
      <c r="B26" s="33">
        <f t="shared" ref="B26:L26" si="12">B24/B10</f>
        <v>1.0329983235976863</v>
      </c>
      <c r="C26" s="33">
        <f t="shared" ref="C26:D26" si="13">C24/C10</f>
        <v>0.8</v>
      </c>
      <c r="D26" s="33">
        <f t="shared" si="13"/>
        <v>1.0278005561715189</v>
      </c>
      <c r="E26" s="33">
        <f>E24/E10</f>
        <v>1.0277988283834338</v>
      </c>
      <c r="F26" s="33">
        <f t="shared" ref="F26:G26" si="14">F24/F10</f>
        <v>1.05</v>
      </c>
      <c r="G26" s="33">
        <f t="shared" si="14"/>
        <v>0.8</v>
      </c>
      <c r="H26" s="33">
        <f t="shared" si="12"/>
        <v>1.01</v>
      </c>
      <c r="I26" s="33">
        <f t="shared" si="12"/>
        <v>1.05</v>
      </c>
      <c r="J26" s="33">
        <f t="shared" ref="J26" si="15">J24/J10</f>
        <v>0.82996800000000004</v>
      </c>
      <c r="K26" s="33">
        <f t="shared" ref="K26" si="16">K24/K10</f>
        <v>0.82764000000000004</v>
      </c>
      <c r="L26" s="273">
        <f t="shared" si="12"/>
        <v>1.05</v>
      </c>
      <c r="M26" s="25"/>
    </row>
    <row r="27" spans="1:13" ht="15.6" x14ac:dyDescent="0.3">
      <c r="A27" s="265" t="s">
        <v>37</v>
      </c>
      <c r="B27" s="33">
        <f t="shared" ref="B27:L27" si="17">B25/B10</f>
        <v>1.05609635798865</v>
      </c>
      <c r="C27" s="33">
        <f t="shared" ref="C27:D27" si="18">C25/C10</f>
        <v>0.85040000000000004</v>
      </c>
      <c r="D27" s="33">
        <f t="shared" si="18"/>
        <v>1.057800536122077</v>
      </c>
      <c r="E27" s="33">
        <f>E25/E10</f>
        <v>1.0577969438530226</v>
      </c>
      <c r="F27" s="33">
        <f t="shared" ref="F27:G27" si="19">F25/F10</f>
        <v>1.0900000000000001</v>
      </c>
      <c r="G27" s="33">
        <f t="shared" si="19"/>
        <v>0.85299999999999998</v>
      </c>
      <c r="H27" s="33">
        <f t="shared" si="17"/>
        <v>1.0767</v>
      </c>
      <c r="I27" s="33">
        <f t="shared" si="17"/>
        <v>1.1349419999999999</v>
      </c>
      <c r="J27" s="33">
        <f t="shared" ref="J27" si="20">J25/J10</f>
        <v>0.83062000000000002</v>
      </c>
      <c r="K27" s="33">
        <f t="shared" ref="K27" si="21">K25/K10</f>
        <v>0.83</v>
      </c>
      <c r="L27" s="273">
        <f t="shared" si="17"/>
        <v>1.06</v>
      </c>
      <c r="M27" s="25"/>
    </row>
    <row r="28" spans="1:13" ht="15.6" x14ac:dyDescent="0.3">
      <c r="A28" s="404" t="s">
        <v>75</v>
      </c>
      <c r="B28" s="393"/>
      <c r="C28" s="393"/>
      <c r="D28" s="393"/>
      <c r="E28" s="393"/>
      <c r="F28" s="393"/>
      <c r="G28" s="393"/>
      <c r="H28" s="393"/>
      <c r="I28" s="393"/>
      <c r="J28" s="393"/>
      <c r="K28" s="393"/>
      <c r="L28" s="405"/>
      <c r="M28" s="25"/>
    </row>
    <row r="29" spans="1:13" ht="15.6" x14ac:dyDescent="0.3">
      <c r="A29" s="269" t="s">
        <v>41</v>
      </c>
      <c r="B29" s="46">
        <f>18*B13</f>
        <v>124344</v>
      </c>
      <c r="C29" s="46">
        <v>120583</v>
      </c>
      <c r="D29" s="46">
        <v>44928</v>
      </c>
      <c r="E29" s="29">
        <v>82368</v>
      </c>
      <c r="F29" s="29">
        <v>130500</v>
      </c>
      <c r="G29" s="46">
        <v>133000</v>
      </c>
      <c r="H29" s="46">
        <v>45000</v>
      </c>
      <c r="I29" s="46">
        <f>16*I13</f>
        <v>99264</v>
      </c>
      <c r="J29" s="46">
        <v>110016</v>
      </c>
      <c r="K29" s="46">
        <v>111180</v>
      </c>
      <c r="L29" s="270">
        <v>69120</v>
      </c>
      <c r="M29" s="25"/>
    </row>
    <row r="30" spans="1:13" ht="15.6" x14ac:dyDescent="0.3">
      <c r="A30" s="251" t="s">
        <v>69</v>
      </c>
      <c r="B30" s="47">
        <v>515112</v>
      </c>
      <c r="C30" s="47">
        <v>400000</v>
      </c>
      <c r="D30" s="47">
        <v>512633</v>
      </c>
      <c r="E30" s="53">
        <v>512664</v>
      </c>
      <c r="F30" s="26">
        <v>518050</v>
      </c>
      <c r="G30" s="66">
        <v>400000</v>
      </c>
      <c r="H30" s="47">
        <v>400000</v>
      </c>
      <c r="I30" s="26">
        <v>400000</v>
      </c>
      <c r="J30" s="26">
        <v>400000</v>
      </c>
      <c r="K30" s="26">
        <v>400000</v>
      </c>
      <c r="L30" s="274">
        <v>400000</v>
      </c>
      <c r="M30" s="25"/>
    </row>
    <row r="31" spans="1:13" ht="15.6" x14ac:dyDescent="0.3">
      <c r="A31" s="261" t="s">
        <v>34</v>
      </c>
      <c r="B31" s="33">
        <f t="shared" ref="B31:L31" si="22">B29/B10</f>
        <v>0.24935769997482238</v>
      </c>
      <c r="C31" s="33">
        <f t="shared" ref="C31:D31" si="23">C29/C10</f>
        <v>0.24116599999999999</v>
      </c>
      <c r="D31" s="33">
        <f t="shared" si="23"/>
        <v>9.0078132675176989E-2</v>
      </c>
      <c r="E31" s="33">
        <f t="shared" ref="E31" si="24">E29/E10</f>
        <v>0.16513297968315832</v>
      </c>
      <c r="F31" s="33">
        <f t="shared" ref="F31" si="25">F29/F10</f>
        <v>0.26100000000000001</v>
      </c>
      <c r="G31" s="33">
        <f t="shared" ref="G31" si="26">G29/G10</f>
        <v>0.26600000000000001</v>
      </c>
      <c r="H31" s="33">
        <f t="shared" si="22"/>
        <v>0.09</v>
      </c>
      <c r="I31" s="33">
        <f t="shared" si="22"/>
        <v>0.19852800000000001</v>
      </c>
      <c r="J31" s="33">
        <f t="shared" ref="J31" si="27">J29/J10</f>
        <v>0.22003200000000001</v>
      </c>
      <c r="K31" s="33">
        <f t="shared" ref="K31" si="28">K29/K10</f>
        <v>0.22236</v>
      </c>
      <c r="L31" s="273">
        <f t="shared" si="22"/>
        <v>0.13824</v>
      </c>
      <c r="M31" s="25"/>
    </row>
    <row r="32" spans="1:13" ht="15.6" x14ac:dyDescent="0.3">
      <c r="A32" s="261" t="s">
        <v>70</v>
      </c>
      <c r="B32" s="33">
        <f t="shared" ref="B32:L32" si="29">(B30+B29)/B10</f>
        <v>1.2823560235725087</v>
      </c>
      <c r="C32" s="33">
        <f t="shared" ref="C32:D32" si="30">(C30+C29)/C10</f>
        <v>1.041166</v>
      </c>
      <c r="D32" s="33">
        <f t="shared" si="30"/>
        <v>1.1178786888466961</v>
      </c>
      <c r="E32" s="33">
        <f t="shared" ref="E32" si="31">(E30+E29)/E10</f>
        <v>1.192931808066592</v>
      </c>
      <c r="F32" s="33">
        <f t="shared" ref="F32" si="32">(F30+F29)/F10</f>
        <v>1.2970999999999999</v>
      </c>
      <c r="G32" s="33">
        <f t="shared" ref="G32" si="33">(G30+G29)/G10</f>
        <v>1.0660000000000001</v>
      </c>
      <c r="H32" s="33">
        <f t="shared" si="29"/>
        <v>0.89</v>
      </c>
      <c r="I32" s="33">
        <f t="shared" si="29"/>
        <v>0.99852799999999997</v>
      </c>
      <c r="J32" s="33">
        <f t="shared" ref="J32" si="34">(J30+J29)/J10</f>
        <v>1.020032</v>
      </c>
      <c r="K32" s="33">
        <f t="shared" ref="K32" si="35">(K30+K29)/K10</f>
        <v>1.0223599999999999</v>
      </c>
      <c r="L32" s="273">
        <f t="shared" si="29"/>
        <v>0.93823999999999996</v>
      </c>
      <c r="M32" s="70"/>
    </row>
    <row r="33" spans="1:13" ht="15.6" x14ac:dyDescent="0.3">
      <c r="A33" s="404" t="s">
        <v>76</v>
      </c>
      <c r="B33" s="393"/>
      <c r="C33" s="393"/>
      <c r="D33" s="393"/>
      <c r="E33" s="393"/>
      <c r="F33" s="393"/>
      <c r="G33" s="393"/>
      <c r="H33" s="393"/>
      <c r="I33" s="393"/>
      <c r="J33" s="393"/>
      <c r="K33" s="393"/>
      <c r="L33" s="405"/>
      <c r="M33" s="25"/>
    </row>
    <row r="34" spans="1:13" ht="31.2" x14ac:dyDescent="0.3">
      <c r="A34" s="247" t="s">
        <v>72</v>
      </c>
      <c r="B34" s="52">
        <f>18*16328</f>
        <v>293904</v>
      </c>
      <c r="C34" s="52">
        <v>322083</v>
      </c>
      <c r="D34" s="52">
        <v>297648</v>
      </c>
      <c r="E34" s="52">
        <v>274560</v>
      </c>
      <c r="F34" s="29">
        <f>403899-93399</f>
        <v>310500</v>
      </c>
      <c r="G34" s="46">
        <v>345000</v>
      </c>
      <c r="H34" s="52">
        <v>306000</v>
      </c>
      <c r="I34" s="46">
        <f>16*I14</f>
        <v>261312</v>
      </c>
      <c r="J34" s="46">
        <v>318750</v>
      </c>
      <c r="K34" s="46">
        <v>318750</v>
      </c>
      <c r="L34" s="270">
        <v>300000</v>
      </c>
      <c r="M34" s="25"/>
    </row>
    <row r="35" spans="1:13" ht="15.6" x14ac:dyDescent="0.3">
      <c r="A35" s="251" t="s">
        <v>42</v>
      </c>
      <c r="B35" s="28">
        <v>526630</v>
      </c>
      <c r="C35" s="28">
        <v>421450</v>
      </c>
      <c r="D35" s="28">
        <v>527596</v>
      </c>
      <c r="E35" s="28">
        <v>527627</v>
      </c>
      <c r="F35" s="26">
        <v>528050</v>
      </c>
      <c r="G35" s="26">
        <v>426500</v>
      </c>
      <c r="H35" s="28">
        <v>448350</v>
      </c>
      <c r="I35" s="26">
        <v>542228</v>
      </c>
      <c r="J35" s="26">
        <v>411616</v>
      </c>
      <c r="K35" s="26">
        <v>415000</v>
      </c>
      <c r="L35" s="274">
        <v>480000</v>
      </c>
      <c r="M35" s="25"/>
    </row>
    <row r="36" spans="1:13" ht="15.6" x14ac:dyDescent="0.3">
      <c r="A36" s="261" t="s">
        <v>43</v>
      </c>
      <c r="B36" s="33">
        <f t="shared" ref="B36:L36" si="36">B34/B10</f>
        <v>0.58939092721321651</v>
      </c>
      <c r="C36" s="33">
        <f t="shared" ref="C36:D36" si="37">C34/C10</f>
        <v>0.64416600000000002</v>
      </c>
      <c r="D36" s="33">
        <f t="shared" si="37"/>
        <v>0.59676762897304758</v>
      </c>
      <c r="E36" s="33">
        <f>E34/E10</f>
        <v>0.5504432656105277</v>
      </c>
      <c r="F36" s="33">
        <f t="shared" ref="F36" si="38">F34/F10</f>
        <v>0.621</v>
      </c>
      <c r="G36" s="33">
        <f t="shared" ref="G36" si="39">G34/G10</f>
        <v>0.69</v>
      </c>
      <c r="H36" s="33">
        <f t="shared" si="36"/>
        <v>0.61199999999999999</v>
      </c>
      <c r="I36" s="33">
        <f t="shared" si="36"/>
        <v>0.52262399999999998</v>
      </c>
      <c r="J36" s="33">
        <f t="shared" ref="J36" si="40">J34/J10</f>
        <v>0.63749999999999996</v>
      </c>
      <c r="K36" s="33">
        <f t="shared" ref="K36" si="41">K34/K10</f>
        <v>0.63749999999999996</v>
      </c>
      <c r="L36" s="273">
        <f t="shared" si="36"/>
        <v>0.6</v>
      </c>
      <c r="M36" s="25"/>
    </row>
    <row r="37" spans="1:13" ht="15.6" x14ac:dyDescent="0.3">
      <c r="A37" s="275" t="s">
        <v>71</v>
      </c>
      <c r="B37" s="33">
        <f t="shared" ref="B37:L37" si="42">(B34+B35)/B10</f>
        <v>1.6454872852018665</v>
      </c>
      <c r="C37" s="33">
        <f t="shared" ref="C37:E37" si="43">(C34+C35)/C10</f>
        <v>1.487066</v>
      </c>
      <c r="D37" s="33">
        <f t="shared" si="43"/>
        <v>1.6545681650951245</v>
      </c>
      <c r="E37" s="33">
        <f t="shared" si="43"/>
        <v>1.6082402094635504</v>
      </c>
      <c r="F37" s="33">
        <f t="shared" ref="F37" si="44">(F34+F35)/F10</f>
        <v>1.6771</v>
      </c>
      <c r="G37" s="33">
        <f t="shared" ref="G37" si="45">(G34+G35)/G10</f>
        <v>1.5429999999999999</v>
      </c>
      <c r="H37" s="33">
        <f t="shared" si="42"/>
        <v>1.5086999999999999</v>
      </c>
      <c r="I37" s="33">
        <f t="shared" si="42"/>
        <v>1.6070800000000001</v>
      </c>
      <c r="J37" s="33">
        <f t="shared" ref="J37" si="46">(J34+J35)/J10</f>
        <v>1.4607319999999999</v>
      </c>
      <c r="K37" s="33">
        <f t="shared" ref="K37" si="47">(K34+K35)/K10</f>
        <v>1.4675</v>
      </c>
      <c r="L37" s="273">
        <f t="shared" si="42"/>
        <v>1.56</v>
      </c>
      <c r="M37" s="71"/>
    </row>
    <row r="38" spans="1:13" ht="15.6" x14ac:dyDescent="0.3">
      <c r="A38" s="276" t="s">
        <v>97</v>
      </c>
      <c r="B38" s="39"/>
      <c r="C38" s="39"/>
      <c r="D38" s="39"/>
      <c r="E38" s="60"/>
      <c r="F38" s="63"/>
      <c r="G38" s="39"/>
      <c r="H38" s="39"/>
      <c r="I38" s="39"/>
      <c r="J38" s="39"/>
      <c r="K38" s="39"/>
      <c r="L38" s="277"/>
      <c r="M38" s="25"/>
    </row>
    <row r="39" spans="1:13" ht="15.6" x14ac:dyDescent="0.3">
      <c r="A39" s="408" t="s">
        <v>38</v>
      </c>
      <c r="B39" s="395"/>
      <c r="C39" s="395"/>
      <c r="D39" s="395"/>
      <c r="E39" s="395"/>
      <c r="F39" s="395"/>
      <c r="G39" s="395"/>
      <c r="H39" s="395"/>
      <c r="I39" s="395"/>
      <c r="J39" s="395"/>
      <c r="K39" s="395"/>
      <c r="L39" s="409"/>
      <c r="M39" s="25"/>
    </row>
    <row r="40" spans="1:13" ht="15.6" x14ac:dyDescent="0.3">
      <c r="A40" s="269" t="s">
        <v>39</v>
      </c>
      <c r="B40" s="46">
        <v>541491</v>
      </c>
      <c r="C40" s="46">
        <v>400000</v>
      </c>
      <c r="D40" s="46">
        <v>538918</v>
      </c>
      <c r="E40" s="47">
        <v>538951</v>
      </c>
      <c r="F40" s="29">
        <v>525000</v>
      </c>
      <c r="G40" s="46">
        <v>400000</v>
      </c>
      <c r="H40" s="46">
        <v>505000</v>
      </c>
      <c r="I40" s="47">
        <v>525000</v>
      </c>
      <c r="J40" s="47">
        <v>400000</v>
      </c>
      <c r="K40" s="46">
        <v>400000</v>
      </c>
      <c r="L40" s="270">
        <v>525000</v>
      </c>
      <c r="M40" s="25"/>
    </row>
    <row r="41" spans="1:13" ht="15.6" x14ac:dyDescent="0.3">
      <c r="A41" s="271" t="s">
        <v>40</v>
      </c>
      <c r="B41" s="29">
        <v>561736</v>
      </c>
      <c r="C41" s="29">
        <v>425650</v>
      </c>
      <c r="D41" s="29">
        <v>553881</v>
      </c>
      <c r="E41" s="28">
        <v>553914</v>
      </c>
      <c r="F41" s="29">
        <v>571250</v>
      </c>
      <c r="G41" s="29">
        <v>426500</v>
      </c>
      <c r="H41" s="29">
        <v>571650</v>
      </c>
      <c r="I41" s="29">
        <v>817171</v>
      </c>
      <c r="J41" s="29">
        <v>500000</v>
      </c>
      <c r="K41" s="29">
        <v>525000</v>
      </c>
      <c r="L41" s="272">
        <v>540000</v>
      </c>
      <c r="M41" s="25"/>
    </row>
    <row r="42" spans="1:13" ht="15.6" x14ac:dyDescent="0.3">
      <c r="A42" s="265" t="s">
        <v>33</v>
      </c>
      <c r="B42" s="33">
        <f t="shared" ref="B42:L42" si="48">B40/B10</f>
        <v>1.0858983973256975</v>
      </c>
      <c r="C42" s="33">
        <f t="shared" si="48"/>
        <v>0.8</v>
      </c>
      <c r="D42" s="33">
        <f t="shared" si="48"/>
        <v>1.0805005142681854</v>
      </c>
      <c r="E42" s="33">
        <f t="shared" si="48"/>
        <v>1.080499520848119</v>
      </c>
      <c r="F42" s="33">
        <f t="shared" si="48"/>
        <v>1.05</v>
      </c>
      <c r="G42" s="33">
        <f t="shared" si="48"/>
        <v>0.8</v>
      </c>
      <c r="H42" s="33">
        <f t="shared" si="48"/>
        <v>1.01</v>
      </c>
      <c r="I42" s="33">
        <f t="shared" si="48"/>
        <v>1.05</v>
      </c>
      <c r="J42" s="33">
        <f t="shared" si="48"/>
        <v>0.8</v>
      </c>
      <c r="K42" s="33">
        <f t="shared" si="48"/>
        <v>0.8</v>
      </c>
      <c r="L42" s="273">
        <f t="shared" si="48"/>
        <v>1.05</v>
      </c>
      <c r="M42" s="25"/>
    </row>
    <row r="43" spans="1:13" ht="15.6" x14ac:dyDescent="0.3">
      <c r="A43" s="278" t="s">
        <v>37</v>
      </c>
      <c r="B43" s="33">
        <f t="shared" ref="B43:L43" si="49">B41/B10</f>
        <v>1.1264974341589205</v>
      </c>
      <c r="C43" s="33">
        <f t="shared" si="49"/>
        <v>0.85129999999999995</v>
      </c>
      <c r="D43" s="33">
        <f t="shared" si="49"/>
        <v>1.1105004942187435</v>
      </c>
      <c r="E43" s="33">
        <f t="shared" si="49"/>
        <v>1.1104976363177077</v>
      </c>
      <c r="F43" s="33">
        <f t="shared" si="49"/>
        <v>1.1425000000000001</v>
      </c>
      <c r="G43" s="33">
        <f t="shared" si="49"/>
        <v>0.85299999999999998</v>
      </c>
      <c r="H43" s="33">
        <f t="shared" si="49"/>
        <v>1.1433</v>
      </c>
      <c r="I43" s="33">
        <f t="shared" si="49"/>
        <v>1.634342</v>
      </c>
      <c r="J43" s="33">
        <f t="shared" si="49"/>
        <v>1</v>
      </c>
      <c r="K43" s="33">
        <f t="shared" si="49"/>
        <v>1.05</v>
      </c>
      <c r="L43" s="273">
        <f t="shared" si="49"/>
        <v>1.08</v>
      </c>
      <c r="M43" s="25"/>
    </row>
    <row r="44" spans="1:13" ht="15.6" x14ac:dyDescent="0.3">
      <c r="A44" s="404" t="s">
        <v>75</v>
      </c>
      <c r="B44" s="393"/>
      <c r="C44" s="393"/>
      <c r="D44" s="393"/>
      <c r="E44" s="393"/>
      <c r="F44" s="393"/>
      <c r="G44" s="393"/>
      <c r="H44" s="393"/>
      <c r="I44" s="393"/>
      <c r="J44" s="393"/>
      <c r="K44" s="393"/>
      <c r="L44" s="405"/>
      <c r="M44" s="25"/>
    </row>
    <row r="45" spans="1:13" ht="15.6" x14ac:dyDescent="0.3">
      <c r="A45" s="269" t="s">
        <v>41</v>
      </c>
      <c r="B45" s="46">
        <f>38*B13</f>
        <v>262504</v>
      </c>
      <c r="C45" s="67">
        <v>257563</v>
      </c>
      <c r="D45" s="67">
        <v>101088</v>
      </c>
      <c r="E45" s="46">
        <v>185328</v>
      </c>
      <c r="F45" s="67">
        <v>275500</v>
      </c>
      <c r="G45" s="67">
        <v>273000</v>
      </c>
      <c r="H45" s="46">
        <v>95000</v>
      </c>
      <c r="I45" s="46">
        <f>36*I13</f>
        <v>223344</v>
      </c>
      <c r="J45" s="46">
        <v>230016</v>
      </c>
      <c r="K45" s="46">
        <v>241980</v>
      </c>
      <c r="L45" s="270">
        <v>155520</v>
      </c>
      <c r="M45" s="25"/>
    </row>
    <row r="46" spans="1:13" ht="15.6" x14ac:dyDescent="0.3">
      <c r="A46" s="251" t="s">
        <v>69</v>
      </c>
      <c r="B46" s="46">
        <v>541491</v>
      </c>
      <c r="C46" s="46">
        <v>400000</v>
      </c>
      <c r="D46" s="46">
        <v>538918</v>
      </c>
      <c r="E46" s="47">
        <v>538951</v>
      </c>
      <c r="F46" s="26">
        <v>525000</v>
      </c>
      <c r="G46" s="66">
        <v>400000</v>
      </c>
      <c r="H46" s="46">
        <v>400000</v>
      </c>
      <c r="I46" s="66">
        <v>400000</v>
      </c>
      <c r="J46" s="66">
        <v>400000</v>
      </c>
      <c r="K46" s="46">
        <v>400000</v>
      </c>
      <c r="L46" s="270">
        <v>400000</v>
      </c>
      <c r="M46" s="25"/>
    </row>
    <row r="47" spans="1:13" ht="15.6" x14ac:dyDescent="0.3">
      <c r="A47" s="261" t="s">
        <v>34</v>
      </c>
      <c r="B47" s="33">
        <f t="shared" ref="B47:L47" si="50">B45/B10</f>
        <v>0.52642181105795838</v>
      </c>
      <c r="C47" s="33">
        <f t="shared" si="50"/>
        <v>0.51512599999999997</v>
      </c>
      <c r="D47" s="33">
        <f t="shared" si="50"/>
        <v>0.20267579851914821</v>
      </c>
      <c r="E47" s="33">
        <f t="shared" si="50"/>
        <v>0.37154920428710619</v>
      </c>
      <c r="F47" s="33">
        <f t="shared" si="50"/>
        <v>0.55100000000000005</v>
      </c>
      <c r="G47" s="33">
        <f t="shared" si="50"/>
        <v>0.54600000000000004</v>
      </c>
      <c r="H47" s="33">
        <f t="shared" si="50"/>
        <v>0.19</v>
      </c>
      <c r="I47" s="33">
        <f t="shared" si="50"/>
        <v>0.44668799999999997</v>
      </c>
      <c r="J47" s="33">
        <f t="shared" si="50"/>
        <v>0.460032</v>
      </c>
      <c r="K47" s="33">
        <f t="shared" si="50"/>
        <v>0.48396</v>
      </c>
      <c r="L47" s="273">
        <f t="shared" si="50"/>
        <v>0.31103999999999998</v>
      </c>
      <c r="M47" s="25"/>
    </row>
    <row r="48" spans="1:13" ht="15.6" x14ac:dyDescent="0.3">
      <c r="A48" s="261" t="s">
        <v>70</v>
      </c>
      <c r="B48" s="33">
        <f t="shared" ref="B48" si="51">(B45+B46)/B10</f>
        <v>1.6123202083836559</v>
      </c>
      <c r="C48" s="33">
        <f t="shared" ref="C48:L48" si="52">(C45+C46)/C10</f>
        <v>1.315126</v>
      </c>
      <c r="D48" s="33">
        <f t="shared" si="52"/>
        <v>1.2831763127873335</v>
      </c>
      <c r="E48" s="33">
        <f t="shared" si="52"/>
        <v>1.452048725135225</v>
      </c>
      <c r="F48" s="33">
        <f t="shared" si="52"/>
        <v>1.601</v>
      </c>
      <c r="G48" s="33">
        <f t="shared" si="52"/>
        <v>1.3460000000000001</v>
      </c>
      <c r="H48" s="33">
        <f t="shared" si="52"/>
        <v>0.99</v>
      </c>
      <c r="I48" s="33">
        <f t="shared" si="52"/>
        <v>1.246688</v>
      </c>
      <c r="J48" s="33">
        <f t="shared" si="52"/>
        <v>1.260032</v>
      </c>
      <c r="K48" s="33">
        <f t="shared" si="52"/>
        <v>1.28396</v>
      </c>
      <c r="L48" s="273">
        <f t="shared" si="52"/>
        <v>1.11104</v>
      </c>
      <c r="M48" s="70"/>
    </row>
    <row r="49" spans="1:13" ht="15.6" x14ac:dyDescent="0.3">
      <c r="A49" s="404" t="s">
        <v>76</v>
      </c>
      <c r="B49" s="393"/>
      <c r="C49" s="393"/>
      <c r="D49" s="393"/>
      <c r="E49" s="393"/>
      <c r="F49" s="393"/>
      <c r="G49" s="393"/>
      <c r="H49" s="393"/>
      <c r="I49" s="393"/>
      <c r="J49" s="393"/>
      <c r="K49" s="393"/>
      <c r="L49" s="405"/>
      <c r="M49" s="25"/>
    </row>
    <row r="50" spans="1:13" ht="31.2" x14ac:dyDescent="0.3">
      <c r="A50" s="247" t="s">
        <v>72</v>
      </c>
      <c r="B50" s="52">
        <f>(20*16328)+(18*17898)</f>
        <v>648724</v>
      </c>
      <c r="C50" s="52">
        <v>697063</v>
      </c>
      <c r="D50" s="52">
        <v>669708</v>
      </c>
      <c r="E50" s="52">
        <v>617760</v>
      </c>
      <c r="F50" s="29">
        <f>1225251-544151</f>
        <v>681100</v>
      </c>
      <c r="G50" s="46">
        <v>715500</v>
      </c>
      <c r="H50" s="52">
        <v>646000</v>
      </c>
      <c r="I50" s="46">
        <f>36*I14</f>
        <v>587952</v>
      </c>
      <c r="J50" s="46">
        <v>663750</v>
      </c>
      <c r="K50" s="46">
        <v>693750</v>
      </c>
      <c r="L50" s="270">
        <v>675000</v>
      </c>
      <c r="M50" s="25"/>
    </row>
    <row r="51" spans="1:13" ht="15.6" x14ac:dyDescent="0.3">
      <c r="A51" s="251" t="s">
        <v>42</v>
      </c>
      <c r="B51" s="29">
        <v>561736</v>
      </c>
      <c r="C51" s="29">
        <v>424400</v>
      </c>
      <c r="D51" s="29">
        <v>553881</v>
      </c>
      <c r="E51" s="28">
        <v>553914</v>
      </c>
      <c r="F51" s="22">
        <v>550000</v>
      </c>
      <c r="G51" s="22">
        <v>426500</v>
      </c>
      <c r="H51" s="29">
        <v>517400</v>
      </c>
      <c r="I51" s="22">
        <v>814490</v>
      </c>
      <c r="J51" s="22">
        <v>500000</v>
      </c>
      <c r="K51" s="29">
        <v>525000</v>
      </c>
      <c r="L51" s="272">
        <v>530000</v>
      </c>
      <c r="M51" s="25"/>
    </row>
    <row r="52" spans="1:13" ht="15.6" x14ac:dyDescent="0.3">
      <c r="A52" s="261" t="s">
        <v>43</v>
      </c>
      <c r="B52" s="33">
        <f t="shared" ref="B52:L52" si="53">B50/B10</f>
        <v>1.3009419397676338</v>
      </c>
      <c r="C52" s="33">
        <f t="shared" si="53"/>
        <v>1.394126</v>
      </c>
      <c r="D52" s="33">
        <f t="shared" si="53"/>
        <v>1.3427271651893569</v>
      </c>
      <c r="E52" s="33">
        <f t="shared" si="53"/>
        <v>1.2384973476236874</v>
      </c>
      <c r="F52" s="33">
        <f t="shared" si="53"/>
        <v>1.3622000000000001</v>
      </c>
      <c r="G52" s="33">
        <f t="shared" si="53"/>
        <v>1.431</v>
      </c>
      <c r="H52" s="33">
        <f t="shared" si="53"/>
        <v>1.292</v>
      </c>
      <c r="I52" s="33">
        <f t="shared" si="53"/>
        <v>1.1759040000000001</v>
      </c>
      <c r="J52" s="33">
        <f t="shared" si="53"/>
        <v>1.3274999999999999</v>
      </c>
      <c r="K52" s="33">
        <f t="shared" si="53"/>
        <v>1.3875</v>
      </c>
      <c r="L52" s="273">
        <f t="shared" si="53"/>
        <v>1.35</v>
      </c>
      <c r="M52" s="11"/>
    </row>
    <row r="53" spans="1:13" ht="16.2" thickBot="1" x14ac:dyDescent="0.35">
      <c r="A53" s="279" t="s">
        <v>71</v>
      </c>
      <c r="B53" s="280">
        <f t="shared" ref="B53" si="54">(B51+B50)/B10</f>
        <v>2.4274393739265543</v>
      </c>
      <c r="C53" s="280">
        <f t="shared" ref="C53:L53" si="55">(C51+C50)/C10</f>
        <v>2.2429260000000002</v>
      </c>
      <c r="D53" s="280">
        <f t="shared" si="55"/>
        <v>2.4532276594081002</v>
      </c>
      <c r="E53" s="280">
        <f t="shared" si="55"/>
        <v>2.3489949839413953</v>
      </c>
      <c r="F53" s="280">
        <f t="shared" si="55"/>
        <v>2.4622000000000002</v>
      </c>
      <c r="G53" s="280">
        <f t="shared" si="55"/>
        <v>2.2839999999999998</v>
      </c>
      <c r="H53" s="280">
        <f t="shared" si="55"/>
        <v>2.3268</v>
      </c>
      <c r="I53" s="280">
        <f t="shared" si="55"/>
        <v>2.8048839999999999</v>
      </c>
      <c r="J53" s="280">
        <f t="shared" si="55"/>
        <v>2.3275000000000001</v>
      </c>
      <c r="K53" s="280">
        <f t="shared" si="55"/>
        <v>2.4375</v>
      </c>
      <c r="L53" s="281">
        <f t="shared" si="55"/>
        <v>2.41</v>
      </c>
      <c r="M53" s="71"/>
    </row>
    <row r="54" spans="1:13" ht="15.6" x14ac:dyDescent="0.3">
      <c r="A54" s="11"/>
      <c r="B54" s="11"/>
      <c r="C54" s="11"/>
      <c r="D54" s="11"/>
      <c r="E54" s="11"/>
      <c r="F54" s="11" t="s">
        <v>61</v>
      </c>
      <c r="G54" s="11"/>
      <c r="H54" s="11"/>
      <c r="I54" s="11"/>
      <c r="J54" s="11"/>
      <c r="K54" s="11"/>
      <c r="L54" s="11"/>
      <c r="M54" s="11"/>
    </row>
  </sheetData>
  <sheetProtection algorithmName="SHA-512" hashValue="Scp0CC3LMKw5whPaiLEmvo4wqwo55pIeAocyh9JSIzkVV3I0FsvahA6+NTL27lS6hUZd0Sk27ZS9u4BaUj1buA==" saltValue="OENjPGhfeOu+VxlJVGS/Qw==" spinCount="100000" sheet="1" objects="1" scenarios="1"/>
  <mergeCells count="8">
    <mergeCell ref="A1:M2"/>
    <mergeCell ref="A6:A7"/>
    <mergeCell ref="A49:L49"/>
    <mergeCell ref="A33:L33"/>
    <mergeCell ref="A39:L39"/>
    <mergeCell ref="A44:L44"/>
    <mergeCell ref="A23:L23"/>
    <mergeCell ref="A28:L28"/>
  </mergeCells>
  <phoneticPr fontId="40" type="noConversion"/>
  <conditionalFormatting sqref="B26:L26">
    <cfRule type="top10" dxfId="63" priority="12" rank="1"/>
  </conditionalFormatting>
  <conditionalFormatting sqref="B27:L27">
    <cfRule type="top10" dxfId="62" priority="11" rank="1"/>
  </conditionalFormatting>
  <conditionalFormatting sqref="B31:L31">
    <cfRule type="top10" dxfId="61" priority="10" rank="1"/>
  </conditionalFormatting>
  <conditionalFormatting sqref="B32:L32">
    <cfRule type="top10" dxfId="60" priority="9" rank="1"/>
  </conditionalFormatting>
  <conditionalFormatting sqref="B36:L36">
    <cfRule type="top10" dxfId="59" priority="8" rank="1"/>
  </conditionalFormatting>
  <conditionalFormatting sqref="B37:L37">
    <cfRule type="top10" dxfId="58" priority="7" rank="1"/>
  </conditionalFormatting>
  <conditionalFormatting sqref="B42:L42">
    <cfRule type="top10" dxfId="57" priority="6" rank="1"/>
  </conditionalFormatting>
  <conditionalFormatting sqref="B43:L43">
    <cfRule type="top10" dxfId="56" priority="5" rank="1"/>
  </conditionalFormatting>
  <conditionalFormatting sqref="B47:L47">
    <cfRule type="top10" dxfId="55" priority="4" rank="1"/>
  </conditionalFormatting>
  <conditionalFormatting sqref="B48:L48">
    <cfRule type="top10" dxfId="54" priority="3" rank="1"/>
  </conditionalFormatting>
  <conditionalFormatting sqref="B52:L52">
    <cfRule type="top10" dxfId="53" priority="2" rank="1"/>
  </conditionalFormatting>
  <conditionalFormatting sqref="B53:L53">
    <cfRule type="top10" dxfId="52" priority="1" rank="1"/>
  </conditionalFormatting>
  <pageMargins left="0.7" right="0.7" top="0.75" bottom="0.75" header="0.3" footer="0.3"/>
  <pageSetup paperSize="9" scale="42" orientation="landscape" horizontalDpi="90" verticalDpi="90" r:id="rId1"/>
  <headerFooter>
    <oddFooter>&amp;L_x000D_&amp;1#&amp;"Calibri"&amp;8&amp;K0000FF Internal</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545A-C06F-4AA3-B17D-259D5F6AB4EF}">
  <sheetPr codeName="Sheet10">
    <tabColor rgb="FF00B0F0"/>
    <pageSetUpPr fitToPage="1"/>
  </sheetPr>
  <dimension ref="A1:L53"/>
  <sheetViews>
    <sheetView showGridLines="0" zoomScale="55" zoomScaleNormal="55" workbookViewId="0">
      <pane xSplit="1" ySplit="7" topLeftCell="B8" activePane="bottomRight" state="frozen"/>
      <selection pane="topRight" activeCell="B1" sqref="B1"/>
      <selection pane="bottomLeft" activeCell="A8" sqref="A8"/>
      <selection pane="bottomRight" activeCell="G16" sqref="G16"/>
    </sheetView>
  </sheetViews>
  <sheetFormatPr defaultColWidth="8.77734375" defaultRowHeight="9.6" x14ac:dyDescent="0.2"/>
  <cols>
    <col min="1" max="1" width="63.33203125" style="201" bestFit="1" customWidth="1"/>
    <col min="2" max="2" width="39.77734375" style="201" bestFit="1" customWidth="1"/>
    <col min="3" max="3" width="35.21875" style="201" bestFit="1" customWidth="1"/>
    <col min="4" max="4" width="32.77734375" style="201" hidden="1" customWidth="1"/>
    <col min="5" max="5" width="31.77734375" style="201" hidden="1" customWidth="1"/>
    <col min="6" max="6" width="35.5546875" style="201" customWidth="1"/>
    <col min="7" max="7" width="37.6640625" style="201" bestFit="1" customWidth="1"/>
    <col min="8" max="8" width="34.109375" style="201" bestFit="1" customWidth="1"/>
    <col min="9" max="9" width="36.21875" style="201" bestFit="1" customWidth="1"/>
    <col min="10" max="10" width="39.21875" style="201" bestFit="1" customWidth="1"/>
    <col min="11" max="12" width="34.109375" style="201" bestFit="1" customWidth="1"/>
    <col min="13" max="16384" width="8.77734375" style="201"/>
  </cols>
  <sheetData>
    <row r="1" spans="1:12" x14ac:dyDescent="0.2">
      <c r="A1" s="396"/>
      <c r="B1" s="396"/>
      <c r="C1" s="396"/>
      <c r="D1" s="396"/>
      <c r="E1" s="396"/>
      <c r="F1" s="396"/>
      <c r="G1" s="396"/>
      <c r="H1" s="396"/>
      <c r="I1" s="396"/>
      <c r="J1" s="396"/>
      <c r="K1" s="396"/>
      <c r="L1" s="396"/>
    </row>
    <row r="2" spans="1:12" x14ac:dyDescent="0.2">
      <c r="A2" s="396"/>
      <c r="B2" s="396"/>
      <c r="C2" s="396"/>
      <c r="D2" s="396"/>
      <c r="E2" s="396"/>
      <c r="F2" s="396"/>
      <c r="G2" s="396"/>
      <c r="H2" s="396"/>
      <c r="I2" s="396"/>
      <c r="J2" s="396"/>
      <c r="K2" s="396"/>
      <c r="L2" s="396"/>
    </row>
    <row r="3" spans="1:12" ht="15.6" x14ac:dyDescent="0.3">
      <c r="A3" s="11" t="s">
        <v>90</v>
      </c>
      <c r="B3" s="202"/>
      <c r="C3" s="202"/>
      <c r="D3" s="202"/>
      <c r="E3" s="202"/>
      <c r="H3" s="202"/>
    </row>
    <row r="4" spans="1:12" ht="15.6" x14ac:dyDescent="0.3">
      <c r="A4" s="111" t="s">
        <v>271</v>
      </c>
      <c r="B4" s="202"/>
      <c r="C4" s="202"/>
      <c r="D4" s="202"/>
      <c r="E4" s="202"/>
      <c r="H4" s="202"/>
    </row>
    <row r="5" spans="1:12" ht="18" customHeight="1" thickBot="1" x14ac:dyDescent="0.35">
      <c r="A5" s="12" t="s">
        <v>23</v>
      </c>
      <c r="B5" s="202"/>
      <c r="C5" s="202"/>
      <c r="D5" s="202"/>
      <c r="E5" s="202"/>
      <c r="H5" s="202"/>
    </row>
    <row r="6" spans="1:12" ht="15.6" x14ac:dyDescent="0.2">
      <c r="A6" s="243"/>
      <c r="B6" s="235" t="s">
        <v>147</v>
      </c>
      <c r="C6" s="235" t="s">
        <v>147</v>
      </c>
      <c r="D6" s="235" t="s">
        <v>240</v>
      </c>
      <c r="E6" s="235" t="s">
        <v>240</v>
      </c>
      <c r="F6" s="235" t="s">
        <v>60</v>
      </c>
      <c r="G6" s="235" t="s">
        <v>100</v>
      </c>
      <c r="H6" s="235" t="s">
        <v>100</v>
      </c>
      <c r="I6" s="235" t="s">
        <v>28</v>
      </c>
      <c r="J6" s="235" t="s">
        <v>28</v>
      </c>
      <c r="K6" s="235" t="s">
        <v>148</v>
      </c>
      <c r="L6" s="241" t="s">
        <v>148</v>
      </c>
    </row>
    <row r="7" spans="1:12" s="203" customFormat="1" ht="47.4" thickBot="1" x14ac:dyDescent="0.35">
      <c r="A7" s="244"/>
      <c r="B7" s="238" t="s">
        <v>334</v>
      </c>
      <c r="C7" s="238" t="s">
        <v>210</v>
      </c>
      <c r="D7" s="238" t="s">
        <v>262</v>
      </c>
      <c r="E7" s="238" t="s">
        <v>343</v>
      </c>
      <c r="F7" s="238" t="s">
        <v>388</v>
      </c>
      <c r="G7" s="238" t="s">
        <v>294</v>
      </c>
      <c r="H7" s="238" t="s">
        <v>101</v>
      </c>
      <c r="I7" s="238" t="s">
        <v>64</v>
      </c>
      <c r="J7" s="238" t="s">
        <v>335</v>
      </c>
      <c r="K7" s="238" t="s">
        <v>433</v>
      </c>
      <c r="L7" s="242" t="s">
        <v>211</v>
      </c>
    </row>
    <row r="8" spans="1:12" ht="15.6" x14ac:dyDescent="0.2">
      <c r="A8" s="15" t="s">
        <v>19</v>
      </c>
      <c r="B8" s="16">
        <v>4.2500000000000003E-2</v>
      </c>
      <c r="C8" s="16">
        <v>4.2500000000000003E-2</v>
      </c>
      <c r="D8" s="167">
        <v>4.2500000000000003E-2</v>
      </c>
      <c r="E8" s="167">
        <v>4.2500000000000003E-2</v>
      </c>
      <c r="F8" s="16">
        <v>4.2500000000000003E-2</v>
      </c>
      <c r="G8" s="16">
        <v>4.2500000000000003E-2</v>
      </c>
      <c r="H8" s="16">
        <v>4.2500000000000003E-2</v>
      </c>
      <c r="I8" s="16">
        <v>4.2500000000000003E-2</v>
      </c>
      <c r="J8" s="16">
        <v>4.2500000000000003E-2</v>
      </c>
      <c r="K8" s="16">
        <v>4.2500000000000003E-2</v>
      </c>
      <c r="L8" s="16">
        <v>4.2500000000000003E-2</v>
      </c>
    </row>
    <row r="9" spans="1:12" ht="15.6" x14ac:dyDescent="0.2">
      <c r="A9" s="18" t="s">
        <v>16</v>
      </c>
      <c r="B9" s="49" t="s">
        <v>91</v>
      </c>
      <c r="C9" s="49" t="s">
        <v>91</v>
      </c>
      <c r="D9" s="49" t="s">
        <v>253</v>
      </c>
      <c r="E9" s="143" t="s">
        <v>253</v>
      </c>
      <c r="F9" s="49" t="s">
        <v>91</v>
      </c>
      <c r="G9" s="49" t="s">
        <v>307</v>
      </c>
      <c r="H9" s="49" t="s">
        <v>91</v>
      </c>
      <c r="I9" s="49" t="s">
        <v>92</v>
      </c>
      <c r="J9" s="49" t="s">
        <v>92</v>
      </c>
      <c r="K9" s="49" t="s">
        <v>92</v>
      </c>
      <c r="L9" s="49" t="s">
        <v>92</v>
      </c>
    </row>
    <row r="10" spans="1:12" ht="15.6" x14ac:dyDescent="0.2">
      <c r="A10" s="20" t="s">
        <v>29</v>
      </c>
      <c r="B10" s="35">
        <v>998926.6</v>
      </c>
      <c r="C10" s="35">
        <v>1000000</v>
      </c>
      <c r="D10" s="35">
        <v>999865.44</v>
      </c>
      <c r="E10" s="35">
        <v>999953</v>
      </c>
      <c r="F10" s="35">
        <v>1000000</v>
      </c>
      <c r="G10" s="35">
        <v>1000000</v>
      </c>
      <c r="H10" s="35">
        <v>1000000</v>
      </c>
      <c r="I10" s="35">
        <v>1000000</v>
      </c>
      <c r="J10" s="35">
        <v>1000000</v>
      </c>
      <c r="K10" s="35">
        <v>1000000</v>
      </c>
      <c r="L10" s="35">
        <v>1000000</v>
      </c>
    </row>
    <row r="11" spans="1:12" ht="15.6" x14ac:dyDescent="0.2">
      <c r="A11" s="20" t="s">
        <v>24</v>
      </c>
      <c r="B11" s="35">
        <v>632000</v>
      </c>
      <c r="C11" s="35">
        <v>1000000</v>
      </c>
      <c r="D11" s="35">
        <v>706000</v>
      </c>
      <c r="E11" s="35">
        <v>575000</v>
      </c>
      <c r="F11" s="37" t="s">
        <v>88</v>
      </c>
      <c r="G11" s="28">
        <v>1010000</v>
      </c>
      <c r="H11" s="35" t="s">
        <v>88</v>
      </c>
      <c r="I11" s="35">
        <v>1000000</v>
      </c>
      <c r="J11" s="35">
        <v>1000000</v>
      </c>
      <c r="K11" s="37" t="s">
        <v>88</v>
      </c>
      <c r="L11" s="37" t="s">
        <v>88</v>
      </c>
    </row>
    <row r="12" spans="1:12" ht="15.6" x14ac:dyDescent="0.2">
      <c r="A12" s="20" t="s">
        <v>17</v>
      </c>
      <c r="B12" s="21" t="s">
        <v>270</v>
      </c>
      <c r="C12" s="21" t="s">
        <v>225</v>
      </c>
      <c r="D12" s="21" t="s">
        <v>254</v>
      </c>
      <c r="E12" s="145" t="s">
        <v>254</v>
      </c>
      <c r="F12" s="21" t="s">
        <v>389</v>
      </c>
      <c r="G12" s="77" t="s">
        <v>308</v>
      </c>
      <c r="H12" s="21" t="s">
        <v>310</v>
      </c>
      <c r="I12" s="21" t="s">
        <v>95</v>
      </c>
      <c r="J12" s="21" t="s">
        <v>239</v>
      </c>
      <c r="K12" s="21" t="s">
        <v>167</v>
      </c>
      <c r="L12" s="77" t="s">
        <v>228</v>
      </c>
    </row>
    <row r="13" spans="1:12" ht="62.4" x14ac:dyDescent="0.2">
      <c r="A13" s="23" t="s">
        <v>18</v>
      </c>
      <c r="B13" s="35">
        <v>13904</v>
      </c>
      <c r="C13" s="53" t="s">
        <v>237</v>
      </c>
      <c r="D13" s="53">
        <v>5648</v>
      </c>
      <c r="E13" s="53">
        <v>10350</v>
      </c>
      <c r="F13" s="24">
        <v>14500</v>
      </c>
      <c r="G13" s="24">
        <v>14000</v>
      </c>
      <c r="H13" s="35">
        <v>5000</v>
      </c>
      <c r="I13" s="22">
        <v>12408</v>
      </c>
      <c r="J13" s="91" t="s">
        <v>344</v>
      </c>
      <c r="K13" s="24">
        <v>13080</v>
      </c>
      <c r="L13" s="24">
        <v>8640</v>
      </c>
    </row>
    <row r="14" spans="1:12" ht="95.55" customHeight="1" x14ac:dyDescent="0.2">
      <c r="A14" s="23" t="s">
        <v>26</v>
      </c>
      <c r="B14" s="161" t="s">
        <v>405</v>
      </c>
      <c r="C14" s="139" t="s">
        <v>238</v>
      </c>
      <c r="D14" s="24">
        <v>37418</v>
      </c>
      <c r="E14" s="146">
        <v>34500</v>
      </c>
      <c r="F14" s="164" t="s">
        <v>444</v>
      </c>
      <c r="G14" s="164" t="s">
        <v>309</v>
      </c>
      <c r="H14" s="35">
        <v>34000</v>
      </c>
      <c r="I14" s="22">
        <v>32664</v>
      </c>
      <c r="J14" s="91" t="s">
        <v>345</v>
      </c>
      <c r="K14" s="24">
        <v>37500</v>
      </c>
      <c r="L14" s="24">
        <v>37500</v>
      </c>
    </row>
    <row r="15" spans="1:12" ht="70.349999999999994" customHeight="1" x14ac:dyDescent="0.2">
      <c r="A15" s="42" t="s">
        <v>31</v>
      </c>
      <c r="B15" s="50">
        <f>B13/B10</f>
        <v>1.3918940590830197E-2</v>
      </c>
      <c r="C15" s="50" t="s">
        <v>236</v>
      </c>
      <c r="D15" s="44">
        <f t="shared" ref="D15:E15" si="0">D13/D10</f>
        <v>5.6487600971586744E-3</v>
      </c>
      <c r="E15" s="44">
        <f t="shared" si="0"/>
        <v>1.0350486472864224E-2</v>
      </c>
      <c r="F15" s="207">
        <f>F13/F10</f>
        <v>1.4500000000000001E-2</v>
      </c>
      <c r="G15" s="44">
        <f>G13/G10</f>
        <v>1.4E-2</v>
      </c>
      <c r="H15" s="44">
        <f>H13/H10</f>
        <v>5.0000000000000001E-3</v>
      </c>
      <c r="I15" s="44">
        <f>I13/I10</f>
        <v>1.2408000000000001E-2</v>
      </c>
      <c r="J15" s="92" t="s">
        <v>347</v>
      </c>
      <c r="K15" s="44">
        <f>K13/K10</f>
        <v>1.308E-2</v>
      </c>
      <c r="L15" s="44">
        <f>L13/L10</f>
        <v>8.6400000000000001E-3</v>
      </c>
    </row>
    <row r="16" spans="1:12" ht="72.45" customHeight="1" x14ac:dyDescent="0.2">
      <c r="A16" s="42" t="s">
        <v>59</v>
      </c>
      <c r="B16" s="50" t="s">
        <v>333</v>
      </c>
      <c r="C16" s="50" t="s">
        <v>292</v>
      </c>
      <c r="D16" s="50">
        <f>D14/D10</f>
        <v>3.7423035643676217E-2</v>
      </c>
      <c r="E16" s="50">
        <f>E14/E10</f>
        <v>3.450162157621408E-2</v>
      </c>
      <c r="F16" s="50" t="s">
        <v>406</v>
      </c>
      <c r="G16" s="50" t="s">
        <v>305</v>
      </c>
      <c r="H16" s="50">
        <f>H14/H10</f>
        <v>3.4000000000000002E-2</v>
      </c>
      <c r="I16" s="50">
        <f t="shared" ref="I16:L16" si="1">I14/I10</f>
        <v>3.2663999999999999E-2</v>
      </c>
      <c r="J16" s="50" t="s">
        <v>407</v>
      </c>
      <c r="K16" s="59">
        <f t="shared" ref="K16" si="2">K14/K10</f>
        <v>3.7499999999999999E-2</v>
      </c>
      <c r="L16" s="59">
        <f t="shared" si="1"/>
        <v>3.7499999999999999E-2</v>
      </c>
    </row>
    <row r="17" spans="1:12" ht="24.6" customHeight="1" x14ac:dyDescent="0.2">
      <c r="A17" s="23" t="s">
        <v>105</v>
      </c>
      <c r="B17" s="28">
        <v>799141</v>
      </c>
      <c r="C17" s="35">
        <v>800000</v>
      </c>
      <c r="D17" s="35">
        <v>799892</v>
      </c>
      <c r="E17" s="35">
        <v>799963</v>
      </c>
      <c r="F17" s="24">
        <v>800000</v>
      </c>
      <c r="G17" s="24">
        <v>800000</v>
      </c>
      <c r="H17" s="28">
        <v>800000</v>
      </c>
      <c r="I17" s="24">
        <v>800000</v>
      </c>
      <c r="J17" s="24">
        <v>800000</v>
      </c>
      <c r="K17" s="24">
        <v>800000</v>
      </c>
      <c r="L17" s="24">
        <v>800000</v>
      </c>
    </row>
    <row r="18" spans="1:12" ht="49.35" customHeight="1" x14ac:dyDescent="0.2">
      <c r="A18" s="42" t="s">
        <v>107</v>
      </c>
      <c r="B18" s="51">
        <f t="shared" ref="B18:L18" si="3">B17/B10</f>
        <v>0.79999971969912509</v>
      </c>
      <c r="C18" s="51">
        <f t="shared" si="3"/>
        <v>0.8</v>
      </c>
      <c r="D18" s="43">
        <f t="shared" si="3"/>
        <v>0.79999964795262857</v>
      </c>
      <c r="E18" s="43">
        <f t="shared" si="3"/>
        <v>0.80000060002820128</v>
      </c>
      <c r="F18" s="43">
        <f t="shared" si="3"/>
        <v>0.8</v>
      </c>
      <c r="G18" s="43">
        <f t="shared" si="3"/>
        <v>0.8</v>
      </c>
      <c r="H18" s="51">
        <f t="shared" si="3"/>
        <v>0.8</v>
      </c>
      <c r="I18" s="43">
        <f t="shared" si="3"/>
        <v>0.8</v>
      </c>
      <c r="J18" s="43">
        <f t="shared" si="3"/>
        <v>0.8</v>
      </c>
      <c r="K18" s="43">
        <f t="shared" si="3"/>
        <v>0.8</v>
      </c>
      <c r="L18" s="43">
        <f t="shared" si="3"/>
        <v>0.8</v>
      </c>
    </row>
    <row r="19" spans="1:12" ht="63" customHeight="1" x14ac:dyDescent="0.2">
      <c r="A19" s="34" t="s">
        <v>25</v>
      </c>
      <c r="B19" s="156" t="s">
        <v>269</v>
      </c>
      <c r="C19" s="78" t="s">
        <v>223</v>
      </c>
      <c r="D19" s="41" t="s">
        <v>77</v>
      </c>
      <c r="E19" s="41" t="s">
        <v>77</v>
      </c>
      <c r="F19" s="206" t="s">
        <v>269</v>
      </c>
      <c r="G19" s="78" t="s">
        <v>306</v>
      </c>
      <c r="H19" s="78" t="s">
        <v>104</v>
      </c>
      <c r="I19" s="41" t="s">
        <v>83</v>
      </c>
      <c r="J19" s="41" t="s">
        <v>124</v>
      </c>
      <c r="K19" s="41" t="s">
        <v>89</v>
      </c>
      <c r="L19" s="41" t="s">
        <v>230</v>
      </c>
    </row>
    <row r="20" spans="1:12" ht="15.6" x14ac:dyDescent="0.2">
      <c r="A20" s="36" t="s">
        <v>30</v>
      </c>
      <c r="B20" s="28">
        <v>1008915</v>
      </c>
      <c r="C20" s="28">
        <v>1010000</v>
      </c>
      <c r="D20" s="28">
        <v>1009864</v>
      </c>
      <c r="E20" s="28">
        <v>1009953</v>
      </c>
      <c r="F20" s="28">
        <v>1050000</v>
      </c>
      <c r="G20" s="28">
        <v>1010000</v>
      </c>
      <c r="H20" s="28">
        <v>1010000</v>
      </c>
      <c r="I20" s="28">
        <v>1050000</v>
      </c>
      <c r="J20" s="28">
        <v>1050000</v>
      </c>
      <c r="K20" s="28">
        <v>1050000</v>
      </c>
      <c r="L20" s="28">
        <v>1050000</v>
      </c>
    </row>
    <row r="21" spans="1:12" ht="46.8" customHeight="1" x14ac:dyDescent="0.2">
      <c r="A21" s="32" t="s">
        <v>32</v>
      </c>
      <c r="B21" s="33">
        <f t="shared" ref="B21:L21" si="4">B20/B10</f>
        <v>1.0099991330694367</v>
      </c>
      <c r="C21" s="33">
        <f t="shared" si="4"/>
        <v>1.01</v>
      </c>
      <c r="D21" s="33">
        <f t="shared" si="4"/>
        <v>1.0099999055872959</v>
      </c>
      <c r="E21" s="33">
        <f t="shared" si="4"/>
        <v>1.010000470022091</v>
      </c>
      <c r="F21" s="33">
        <f t="shared" si="4"/>
        <v>1.05</v>
      </c>
      <c r="G21" s="33">
        <f t="shared" si="4"/>
        <v>1.01</v>
      </c>
      <c r="H21" s="33">
        <f t="shared" si="4"/>
        <v>1.01</v>
      </c>
      <c r="I21" s="33">
        <f t="shared" si="4"/>
        <v>1.05</v>
      </c>
      <c r="J21" s="33">
        <f t="shared" si="4"/>
        <v>1.05</v>
      </c>
      <c r="K21" s="33">
        <f t="shared" si="4"/>
        <v>1.05</v>
      </c>
      <c r="L21" s="33">
        <f t="shared" si="4"/>
        <v>1.05</v>
      </c>
    </row>
    <row r="22" spans="1:12" ht="15.6" x14ac:dyDescent="0.3">
      <c r="A22" s="402" t="s">
        <v>96</v>
      </c>
      <c r="B22" s="403"/>
      <c r="C22" s="403"/>
      <c r="D22" s="403"/>
      <c r="E22" s="403"/>
      <c r="F22" s="403"/>
      <c r="G22" s="403"/>
      <c r="H22" s="403"/>
      <c r="I22" s="403"/>
      <c r="J22" s="403"/>
      <c r="K22" s="403"/>
      <c r="L22" s="403"/>
    </row>
    <row r="23" spans="1:12" ht="15.6" x14ac:dyDescent="0.3">
      <c r="A23" s="399" t="s">
        <v>38</v>
      </c>
      <c r="B23" s="399"/>
      <c r="C23" s="399"/>
      <c r="D23" s="399"/>
      <c r="E23" s="399"/>
      <c r="F23" s="399"/>
      <c r="G23" s="399"/>
      <c r="H23" s="399"/>
      <c r="I23" s="399"/>
      <c r="J23" s="399"/>
      <c r="K23" s="399"/>
      <c r="L23" s="399"/>
    </row>
    <row r="24" spans="1:12" ht="15.6" x14ac:dyDescent="0.2">
      <c r="A24" s="27" t="s">
        <v>39</v>
      </c>
      <c r="B24" s="28">
        <v>1031891</v>
      </c>
      <c r="C24" s="28">
        <v>800000</v>
      </c>
      <c r="D24" s="28">
        <v>1027661</v>
      </c>
      <c r="E24" s="47">
        <v>1027752</v>
      </c>
      <c r="F24" s="29">
        <v>1050000</v>
      </c>
      <c r="G24" s="29">
        <v>800000</v>
      </c>
      <c r="H24" s="28">
        <v>1010000</v>
      </c>
      <c r="I24" s="28">
        <v>1050000</v>
      </c>
      <c r="J24" s="28">
        <v>829968</v>
      </c>
      <c r="K24" s="29">
        <v>827640</v>
      </c>
      <c r="L24" s="29">
        <v>1050000</v>
      </c>
    </row>
    <row r="25" spans="1:12" ht="15.6" x14ac:dyDescent="0.2">
      <c r="A25" s="27" t="s">
        <v>40</v>
      </c>
      <c r="B25" s="28">
        <v>1054966</v>
      </c>
      <c r="C25" s="28">
        <v>850400</v>
      </c>
      <c r="D25" s="28">
        <v>1057656</v>
      </c>
      <c r="E25" s="28">
        <v>1057750</v>
      </c>
      <c r="F25" s="29">
        <v>1090000</v>
      </c>
      <c r="G25" s="29">
        <v>853000</v>
      </c>
      <c r="H25" s="28">
        <v>1076700</v>
      </c>
      <c r="I25" s="29">
        <v>1134942</v>
      </c>
      <c r="J25" s="29">
        <v>830619</v>
      </c>
      <c r="K25" s="29">
        <v>830000</v>
      </c>
      <c r="L25" s="29">
        <v>1060000</v>
      </c>
    </row>
    <row r="26" spans="1:12" ht="15.6" x14ac:dyDescent="0.2">
      <c r="A26" s="32" t="s">
        <v>33</v>
      </c>
      <c r="B26" s="33">
        <f t="shared" ref="B26:D26" si="5">B24/B10</f>
        <v>1.0329998220089445</v>
      </c>
      <c r="C26" s="33">
        <f t="shared" si="5"/>
        <v>0.8</v>
      </c>
      <c r="D26" s="33">
        <f t="shared" si="5"/>
        <v>1.0277993006738988</v>
      </c>
      <c r="E26" s="33">
        <f>E24/E10</f>
        <v>1.0278003066144108</v>
      </c>
      <c r="F26" s="33">
        <f t="shared" ref="F26" si="6">F24/F10</f>
        <v>1.05</v>
      </c>
      <c r="G26" s="33">
        <f t="shared" ref="G26:L26" si="7">G24/G10</f>
        <v>0.8</v>
      </c>
      <c r="H26" s="33">
        <f t="shared" si="7"/>
        <v>1.01</v>
      </c>
      <c r="I26" s="33">
        <f t="shared" si="7"/>
        <v>1.05</v>
      </c>
      <c r="J26" s="33">
        <f t="shared" si="7"/>
        <v>0.82996800000000004</v>
      </c>
      <c r="K26" s="33">
        <f t="shared" si="7"/>
        <v>0.82764000000000004</v>
      </c>
      <c r="L26" s="33">
        <f t="shared" si="7"/>
        <v>1.05</v>
      </c>
    </row>
    <row r="27" spans="1:12" ht="15.6" x14ac:dyDescent="0.2">
      <c r="A27" s="32" t="s">
        <v>37</v>
      </c>
      <c r="B27" s="33">
        <f t="shared" ref="B27:D27" si="8">B25/B10</f>
        <v>1.0560996173292412</v>
      </c>
      <c r="C27" s="33">
        <f t="shared" si="8"/>
        <v>0.85040000000000004</v>
      </c>
      <c r="D27" s="33">
        <f t="shared" si="8"/>
        <v>1.0577983373442732</v>
      </c>
      <c r="E27" s="33">
        <f>E25/E10</f>
        <v>1.0577997165866795</v>
      </c>
      <c r="F27" s="33">
        <f t="shared" ref="F27" si="9">F25/F10</f>
        <v>1.0900000000000001</v>
      </c>
      <c r="G27" s="33">
        <f t="shared" ref="G27:L27" si="10">G25/G10</f>
        <v>0.85299999999999998</v>
      </c>
      <c r="H27" s="33">
        <f t="shared" si="10"/>
        <v>1.0767</v>
      </c>
      <c r="I27" s="33">
        <f t="shared" si="10"/>
        <v>1.1349419999999999</v>
      </c>
      <c r="J27" s="33">
        <f t="shared" si="10"/>
        <v>0.830619</v>
      </c>
      <c r="K27" s="33">
        <f t="shared" si="10"/>
        <v>0.83</v>
      </c>
      <c r="L27" s="33">
        <f t="shared" si="10"/>
        <v>1.06</v>
      </c>
    </row>
    <row r="28" spans="1:12" ht="15.6" x14ac:dyDescent="0.2">
      <c r="A28" s="392" t="s">
        <v>75</v>
      </c>
      <c r="B28" s="393"/>
      <c r="C28" s="393"/>
      <c r="D28" s="393"/>
      <c r="E28" s="393"/>
      <c r="F28" s="393"/>
      <c r="G28" s="393"/>
      <c r="H28" s="393"/>
      <c r="I28" s="393"/>
      <c r="J28" s="393"/>
      <c r="K28" s="393"/>
      <c r="L28" s="393"/>
    </row>
    <row r="29" spans="1:12" ht="15.6" x14ac:dyDescent="0.2">
      <c r="A29" s="45" t="s">
        <v>41</v>
      </c>
      <c r="B29" s="46">
        <f>18*B13</f>
        <v>250272</v>
      </c>
      <c r="C29" s="47">
        <v>241198</v>
      </c>
      <c r="D29" s="47">
        <v>90368</v>
      </c>
      <c r="E29" s="29">
        <v>165600</v>
      </c>
      <c r="F29" s="29">
        <v>261000</v>
      </c>
      <c r="G29" s="46">
        <v>266000</v>
      </c>
      <c r="H29" s="47">
        <v>90000</v>
      </c>
      <c r="I29" s="46">
        <f>16*I13</f>
        <v>198528</v>
      </c>
      <c r="J29" s="46">
        <v>220032</v>
      </c>
      <c r="K29" s="46">
        <v>222360</v>
      </c>
      <c r="L29" s="46">
        <v>138240</v>
      </c>
    </row>
    <row r="30" spans="1:12" ht="15.6" x14ac:dyDescent="0.2">
      <c r="A30" s="20" t="s">
        <v>69</v>
      </c>
      <c r="B30" s="28">
        <v>1031891</v>
      </c>
      <c r="C30" s="28">
        <v>800000</v>
      </c>
      <c r="D30" s="28">
        <v>1027661</v>
      </c>
      <c r="E30" s="47">
        <v>1027752</v>
      </c>
      <c r="F30" s="29">
        <v>1036100</v>
      </c>
      <c r="G30" s="29">
        <v>800000</v>
      </c>
      <c r="H30" s="28">
        <v>800000</v>
      </c>
      <c r="I30" s="26">
        <v>800000</v>
      </c>
      <c r="J30" s="26">
        <v>800000</v>
      </c>
      <c r="K30" s="26">
        <v>800000</v>
      </c>
      <c r="L30" s="26">
        <v>800000</v>
      </c>
    </row>
    <row r="31" spans="1:12" ht="15.6" x14ac:dyDescent="0.2">
      <c r="A31" s="34" t="s">
        <v>34</v>
      </c>
      <c r="B31" s="33">
        <f t="shared" ref="B31:L31" si="11">B29/B10</f>
        <v>0.25054093063494354</v>
      </c>
      <c r="C31" s="33">
        <f t="shared" si="11"/>
        <v>0.241198</v>
      </c>
      <c r="D31" s="33">
        <f t="shared" si="11"/>
        <v>9.038016155453879E-2</v>
      </c>
      <c r="E31" s="33">
        <f t="shared" si="11"/>
        <v>0.16560778356582759</v>
      </c>
      <c r="F31" s="33">
        <f t="shared" si="11"/>
        <v>0.26100000000000001</v>
      </c>
      <c r="G31" s="33">
        <f t="shared" si="11"/>
        <v>0.26600000000000001</v>
      </c>
      <c r="H31" s="33">
        <f t="shared" si="11"/>
        <v>0.09</v>
      </c>
      <c r="I31" s="33">
        <f t="shared" si="11"/>
        <v>0.19852800000000001</v>
      </c>
      <c r="J31" s="33">
        <f t="shared" si="11"/>
        <v>0.22003200000000001</v>
      </c>
      <c r="K31" s="33">
        <f t="shared" si="11"/>
        <v>0.22236</v>
      </c>
      <c r="L31" s="33">
        <f t="shared" si="11"/>
        <v>0.13824</v>
      </c>
    </row>
    <row r="32" spans="1:12" ht="15.6" x14ac:dyDescent="0.2">
      <c r="A32" s="34" t="s">
        <v>70</v>
      </c>
      <c r="B32" s="33">
        <f t="shared" ref="B32:L32" si="12">(B30+B29)/B10</f>
        <v>1.283540752643888</v>
      </c>
      <c r="C32" s="33">
        <f t="shared" si="12"/>
        <v>1.0411980000000001</v>
      </c>
      <c r="D32" s="33">
        <f t="shared" si="12"/>
        <v>1.1181794622284376</v>
      </c>
      <c r="E32" s="33">
        <f t="shared" si="12"/>
        <v>1.1934080901802384</v>
      </c>
      <c r="F32" s="33">
        <f t="shared" si="12"/>
        <v>1.2970999999999999</v>
      </c>
      <c r="G32" s="33">
        <f t="shared" si="12"/>
        <v>1.0660000000000001</v>
      </c>
      <c r="H32" s="33">
        <f t="shared" si="12"/>
        <v>0.89</v>
      </c>
      <c r="I32" s="33">
        <f t="shared" si="12"/>
        <v>0.99852799999999997</v>
      </c>
      <c r="J32" s="33">
        <f t="shared" si="12"/>
        <v>1.020032</v>
      </c>
      <c r="K32" s="33">
        <f t="shared" si="12"/>
        <v>1.0223599999999999</v>
      </c>
      <c r="L32" s="33">
        <f t="shared" si="12"/>
        <v>0.93823999999999996</v>
      </c>
    </row>
    <row r="33" spans="1:12" ht="15.6" x14ac:dyDescent="0.2">
      <c r="A33" s="392" t="s">
        <v>76</v>
      </c>
      <c r="B33" s="393"/>
      <c r="C33" s="393"/>
      <c r="D33" s="393"/>
      <c r="E33" s="393"/>
      <c r="F33" s="393"/>
      <c r="G33" s="393"/>
      <c r="H33" s="393"/>
      <c r="I33" s="393"/>
      <c r="J33" s="393"/>
      <c r="K33" s="393"/>
      <c r="L33" s="393"/>
    </row>
    <row r="34" spans="1:12" ht="15.6" x14ac:dyDescent="0.2">
      <c r="A34" s="15" t="s">
        <v>72</v>
      </c>
      <c r="B34" s="52">
        <f>18*32864</f>
        <v>591552</v>
      </c>
      <c r="C34" s="47">
        <v>644194</v>
      </c>
      <c r="D34" s="47">
        <f>D29/D13*D14</f>
        <v>598688</v>
      </c>
      <c r="E34" s="52">
        <v>552000</v>
      </c>
      <c r="F34" s="29">
        <f>807798-186798</f>
        <v>621000</v>
      </c>
      <c r="G34" s="46">
        <v>691000</v>
      </c>
      <c r="H34" s="47">
        <v>612000</v>
      </c>
      <c r="I34" s="66">
        <f>16*I14</f>
        <v>522624</v>
      </c>
      <c r="J34" s="66">
        <v>637500</v>
      </c>
      <c r="K34" s="46">
        <v>637500</v>
      </c>
      <c r="L34" s="46">
        <v>600000</v>
      </c>
    </row>
    <row r="35" spans="1:12" ht="15.6" x14ac:dyDescent="0.2">
      <c r="A35" s="20" t="s">
        <v>42</v>
      </c>
      <c r="B35" s="28">
        <v>1054966</v>
      </c>
      <c r="C35" s="28">
        <v>842900</v>
      </c>
      <c r="D35" s="28">
        <v>1057656</v>
      </c>
      <c r="E35" s="28">
        <v>1057750</v>
      </c>
      <c r="F35" s="29">
        <v>1056100</v>
      </c>
      <c r="G35" s="29">
        <v>800000</v>
      </c>
      <c r="H35" s="28">
        <v>896700</v>
      </c>
      <c r="I35" s="26">
        <v>1084456</v>
      </c>
      <c r="J35" s="26">
        <v>823233</v>
      </c>
      <c r="K35" s="26">
        <v>830000</v>
      </c>
      <c r="L35" s="26">
        <v>960000</v>
      </c>
    </row>
    <row r="36" spans="1:12" ht="15.6" x14ac:dyDescent="0.2">
      <c r="A36" s="34" t="s">
        <v>43</v>
      </c>
      <c r="B36" s="33">
        <f t="shared" ref="B36:D36" si="13">B34/B10</f>
        <v>0.59218765422804842</v>
      </c>
      <c r="C36" s="33">
        <f t="shared" si="13"/>
        <v>0.64419400000000004</v>
      </c>
      <c r="D36" s="33">
        <f t="shared" si="13"/>
        <v>0.59876857029881947</v>
      </c>
      <c r="E36" s="33">
        <f>E34/E10</f>
        <v>0.55202594521942527</v>
      </c>
      <c r="F36" s="33">
        <f t="shared" ref="F36" si="14">F34/F10</f>
        <v>0.621</v>
      </c>
      <c r="G36" s="33">
        <f t="shared" ref="G36:L36" si="15">G34/G10</f>
        <v>0.69099999999999995</v>
      </c>
      <c r="H36" s="33">
        <f t="shared" si="15"/>
        <v>0.61199999999999999</v>
      </c>
      <c r="I36" s="33">
        <f t="shared" si="15"/>
        <v>0.52262399999999998</v>
      </c>
      <c r="J36" s="33">
        <f t="shared" si="15"/>
        <v>0.63749999999999996</v>
      </c>
      <c r="K36" s="33">
        <f t="shared" si="15"/>
        <v>0.63749999999999996</v>
      </c>
      <c r="L36" s="33">
        <f t="shared" si="15"/>
        <v>0.6</v>
      </c>
    </row>
    <row r="37" spans="1:12" ht="15.6" x14ac:dyDescent="0.2">
      <c r="A37" s="62" t="s">
        <v>71</v>
      </c>
      <c r="B37" s="33">
        <f t="shared" ref="B37:L37" si="16">(B34+B35)/B10</f>
        <v>1.6482872715572896</v>
      </c>
      <c r="C37" s="33">
        <f t="shared" si="16"/>
        <v>1.4870939999999999</v>
      </c>
      <c r="D37" s="33">
        <f t="shared" si="16"/>
        <v>1.6565669076430924</v>
      </c>
      <c r="E37" s="33">
        <f t="shared" si="16"/>
        <v>1.6098256618061049</v>
      </c>
      <c r="F37" s="33">
        <f t="shared" si="16"/>
        <v>1.6771</v>
      </c>
      <c r="G37" s="33">
        <f t="shared" si="16"/>
        <v>1.4910000000000001</v>
      </c>
      <c r="H37" s="33">
        <f t="shared" si="16"/>
        <v>1.5086999999999999</v>
      </c>
      <c r="I37" s="33">
        <f t="shared" si="16"/>
        <v>1.6070800000000001</v>
      </c>
      <c r="J37" s="33">
        <f t="shared" si="16"/>
        <v>1.4607330000000001</v>
      </c>
      <c r="K37" s="33">
        <f t="shared" si="16"/>
        <v>1.4675</v>
      </c>
      <c r="L37" s="33">
        <f t="shared" si="16"/>
        <v>1.56</v>
      </c>
    </row>
    <row r="38" spans="1:12" ht="15.6" x14ac:dyDescent="0.3">
      <c r="A38" s="398" t="s">
        <v>97</v>
      </c>
      <c r="B38" s="398"/>
      <c r="C38" s="398"/>
      <c r="D38" s="398"/>
      <c r="E38" s="398"/>
      <c r="F38" s="398"/>
      <c r="G38" s="398"/>
      <c r="H38" s="398"/>
      <c r="I38" s="398"/>
      <c r="J38" s="398"/>
      <c r="K38" s="398"/>
      <c r="L38" s="398"/>
    </row>
    <row r="39" spans="1:12" ht="15.6" x14ac:dyDescent="0.3">
      <c r="A39" s="399" t="s">
        <v>38</v>
      </c>
      <c r="B39" s="399"/>
      <c r="C39" s="399"/>
      <c r="D39" s="399"/>
      <c r="E39" s="399"/>
      <c r="F39" s="399"/>
      <c r="G39" s="399"/>
      <c r="H39" s="399"/>
      <c r="I39" s="399"/>
      <c r="J39" s="399"/>
      <c r="K39" s="399"/>
      <c r="L39" s="399"/>
    </row>
    <row r="40" spans="1:12" ht="15.6" x14ac:dyDescent="0.2">
      <c r="A40" s="27" t="s">
        <v>39</v>
      </c>
      <c r="B40" s="28">
        <v>1084734</v>
      </c>
      <c r="C40" s="28">
        <v>800000</v>
      </c>
      <c r="D40" s="28">
        <v>1080354</v>
      </c>
      <c r="E40" s="47">
        <v>1080450</v>
      </c>
      <c r="F40" s="29">
        <v>1050000</v>
      </c>
      <c r="G40" s="29">
        <v>800000</v>
      </c>
      <c r="H40" s="28">
        <v>1010000</v>
      </c>
      <c r="I40" s="28">
        <v>1050000</v>
      </c>
      <c r="J40" s="28">
        <v>800000</v>
      </c>
      <c r="K40" s="29">
        <v>800000</v>
      </c>
      <c r="L40" s="29">
        <v>1050000</v>
      </c>
    </row>
    <row r="41" spans="1:12" ht="15.6" x14ac:dyDescent="0.2">
      <c r="A41" s="27" t="s">
        <v>40</v>
      </c>
      <c r="B41" s="28">
        <v>1125290</v>
      </c>
      <c r="C41" s="28">
        <v>851300</v>
      </c>
      <c r="D41" s="28">
        <v>1110349</v>
      </c>
      <c r="E41" s="28">
        <v>1110448</v>
      </c>
      <c r="F41" s="29">
        <v>1142500</v>
      </c>
      <c r="G41" s="29">
        <v>853000</v>
      </c>
      <c r="H41" s="28">
        <v>1143300</v>
      </c>
      <c r="I41" s="29">
        <v>1634341</v>
      </c>
      <c r="J41" s="29">
        <v>1000001</v>
      </c>
      <c r="K41" s="29">
        <v>1050000</v>
      </c>
      <c r="L41" s="29">
        <v>1080000</v>
      </c>
    </row>
    <row r="42" spans="1:12" ht="15.6" x14ac:dyDescent="0.2">
      <c r="A42" s="32" t="s">
        <v>33</v>
      </c>
      <c r="B42" s="33">
        <f t="shared" ref="B42:L42" si="17">B40/B10</f>
        <v>1.085899604635616</v>
      </c>
      <c r="C42" s="33">
        <f t="shared" si="17"/>
        <v>0.8</v>
      </c>
      <c r="D42" s="33">
        <f t="shared" si="17"/>
        <v>1.0804993919981873</v>
      </c>
      <c r="E42" s="33">
        <f t="shared" si="17"/>
        <v>1.0805007835368263</v>
      </c>
      <c r="F42" s="33">
        <f t="shared" si="17"/>
        <v>1.05</v>
      </c>
      <c r="G42" s="33">
        <f t="shared" si="17"/>
        <v>0.8</v>
      </c>
      <c r="H42" s="33">
        <f t="shared" si="17"/>
        <v>1.01</v>
      </c>
      <c r="I42" s="33">
        <f t="shared" si="17"/>
        <v>1.05</v>
      </c>
      <c r="J42" s="33">
        <f t="shared" si="17"/>
        <v>0.8</v>
      </c>
      <c r="K42" s="33">
        <f t="shared" si="17"/>
        <v>0.8</v>
      </c>
      <c r="L42" s="33">
        <f t="shared" si="17"/>
        <v>1.05</v>
      </c>
    </row>
    <row r="43" spans="1:12" ht="15.6" x14ac:dyDescent="0.2">
      <c r="A43" s="32" t="s">
        <v>37</v>
      </c>
      <c r="B43" s="33">
        <f t="shared" ref="B43:K43" si="18">B41/B10</f>
        <v>1.1264991842243464</v>
      </c>
      <c r="C43" s="33">
        <f t="shared" si="18"/>
        <v>0.85129999999999995</v>
      </c>
      <c r="D43" s="33">
        <f t="shared" si="18"/>
        <v>1.1104984286685617</v>
      </c>
      <c r="E43" s="33">
        <f t="shared" si="18"/>
        <v>1.110500193509095</v>
      </c>
      <c r="F43" s="33">
        <f t="shared" si="18"/>
        <v>1.1425000000000001</v>
      </c>
      <c r="G43" s="33">
        <f t="shared" si="18"/>
        <v>0.85299999999999998</v>
      </c>
      <c r="H43" s="33">
        <f t="shared" si="18"/>
        <v>1.1433</v>
      </c>
      <c r="I43" s="33">
        <f t="shared" si="18"/>
        <v>1.634341</v>
      </c>
      <c r="J43" s="33">
        <f t="shared" si="18"/>
        <v>1.0000009999999999</v>
      </c>
      <c r="K43" s="33">
        <f t="shared" si="18"/>
        <v>1.05</v>
      </c>
      <c r="L43" s="33">
        <f>L41/L10</f>
        <v>1.08</v>
      </c>
    </row>
    <row r="44" spans="1:12" ht="15.6" x14ac:dyDescent="0.2">
      <c r="A44" s="392" t="s">
        <v>75</v>
      </c>
      <c r="B44" s="393"/>
      <c r="C44" s="393"/>
      <c r="D44" s="393"/>
      <c r="E44" s="393"/>
      <c r="F44" s="393"/>
      <c r="G44" s="393"/>
      <c r="H44" s="393"/>
      <c r="I44" s="393"/>
      <c r="J44" s="393"/>
      <c r="K44" s="393"/>
      <c r="L44" s="393"/>
    </row>
    <row r="45" spans="1:12" ht="15.6" x14ac:dyDescent="0.2">
      <c r="A45" s="45" t="s">
        <v>41</v>
      </c>
      <c r="B45" s="46">
        <f>38*B13</f>
        <v>528352</v>
      </c>
      <c r="C45" s="47">
        <v>515198</v>
      </c>
      <c r="D45" s="47">
        <v>203328</v>
      </c>
      <c r="E45" s="46">
        <v>372600</v>
      </c>
      <c r="F45" s="29">
        <v>551000</v>
      </c>
      <c r="G45" s="46">
        <v>546000</v>
      </c>
      <c r="H45" s="47">
        <v>190000</v>
      </c>
      <c r="I45" s="46">
        <f>36*I13</f>
        <v>446688</v>
      </c>
      <c r="J45" s="46">
        <v>460032</v>
      </c>
      <c r="K45" s="46">
        <v>483960</v>
      </c>
      <c r="L45" s="46">
        <v>311040</v>
      </c>
    </row>
    <row r="46" spans="1:12" ht="15.6" x14ac:dyDescent="0.2">
      <c r="A46" s="20" t="s">
        <v>69</v>
      </c>
      <c r="B46" s="28">
        <v>1084734</v>
      </c>
      <c r="C46" s="28">
        <v>800000</v>
      </c>
      <c r="D46" s="28">
        <v>1080354</v>
      </c>
      <c r="E46" s="47">
        <v>1080450</v>
      </c>
      <c r="F46" s="29">
        <v>1050000</v>
      </c>
      <c r="G46" s="29">
        <v>800000</v>
      </c>
      <c r="H46" s="28">
        <v>800000</v>
      </c>
      <c r="I46" s="26">
        <v>800000</v>
      </c>
      <c r="J46" s="26">
        <v>800000</v>
      </c>
      <c r="K46" s="29">
        <v>800000</v>
      </c>
      <c r="L46" s="29">
        <v>800000</v>
      </c>
    </row>
    <row r="47" spans="1:12" ht="15.6" x14ac:dyDescent="0.2">
      <c r="A47" s="34" t="s">
        <v>34</v>
      </c>
      <c r="B47" s="33">
        <f t="shared" ref="B47:L47" si="19">B45/B10</f>
        <v>0.52891974245154749</v>
      </c>
      <c r="C47" s="33">
        <f t="shared" si="19"/>
        <v>0.51519800000000004</v>
      </c>
      <c r="D47" s="33">
        <f t="shared" si="19"/>
        <v>0.20335536349771227</v>
      </c>
      <c r="E47" s="33">
        <f t="shared" si="19"/>
        <v>0.37261751302311208</v>
      </c>
      <c r="F47" s="33">
        <f t="shared" si="19"/>
        <v>0.55100000000000005</v>
      </c>
      <c r="G47" s="33">
        <f t="shared" si="19"/>
        <v>0.54600000000000004</v>
      </c>
      <c r="H47" s="33">
        <f t="shared" si="19"/>
        <v>0.19</v>
      </c>
      <c r="I47" s="33">
        <f t="shared" si="19"/>
        <v>0.44668799999999997</v>
      </c>
      <c r="J47" s="33">
        <f t="shared" si="19"/>
        <v>0.460032</v>
      </c>
      <c r="K47" s="33">
        <f t="shared" si="19"/>
        <v>0.48396</v>
      </c>
      <c r="L47" s="33">
        <f t="shared" si="19"/>
        <v>0.31103999999999998</v>
      </c>
    </row>
    <row r="48" spans="1:12" ht="15.6" x14ac:dyDescent="0.2">
      <c r="A48" s="34" t="s">
        <v>70</v>
      </c>
      <c r="B48" s="33">
        <f t="shared" ref="B48:L48" si="20">(B45+B46)/B10</f>
        <v>1.6148193470871635</v>
      </c>
      <c r="C48" s="33">
        <f t="shared" si="20"/>
        <v>1.3151980000000001</v>
      </c>
      <c r="D48" s="33">
        <f t="shared" si="20"/>
        <v>1.2838547554958997</v>
      </c>
      <c r="E48" s="33">
        <f t="shared" si="20"/>
        <v>1.4531182965599383</v>
      </c>
      <c r="F48" s="33">
        <f t="shared" si="20"/>
        <v>1.601</v>
      </c>
      <c r="G48" s="33">
        <f t="shared" si="20"/>
        <v>1.3460000000000001</v>
      </c>
      <c r="H48" s="33">
        <f t="shared" si="20"/>
        <v>0.99</v>
      </c>
      <c r="I48" s="33">
        <f t="shared" si="20"/>
        <v>1.246688</v>
      </c>
      <c r="J48" s="33">
        <f t="shared" si="20"/>
        <v>1.260032</v>
      </c>
      <c r="K48" s="33">
        <f t="shared" si="20"/>
        <v>1.28396</v>
      </c>
      <c r="L48" s="33">
        <f t="shared" si="20"/>
        <v>1.11104</v>
      </c>
    </row>
    <row r="49" spans="1:12" ht="15.6" x14ac:dyDescent="0.2">
      <c r="A49" s="392" t="s">
        <v>76</v>
      </c>
      <c r="B49" s="393"/>
      <c r="C49" s="393"/>
      <c r="D49" s="393"/>
      <c r="E49" s="393"/>
      <c r="F49" s="393"/>
      <c r="G49" s="393"/>
      <c r="H49" s="393"/>
      <c r="I49" s="393"/>
      <c r="J49" s="393"/>
      <c r="K49" s="393"/>
      <c r="L49" s="393"/>
    </row>
    <row r="50" spans="1:12" ht="15.6" x14ac:dyDescent="0.2">
      <c r="A50" s="15" t="s">
        <v>72</v>
      </c>
      <c r="B50" s="52">
        <f>(20*32864)+(18*36024)</f>
        <v>1305712</v>
      </c>
      <c r="C50" s="28">
        <v>1394174</v>
      </c>
      <c r="D50" s="28">
        <f>D45/D13*D14</f>
        <v>1347048</v>
      </c>
      <c r="E50" s="52">
        <v>1242000</v>
      </c>
      <c r="F50" s="29">
        <f>2450503-1088303</f>
        <v>1362200</v>
      </c>
      <c r="G50" s="29">
        <v>1431000</v>
      </c>
      <c r="H50" s="28">
        <v>1292000</v>
      </c>
      <c r="I50" s="29">
        <f>36*I14</f>
        <v>1175904</v>
      </c>
      <c r="J50" s="29">
        <v>1327500</v>
      </c>
      <c r="K50" s="29">
        <v>1387500</v>
      </c>
      <c r="L50" s="29">
        <v>1350000</v>
      </c>
    </row>
    <row r="51" spans="1:12" ht="15.6" x14ac:dyDescent="0.2">
      <c r="A51" s="20" t="s">
        <v>42</v>
      </c>
      <c r="B51" s="28">
        <v>1125290</v>
      </c>
      <c r="C51" s="28">
        <v>848800</v>
      </c>
      <c r="D51" s="28">
        <v>1110349</v>
      </c>
      <c r="E51" s="28">
        <v>1110448</v>
      </c>
      <c r="F51" s="29">
        <v>1100000</v>
      </c>
      <c r="G51" s="29">
        <v>853000</v>
      </c>
      <c r="H51" s="28">
        <v>1034800</v>
      </c>
      <c r="I51" s="22">
        <v>1628980</v>
      </c>
      <c r="J51" s="29">
        <v>1000001</v>
      </c>
      <c r="K51" s="29">
        <v>1050000</v>
      </c>
      <c r="L51" s="29">
        <v>1060000</v>
      </c>
    </row>
    <row r="52" spans="1:12" ht="15.6" x14ac:dyDescent="0.2">
      <c r="A52" s="34" t="s">
        <v>43</v>
      </c>
      <c r="B52" s="33">
        <f t="shared" ref="B52:L52" si="21">B50/B10</f>
        <v>1.3071150573025085</v>
      </c>
      <c r="C52" s="33">
        <f t="shared" si="21"/>
        <v>1.394174</v>
      </c>
      <c r="D52" s="33">
        <f t="shared" si="21"/>
        <v>1.3472292831723438</v>
      </c>
      <c r="E52" s="33">
        <f t="shared" si="21"/>
        <v>1.242058376743707</v>
      </c>
      <c r="F52" s="33">
        <f t="shared" si="21"/>
        <v>1.3622000000000001</v>
      </c>
      <c r="G52" s="33">
        <f t="shared" si="21"/>
        <v>1.431</v>
      </c>
      <c r="H52" s="33">
        <f t="shared" si="21"/>
        <v>1.292</v>
      </c>
      <c r="I52" s="33">
        <f t="shared" si="21"/>
        <v>1.1759040000000001</v>
      </c>
      <c r="J52" s="33">
        <f t="shared" si="21"/>
        <v>1.3274999999999999</v>
      </c>
      <c r="K52" s="33">
        <f t="shared" si="21"/>
        <v>1.3875</v>
      </c>
      <c r="L52" s="33">
        <f t="shared" si="21"/>
        <v>1.35</v>
      </c>
    </row>
    <row r="53" spans="1:12" ht="15.6" x14ac:dyDescent="0.2">
      <c r="A53" s="34" t="s">
        <v>71</v>
      </c>
      <c r="B53" s="33">
        <f t="shared" ref="B53:L53" si="22">(B51+B50)/B10</f>
        <v>2.4336142415268549</v>
      </c>
      <c r="C53" s="33">
        <f t="shared" si="22"/>
        <v>2.2429739999999998</v>
      </c>
      <c r="D53" s="33">
        <f t="shared" si="22"/>
        <v>2.4577277118409055</v>
      </c>
      <c r="E53" s="33">
        <f t="shared" si="22"/>
        <v>2.352558570252802</v>
      </c>
      <c r="F53" s="33">
        <f t="shared" si="22"/>
        <v>2.4622000000000002</v>
      </c>
      <c r="G53" s="33">
        <f t="shared" si="22"/>
        <v>2.2839999999999998</v>
      </c>
      <c r="H53" s="33">
        <f t="shared" si="22"/>
        <v>2.3268</v>
      </c>
      <c r="I53" s="33">
        <f t="shared" si="22"/>
        <v>2.8048839999999999</v>
      </c>
      <c r="J53" s="33">
        <f t="shared" si="22"/>
        <v>2.3275009999999998</v>
      </c>
      <c r="K53" s="33">
        <f t="shared" si="22"/>
        <v>2.4375</v>
      </c>
      <c r="L53" s="33">
        <f t="shared" si="22"/>
        <v>2.41</v>
      </c>
    </row>
  </sheetData>
  <sheetProtection algorithmName="SHA-512" hashValue="0iVsbsgQ30ALMDbdZVtbivyQSNPcKD9NCTIT4kKGhJheAzx1iStGy97+IaHdiNz4hEkQlmHIAlHmcqySTR4PxQ==" saltValue="DL0i92oC0t4JtKJoWyyDHA==" spinCount="100000" sheet="1" objects="1" scenarios="1"/>
  <mergeCells count="9">
    <mergeCell ref="A1:L2"/>
    <mergeCell ref="A23:L23"/>
    <mergeCell ref="A28:L28"/>
    <mergeCell ref="A49:L49"/>
    <mergeCell ref="A33:L33"/>
    <mergeCell ref="A38:L38"/>
    <mergeCell ref="A39:L39"/>
    <mergeCell ref="A44:L44"/>
    <mergeCell ref="A22:L22"/>
  </mergeCells>
  <conditionalFormatting sqref="B26:L26">
    <cfRule type="top10" dxfId="51" priority="921" rank="1"/>
  </conditionalFormatting>
  <conditionalFormatting sqref="B27:L27">
    <cfRule type="top10" dxfId="50" priority="922" rank="1"/>
  </conditionalFormatting>
  <conditionalFormatting sqref="B31:L31">
    <cfRule type="top10" dxfId="49" priority="923" rank="1"/>
  </conditionalFormatting>
  <conditionalFormatting sqref="B32:L32">
    <cfRule type="top10" dxfId="48" priority="924" rank="1"/>
  </conditionalFormatting>
  <conditionalFormatting sqref="B36:L36">
    <cfRule type="top10" dxfId="47" priority="925" rank="1"/>
  </conditionalFormatting>
  <conditionalFormatting sqref="B37:L37">
    <cfRule type="top10" dxfId="46" priority="926" rank="1"/>
  </conditionalFormatting>
  <conditionalFormatting sqref="B42:L42">
    <cfRule type="top10" dxfId="45" priority="927" rank="1"/>
  </conditionalFormatting>
  <conditionalFormatting sqref="B43:L43">
    <cfRule type="top10" dxfId="44" priority="928" rank="1"/>
  </conditionalFormatting>
  <conditionalFormatting sqref="B47:L47">
    <cfRule type="top10" dxfId="43" priority="929" rank="1"/>
  </conditionalFormatting>
  <conditionalFormatting sqref="B48:L48">
    <cfRule type="top10" dxfId="42" priority="930" rank="1"/>
  </conditionalFormatting>
  <conditionalFormatting sqref="B52:L52">
    <cfRule type="top10" dxfId="41" priority="931" rank="1"/>
  </conditionalFormatting>
  <conditionalFormatting sqref="B53:L53">
    <cfRule type="top10" dxfId="40" priority="932" rank="1"/>
  </conditionalFormatting>
  <pageMargins left="0.7" right="0.7" top="0.75" bottom="0.75" header="0.3" footer="0.3"/>
  <pageSetup paperSize="9" scale="42" orientation="landscape" horizontalDpi="90" verticalDpi="90" r:id="rId1"/>
  <headerFooter>
    <oddFooter>&amp;L_x000D_&amp;1#&amp;"Calibri"&amp;8&amp;K0000FF Internal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1D8A-4F18-4972-A733-68B3D63C13A3}">
  <sheetPr codeName="Sheet11">
    <tabColor rgb="FFFFC000"/>
    <pageSetUpPr fitToPage="1"/>
  </sheetPr>
  <dimension ref="A1:L53"/>
  <sheetViews>
    <sheetView showGridLines="0" zoomScale="55" zoomScaleNormal="55" zoomScaleSheetLayoutView="100" workbookViewId="0">
      <pane xSplit="1" ySplit="7" topLeftCell="B15" activePane="bottomRight" state="frozen"/>
      <selection pane="topRight" activeCell="B1" sqref="B1"/>
      <selection pane="bottomLeft" activeCell="A8" sqref="A8"/>
      <selection pane="bottomRight" activeCell="A22" sqref="A22:K22"/>
    </sheetView>
  </sheetViews>
  <sheetFormatPr defaultColWidth="9.21875" defaultRowHeight="15.6" x14ac:dyDescent="0.3"/>
  <cols>
    <col min="1" max="1" width="50" style="11" customWidth="1"/>
    <col min="2" max="3" width="49.21875" style="11" customWidth="1"/>
    <col min="4" max="4" width="40.21875" style="11" customWidth="1"/>
    <col min="5" max="5" width="34.21875" style="11" bestFit="1" customWidth="1"/>
    <col min="6" max="6" width="34.21875" style="11" customWidth="1"/>
    <col min="7" max="7" width="33.5546875" style="11" bestFit="1" customWidth="1"/>
    <col min="8" max="8" width="36.5546875" style="11" bestFit="1" customWidth="1"/>
    <col min="9" max="9" width="36.77734375" style="11" customWidth="1"/>
    <col min="10" max="11" width="35.21875" style="11" bestFit="1" customWidth="1"/>
    <col min="12" max="12" width="4.77734375" style="11" customWidth="1"/>
    <col min="13" max="16384" width="9.21875" style="11"/>
  </cols>
  <sheetData>
    <row r="1" spans="1:12" ht="15" customHeight="1" x14ac:dyDescent="0.3">
      <c r="A1" s="396" t="s">
        <v>15</v>
      </c>
      <c r="B1" s="396"/>
      <c r="C1" s="396"/>
      <c r="D1" s="396"/>
      <c r="E1" s="396"/>
      <c r="F1" s="396"/>
      <c r="G1" s="396"/>
      <c r="H1" s="396"/>
      <c r="I1" s="396"/>
      <c r="J1" s="396"/>
      <c r="K1" s="396"/>
      <c r="L1" s="396"/>
    </row>
    <row r="2" spans="1:12" x14ac:dyDescent="0.3">
      <c r="A2" s="396"/>
      <c r="B2" s="396"/>
      <c r="C2" s="396"/>
      <c r="D2" s="396"/>
      <c r="E2" s="396"/>
      <c r="F2" s="396"/>
      <c r="G2" s="396"/>
      <c r="H2" s="396"/>
      <c r="I2" s="396"/>
      <c r="J2" s="396"/>
      <c r="K2" s="396"/>
      <c r="L2" s="396"/>
    </row>
    <row r="3" spans="1:12" ht="15.75" customHeight="1" x14ac:dyDescent="0.3">
      <c r="A3" s="12" t="s">
        <v>78</v>
      </c>
      <c r="B3" s="12"/>
      <c r="C3" s="12"/>
      <c r="D3" s="12"/>
      <c r="G3" s="12"/>
    </row>
    <row r="4" spans="1:12" x14ac:dyDescent="0.3">
      <c r="A4" s="174" t="s">
        <v>361</v>
      </c>
      <c r="B4" s="12"/>
      <c r="C4" s="12"/>
      <c r="D4" s="12"/>
      <c r="G4" s="12"/>
    </row>
    <row r="5" spans="1:12" ht="20.25" customHeight="1" thickBot="1" x14ac:dyDescent="0.35">
      <c r="A5" s="12" t="s">
        <v>23</v>
      </c>
      <c r="B5" s="12"/>
      <c r="C5" s="12"/>
      <c r="D5" s="12"/>
      <c r="G5" s="12"/>
    </row>
    <row r="6" spans="1:12" x14ac:dyDescent="0.3">
      <c r="A6" s="410"/>
      <c r="B6" s="245" t="s">
        <v>147</v>
      </c>
      <c r="C6" s="245" t="s">
        <v>147</v>
      </c>
      <c r="D6" s="245" t="s">
        <v>240</v>
      </c>
      <c r="E6" s="236" t="s">
        <v>60</v>
      </c>
      <c r="F6" s="236" t="s">
        <v>100</v>
      </c>
      <c r="G6" s="236" t="s">
        <v>100</v>
      </c>
      <c r="H6" s="236" t="s">
        <v>28</v>
      </c>
      <c r="I6" s="236" t="s">
        <v>28</v>
      </c>
      <c r="J6" s="236" t="s">
        <v>148</v>
      </c>
      <c r="K6" s="237" t="s">
        <v>148</v>
      </c>
      <c r="L6" s="13"/>
    </row>
    <row r="7" spans="1:12" ht="46.8" customHeight="1" thickBot="1" x14ac:dyDescent="0.35">
      <c r="A7" s="411"/>
      <c r="B7" s="246" t="s">
        <v>334</v>
      </c>
      <c r="C7" s="246" t="s">
        <v>210</v>
      </c>
      <c r="D7" s="246" t="s">
        <v>262</v>
      </c>
      <c r="E7" s="239" t="s">
        <v>388</v>
      </c>
      <c r="F7" s="239" t="s">
        <v>294</v>
      </c>
      <c r="G7" s="239" t="s">
        <v>101</v>
      </c>
      <c r="H7" s="239" t="s">
        <v>64</v>
      </c>
      <c r="I7" s="239" t="s">
        <v>335</v>
      </c>
      <c r="J7" s="239" t="s">
        <v>433</v>
      </c>
      <c r="K7" s="240" t="s">
        <v>211</v>
      </c>
      <c r="L7" s="14"/>
    </row>
    <row r="8" spans="1:12" ht="16.5" customHeight="1" x14ac:dyDescent="0.3">
      <c r="A8" s="15" t="s">
        <v>19</v>
      </c>
      <c r="B8" s="16">
        <v>4.2500000000000003E-2</v>
      </c>
      <c r="C8" s="16">
        <v>4.2500000000000003E-2</v>
      </c>
      <c r="D8" s="167">
        <v>4.2500000000000003E-2</v>
      </c>
      <c r="E8" s="16">
        <v>4.2500000000000003E-2</v>
      </c>
      <c r="F8" s="16">
        <v>4.2500000000000003E-2</v>
      </c>
      <c r="G8" s="16">
        <v>4.2500000000000003E-2</v>
      </c>
      <c r="H8" s="16">
        <v>4.2500000000000003E-2</v>
      </c>
      <c r="I8" s="16">
        <v>4.2500000000000003E-2</v>
      </c>
      <c r="J8" s="16">
        <v>4.2500000000000003E-2</v>
      </c>
      <c r="K8" s="16">
        <v>4.2500000000000003E-2</v>
      </c>
      <c r="L8" s="17"/>
    </row>
    <row r="9" spans="1:12" ht="21" customHeight="1" x14ac:dyDescent="0.3">
      <c r="A9" s="18" t="s">
        <v>16</v>
      </c>
      <c r="B9" s="49" t="s">
        <v>79</v>
      </c>
      <c r="C9" s="49" t="s">
        <v>79</v>
      </c>
      <c r="D9" s="49" t="s">
        <v>80</v>
      </c>
      <c r="E9" s="49" t="s">
        <v>79</v>
      </c>
      <c r="F9" s="49" t="s">
        <v>79</v>
      </c>
      <c r="G9" s="49" t="s">
        <v>79</v>
      </c>
      <c r="H9" s="49" t="s">
        <v>80</v>
      </c>
      <c r="I9" s="49" t="s">
        <v>80</v>
      </c>
      <c r="J9" s="49" t="s">
        <v>80</v>
      </c>
      <c r="K9" s="49" t="s">
        <v>80</v>
      </c>
      <c r="L9" s="19"/>
    </row>
    <row r="10" spans="1:12" x14ac:dyDescent="0.3">
      <c r="A10" s="20" t="s">
        <v>29</v>
      </c>
      <c r="B10" s="53">
        <v>199995</v>
      </c>
      <c r="C10" s="35">
        <v>200000</v>
      </c>
      <c r="D10" s="35">
        <v>199904.76</v>
      </c>
      <c r="E10" s="35">
        <v>200000</v>
      </c>
      <c r="F10" s="35">
        <v>200000</v>
      </c>
      <c r="G10" s="35">
        <v>200000</v>
      </c>
      <c r="H10" s="35">
        <v>200000</v>
      </c>
      <c r="I10" s="35">
        <v>200000</v>
      </c>
      <c r="J10" s="35">
        <v>200000</v>
      </c>
      <c r="K10" s="35">
        <v>200000</v>
      </c>
      <c r="L10" s="19"/>
    </row>
    <row r="11" spans="1:12" x14ac:dyDescent="0.3">
      <c r="A11" s="20" t="s">
        <v>24</v>
      </c>
      <c r="B11" s="35">
        <v>125000</v>
      </c>
      <c r="C11" s="35">
        <v>200000</v>
      </c>
      <c r="D11" s="35">
        <v>132000</v>
      </c>
      <c r="E11" s="37" t="s">
        <v>88</v>
      </c>
      <c r="F11" s="28">
        <v>202000</v>
      </c>
      <c r="G11" s="28" t="s">
        <v>88</v>
      </c>
      <c r="H11" s="35">
        <v>200000</v>
      </c>
      <c r="I11" s="35">
        <v>200000</v>
      </c>
      <c r="J11" s="37" t="s">
        <v>88</v>
      </c>
      <c r="K11" s="37" t="s">
        <v>88</v>
      </c>
      <c r="L11" s="19"/>
    </row>
    <row r="12" spans="1:12" ht="15" customHeight="1" x14ac:dyDescent="0.3">
      <c r="A12" s="20" t="s">
        <v>17</v>
      </c>
      <c r="B12" s="21" t="s">
        <v>103</v>
      </c>
      <c r="C12" s="21" t="s">
        <v>226</v>
      </c>
      <c r="D12" s="21" t="s">
        <v>93</v>
      </c>
      <c r="E12" s="21" t="s">
        <v>408</v>
      </c>
      <c r="F12" s="77" t="s">
        <v>311</v>
      </c>
      <c r="G12" s="21" t="s">
        <v>314</v>
      </c>
      <c r="H12" s="21" t="s">
        <v>93</v>
      </c>
      <c r="I12" s="21" t="s">
        <v>126</v>
      </c>
      <c r="J12" s="21" t="s">
        <v>170</v>
      </c>
      <c r="K12" s="77" t="s">
        <v>227</v>
      </c>
      <c r="L12" s="19"/>
    </row>
    <row r="13" spans="1:12" ht="70.8" customHeight="1" x14ac:dyDescent="0.3">
      <c r="A13" s="23" t="s">
        <v>18</v>
      </c>
      <c r="B13" s="35">
        <v>2750</v>
      </c>
      <c r="C13" s="53" t="s">
        <v>366</v>
      </c>
      <c r="D13" s="53">
        <v>1056</v>
      </c>
      <c r="E13" s="24">
        <v>2800</v>
      </c>
      <c r="F13" s="24">
        <v>2800</v>
      </c>
      <c r="G13" s="35">
        <v>1000</v>
      </c>
      <c r="H13" s="53">
        <v>2482</v>
      </c>
      <c r="I13" s="91" t="s">
        <v>373</v>
      </c>
      <c r="J13" s="24">
        <v>2616</v>
      </c>
      <c r="K13" s="24">
        <v>1728</v>
      </c>
      <c r="L13" s="25"/>
    </row>
    <row r="14" spans="1:12" ht="90.45" customHeight="1" x14ac:dyDescent="0.3">
      <c r="A14" s="23" t="s">
        <v>26</v>
      </c>
      <c r="B14" s="161" t="s">
        <v>367</v>
      </c>
      <c r="C14" s="53" t="s">
        <v>365</v>
      </c>
      <c r="D14" s="24">
        <v>6996</v>
      </c>
      <c r="E14" s="164" t="s">
        <v>447</v>
      </c>
      <c r="F14" s="164" t="s">
        <v>372</v>
      </c>
      <c r="G14" s="35">
        <v>6800</v>
      </c>
      <c r="H14" s="35">
        <v>6533</v>
      </c>
      <c r="I14" s="91" t="s">
        <v>375</v>
      </c>
      <c r="J14" s="24">
        <v>7500</v>
      </c>
      <c r="K14" s="24">
        <v>7500</v>
      </c>
      <c r="L14" s="25"/>
    </row>
    <row r="15" spans="1:12" s="31" customFormat="1" ht="72" customHeight="1" x14ac:dyDescent="0.3">
      <c r="A15" s="42" t="s">
        <v>31</v>
      </c>
      <c r="B15" s="59">
        <f t="shared" ref="B15" si="0">B13/B10</f>
        <v>1.3750343758593965E-2</v>
      </c>
      <c r="C15" s="50" t="s">
        <v>236</v>
      </c>
      <c r="D15" s="44">
        <f t="shared" ref="D15:H15" si="1">D13/D10</f>
        <v>5.2825155338972413E-3</v>
      </c>
      <c r="E15" s="44">
        <f t="shared" si="1"/>
        <v>1.4E-2</v>
      </c>
      <c r="F15" s="44">
        <f>F13/F10</f>
        <v>1.4E-2</v>
      </c>
      <c r="G15" s="50">
        <f t="shared" si="1"/>
        <v>5.0000000000000001E-3</v>
      </c>
      <c r="H15" s="44">
        <f t="shared" si="1"/>
        <v>1.2409999999999999E-2</v>
      </c>
      <c r="I15" s="92" t="s">
        <v>374</v>
      </c>
      <c r="J15" s="44">
        <f>J13/J10</f>
        <v>1.308E-2</v>
      </c>
      <c r="K15" s="44">
        <f>K13/K10</f>
        <v>8.6400000000000001E-3</v>
      </c>
      <c r="L15" s="30"/>
    </row>
    <row r="16" spans="1:12" s="31" customFormat="1" ht="72" customHeight="1" x14ac:dyDescent="0.3">
      <c r="A16" s="42" t="s">
        <v>59</v>
      </c>
      <c r="B16" s="163" t="s">
        <v>448</v>
      </c>
      <c r="C16" s="50" t="s">
        <v>292</v>
      </c>
      <c r="D16" s="50">
        <f t="shared" ref="D16" si="2">D14/D10</f>
        <v>3.4996665412069229E-2</v>
      </c>
      <c r="E16" s="50" t="s">
        <v>409</v>
      </c>
      <c r="F16" s="50" t="s">
        <v>305</v>
      </c>
      <c r="G16" s="50">
        <f>G14/G10</f>
        <v>3.4000000000000002E-2</v>
      </c>
      <c r="H16" s="50">
        <f t="shared" ref="H16:K16" si="3">H14/H10</f>
        <v>3.2665E-2</v>
      </c>
      <c r="I16" s="50" t="s">
        <v>342</v>
      </c>
      <c r="J16" s="59">
        <f t="shared" ref="J16" si="4">J14/J10</f>
        <v>3.7499999999999999E-2</v>
      </c>
      <c r="K16" s="59">
        <f t="shared" si="3"/>
        <v>3.7499999999999999E-2</v>
      </c>
      <c r="L16" s="30"/>
    </row>
    <row r="17" spans="1:12" ht="25.35" customHeight="1" x14ac:dyDescent="0.3">
      <c r="A17" s="23" t="s">
        <v>105</v>
      </c>
      <c r="B17" s="35">
        <v>159996</v>
      </c>
      <c r="C17" s="35">
        <v>160000</v>
      </c>
      <c r="D17" s="35">
        <v>159923</v>
      </c>
      <c r="E17" s="24">
        <v>160000</v>
      </c>
      <c r="F17" s="35">
        <v>160000</v>
      </c>
      <c r="G17" s="35">
        <v>160000</v>
      </c>
      <c r="H17" s="35">
        <v>160000</v>
      </c>
      <c r="I17" s="35">
        <v>160000</v>
      </c>
      <c r="J17" s="35">
        <v>160000</v>
      </c>
      <c r="K17" s="35">
        <v>160000</v>
      </c>
      <c r="L17" s="25"/>
    </row>
    <row r="18" spans="1:12" s="31" customFormat="1" ht="42.6" customHeight="1" x14ac:dyDescent="0.3">
      <c r="A18" s="42" t="s">
        <v>107</v>
      </c>
      <c r="B18" s="51">
        <f t="shared" ref="B18:K18" si="5">B17/B10</f>
        <v>0.8</v>
      </c>
      <c r="C18" s="51">
        <v>0.8</v>
      </c>
      <c r="D18" s="43">
        <f t="shared" si="5"/>
        <v>0.79999595807523538</v>
      </c>
      <c r="E18" s="43">
        <f t="shared" si="5"/>
        <v>0.8</v>
      </c>
      <c r="F18" s="51">
        <f t="shared" si="5"/>
        <v>0.8</v>
      </c>
      <c r="G18" s="51">
        <f t="shared" si="5"/>
        <v>0.8</v>
      </c>
      <c r="H18" s="43">
        <f t="shared" si="5"/>
        <v>0.8</v>
      </c>
      <c r="I18" s="43">
        <f>I17/I10</f>
        <v>0.8</v>
      </c>
      <c r="J18" s="43">
        <f t="shared" ref="J18" si="6">J17/J10</f>
        <v>0.8</v>
      </c>
      <c r="K18" s="43">
        <f t="shared" si="5"/>
        <v>0.8</v>
      </c>
      <c r="L18" s="30"/>
    </row>
    <row r="19" spans="1:12" s="31" customFormat="1" ht="59.55" customHeight="1" x14ac:dyDescent="0.3">
      <c r="A19" s="34" t="s">
        <v>25</v>
      </c>
      <c r="B19" s="156" t="s">
        <v>276</v>
      </c>
      <c r="C19" s="119" t="s">
        <v>223</v>
      </c>
      <c r="D19" s="78" t="s">
        <v>77</v>
      </c>
      <c r="E19" s="156" t="s">
        <v>276</v>
      </c>
      <c r="F19" s="78" t="s">
        <v>306</v>
      </c>
      <c r="G19" s="78" t="s">
        <v>104</v>
      </c>
      <c r="H19" s="41" t="s">
        <v>85</v>
      </c>
      <c r="I19" s="41" t="s">
        <v>125</v>
      </c>
      <c r="J19" s="41" t="s">
        <v>89</v>
      </c>
      <c r="K19" s="41" t="s">
        <v>230</v>
      </c>
      <c r="L19" s="30"/>
    </row>
    <row r="20" spans="1:12" ht="36.6" customHeight="1" x14ac:dyDescent="0.3">
      <c r="A20" s="36" t="s">
        <v>30</v>
      </c>
      <c r="B20" s="28">
        <v>201994</v>
      </c>
      <c r="C20" s="28">
        <v>202000</v>
      </c>
      <c r="D20" s="28">
        <v>201903</v>
      </c>
      <c r="E20" s="28">
        <v>210000</v>
      </c>
      <c r="F20" s="28">
        <v>202000</v>
      </c>
      <c r="G20" s="28">
        <v>202000</v>
      </c>
      <c r="H20" s="28">
        <v>210000</v>
      </c>
      <c r="I20" s="28">
        <v>210000</v>
      </c>
      <c r="J20" s="28">
        <v>210000</v>
      </c>
      <c r="K20" s="28">
        <v>210000</v>
      </c>
      <c r="L20" s="25"/>
    </row>
    <row r="21" spans="1:12" ht="41.55" customHeight="1" x14ac:dyDescent="0.3">
      <c r="A21" s="32" t="s">
        <v>32</v>
      </c>
      <c r="B21" s="33">
        <f t="shared" ref="B21:K21" si="7">B20/B10</f>
        <v>1.009995249881247</v>
      </c>
      <c r="C21" s="33">
        <f t="shared" si="7"/>
        <v>1.01</v>
      </c>
      <c r="D21" s="33">
        <f t="shared" si="7"/>
        <v>1.0099959600761883</v>
      </c>
      <c r="E21" s="33">
        <f t="shared" si="7"/>
        <v>1.05</v>
      </c>
      <c r="F21" s="33">
        <f t="shared" si="7"/>
        <v>1.01</v>
      </c>
      <c r="G21" s="33">
        <f t="shared" si="7"/>
        <v>1.01</v>
      </c>
      <c r="H21" s="33">
        <f t="shared" si="7"/>
        <v>1.05</v>
      </c>
      <c r="I21" s="33">
        <f t="shared" si="7"/>
        <v>1.05</v>
      </c>
      <c r="J21" s="33">
        <f t="shared" si="7"/>
        <v>1.05</v>
      </c>
      <c r="K21" s="33">
        <f t="shared" si="7"/>
        <v>1.05</v>
      </c>
      <c r="L21" s="25"/>
    </row>
    <row r="22" spans="1:12" ht="20.55" customHeight="1" x14ac:dyDescent="0.3">
      <c r="A22" s="413" t="s">
        <v>84</v>
      </c>
      <c r="B22" s="414"/>
      <c r="C22" s="414"/>
      <c r="D22" s="414"/>
      <c r="E22" s="414"/>
      <c r="F22" s="414"/>
      <c r="G22" s="414"/>
      <c r="H22" s="414"/>
      <c r="I22" s="414"/>
      <c r="J22" s="414"/>
      <c r="K22" s="414"/>
      <c r="L22" s="25"/>
    </row>
    <row r="23" spans="1:12" ht="22.5" customHeight="1" x14ac:dyDescent="0.3">
      <c r="A23" s="68" t="s">
        <v>38</v>
      </c>
      <c r="B23" s="69"/>
      <c r="C23" s="69"/>
      <c r="D23" s="69"/>
      <c r="E23" s="93"/>
      <c r="F23" s="69"/>
      <c r="G23" s="69"/>
      <c r="H23" s="69"/>
      <c r="I23" s="69"/>
      <c r="J23" s="69"/>
      <c r="K23" s="69"/>
      <c r="L23" s="25"/>
    </row>
    <row r="24" spans="1:12" ht="22.5" customHeight="1" x14ac:dyDescent="0.3">
      <c r="A24" s="45" t="s">
        <v>39</v>
      </c>
      <c r="B24" s="47">
        <v>201994</v>
      </c>
      <c r="C24" s="47">
        <v>180080</v>
      </c>
      <c r="D24" s="47">
        <v>201903</v>
      </c>
      <c r="E24" s="29">
        <v>210000</v>
      </c>
      <c r="F24" s="46">
        <v>176800</v>
      </c>
      <c r="G24" s="47">
        <v>202000</v>
      </c>
      <c r="H24" s="47">
        <v>210000</v>
      </c>
      <c r="I24" s="171">
        <v>189994</v>
      </c>
      <c r="J24" s="46">
        <v>191688</v>
      </c>
      <c r="K24" s="46">
        <v>210000</v>
      </c>
      <c r="L24" s="25"/>
    </row>
    <row r="25" spans="1:12" ht="22.5" customHeight="1" x14ac:dyDescent="0.3">
      <c r="A25" s="27" t="s">
        <v>40</v>
      </c>
      <c r="B25" s="28">
        <v>204093</v>
      </c>
      <c r="C25" s="28">
        <v>189020</v>
      </c>
      <c r="D25" s="28">
        <v>207900</v>
      </c>
      <c r="E25" s="29">
        <v>213000</v>
      </c>
      <c r="F25" s="29">
        <v>179000</v>
      </c>
      <c r="G25" s="28">
        <v>205340</v>
      </c>
      <c r="H25" s="29">
        <v>215821</v>
      </c>
      <c r="I25" s="172">
        <v>190072</v>
      </c>
      <c r="J25" s="46">
        <v>191688</v>
      </c>
      <c r="K25" s="46">
        <v>212000</v>
      </c>
      <c r="L25" s="25"/>
    </row>
    <row r="26" spans="1:12" ht="22.5" customHeight="1" x14ac:dyDescent="0.3">
      <c r="A26" s="32" t="s">
        <v>33</v>
      </c>
      <c r="B26" s="33">
        <f t="shared" ref="B26:D26" si="8">B24/B10</f>
        <v>1.009995249881247</v>
      </c>
      <c r="C26" s="33">
        <f t="shared" si="8"/>
        <v>0.90039999999999998</v>
      </c>
      <c r="D26" s="33">
        <f t="shared" si="8"/>
        <v>1.0099959600761883</v>
      </c>
      <c r="E26" s="33">
        <f>E24/E10</f>
        <v>1.05</v>
      </c>
      <c r="F26" s="33">
        <f t="shared" ref="F26:K26" si="9">F24/F10</f>
        <v>0.88400000000000001</v>
      </c>
      <c r="G26" s="33">
        <f t="shared" si="9"/>
        <v>1.01</v>
      </c>
      <c r="H26" s="33">
        <f t="shared" si="9"/>
        <v>1.05</v>
      </c>
      <c r="I26" s="33">
        <f t="shared" si="9"/>
        <v>0.94996999999999998</v>
      </c>
      <c r="J26" s="33">
        <f t="shared" si="9"/>
        <v>0.95843999999999996</v>
      </c>
      <c r="K26" s="33">
        <f t="shared" si="9"/>
        <v>1.05</v>
      </c>
      <c r="L26" s="25"/>
    </row>
    <row r="27" spans="1:12" ht="22.5" customHeight="1" x14ac:dyDescent="0.3">
      <c r="A27" s="32" t="s">
        <v>37</v>
      </c>
      <c r="B27" s="33">
        <f t="shared" ref="B27:D27" si="10">B25/B10</f>
        <v>1.0204905122628065</v>
      </c>
      <c r="C27" s="33">
        <f t="shared" si="10"/>
        <v>0.94510000000000005</v>
      </c>
      <c r="D27" s="33">
        <f t="shared" si="10"/>
        <v>1.0399952457360195</v>
      </c>
      <c r="E27" s="33">
        <f>E25/E10</f>
        <v>1.0649999999999999</v>
      </c>
      <c r="F27" s="33">
        <f t="shared" ref="F27:K27" si="11">F25/F10</f>
        <v>0.89500000000000002</v>
      </c>
      <c r="G27" s="33">
        <f t="shared" si="11"/>
        <v>1.0266999999999999</v>
      </c>
      <c r="H27" s="33">
        <f t="shared" si="11"/>
        <v>1.079105</v>
      </c>
      <c r="I27" s="33">
        <f t="shared" si="11"/>
        <v>0.95035999999999998</v>
      </c>
      <c r="J27" s="33">
        <f t="shared" si="11"/>
        <v>0.95843999999999996</v>
      </c>
      <c r="K27" s="33">
        <f t="shared" si="11"/>
        <v>1.06</v>
      </c>
      <c r="L27" s="25"/>
    </row>
    <row r="28" spans="1:12" ht="22.5" customHeight="1" x14ac:dyDescent="0.3">
      <c r="A28" s="392" t="s">
        <v>75</v>
      </c>
      <c r="B28" s="393"/>
      <c r="C28" s="393"/>
      <c r="D28" s="393"/>
      <c r="E28" s="393"/>
      <c r="F28" s="393"/>
      <c r="G28" s="393"/>
      <c r="H28" s="393"/>
      <c r="I28" s="393"/>
      <c r="J28" s="393"/>
      <c r="K28" s="393"/>
      <c r="L28" s="25"/>
    </row>
    <row r="29" spans="1:12" ht="22.5" customHeight="1" x14ac:dyDescent="0.3">
      <c r="A29" s="45" t="s">
        <v>41</v>
      </c>
      <c r="B29" s="47">
        <f>8*B13</f>
        <v>22000</v>
      </c>
      <c r="C29" s="47">
        <f>(2*2000)+(7*2559)</f>
        <v>21913</v>
      </c>
      <c r="D29" s="47">
        <f>6*D13</f>
        <v>6336</v>
      </c>
      <c r="E29" s="46">
        <v>22400</v>
      </c>
      <c r="F29" s="46">
        <v>25200</v>
      </c>
      <c r="G29" s="47">
        <v>8000</v>
      </c>
      <c r="H29" s="46">
        <v>14890</v>
      </c>
      <c r="I29" s="172">
        <v>20006</v>
      </c>
      <c r="J29" s="46">
        <v>18312</v>
      </c>
      <c r="K29" s="46">
        <v>10368</v>
      </c>
      <c r="L29" s="25"/>
    </row>
    <row r="30" spans="1:12" ht="22.5" customHeight="1" x14ac:dyDescent="0.3">
      <c r="A30" s="20" t="s">
        <v>69</v>
      </c>
      <c r="B30" s="35">
        <v>201494</v>
      </c>
      <c r="C30" s="35">
        <v>160000</v>
      </c>
      <c r="D30" s="35">
        <v>200404</v>
      </c>
      <c r="E30" s="29">
        <v>202000</v>
      </c>
      <c r="F30" s="29">
        <v>160000</v>
      </c>
      <c r="G30" s="35">
        <v>160000</v>
      </c>
      <c r="H30" s="26">
        <v>160000</v>
      </c>
      <c r="I30" s="26">
        <v>160000</v>
      </c>
      <c r="J30" s="26">
        <v>160000</v>
      </c>
      <c r="K30" s="26">
        <v>160000</v>
      </c>
      <c r="L30" s="25"/>
    </row>
    <row r="31" spans="1:12" ht="22.5" customHeight="1" x14ac:dyDescent="0.3">
      <c r="A31" s="34" t="s">
        <v>34</v>
      </c>
      <c r="B31" s="33">
        <f t="shared" ref="B31:K31" si="12">B29/B10</f>
        <v>0.11000275006875172</v>
      </c>
      <c r="C31" s="33">
        <f t="shared" si="12"/>
        <v>0.109565</v>
      </c>
      <c r="D31" s="33">
        <f t="shared" si="12"/>
        <v>3.169509320338345E-2</v>
      </c>
      <c r="E31" s="33">
        <f t="shared" si="12"/>
        <v>0.112</v>
      </c>
      <c r="F31" s="33">
        <f t="shared" si="12"/>
        <v>0.126</v>
      </c>
      <c r="G31" s="33">
        <f t="shared" si="12"/>
        <v>0.04</v>
      </c>
      <c r="H31" s="33">
        <f t="shared" si="12"/>
        <v>7.4450000000000002E-2</v>
      </c>
      <c r="I31" s="33">
        <f t="shared" si="12"/>
        <v>0.10002999999999999</v>
      </c>
      <c r="J31" s="33">
        <f t="shared" si="12"/>
        <v>9.1560000000000002E-2</v>
      </c>
      <c r="K31" s="33">
        <f t="shared" si="12"/>
        <v>5.1839999999999997E-2</v>
      </c>
      <c r="L31" s="25"/>
    </row>
    <row r="32" spans="1:12" ht="22.5" customHeight="1" x14ac:dyDescent="0.3">
      <c r="A32" s="34" t="s">
        <v>70</v>
      </c>
      <c r="B32" s="33">
        <f>(B29+B30)/B10</f>
        <v>1.1174979374484362</v>
      </c>
      <c r="C32" s="33">
        <f>(C29+C30)/C10</f>
        <v>0.90956499999999996</v>
      </c>
      <c r="D32" s="33">
        <f t="shared" ref="D32" si="13">(D29+D30)/D10</f>
        <v>1.0341924824601474</v>
      </c>
      <c r="E32" s="33">
        <f t="shared" ref="E32" si="14">(E29+E30)/E10</f>
        <v>1.1220000000000001</v>
      </c>
      <c r="F32" s="33">
        <f>(F29+F30)/F10</f>
        <v>0.92600000000000005</v>
      </c>
      <c r="G32" s="33">
        <f>(G29+G30)/G10</f>
        <v>0.84</v>
      </c>
      <c r="H32" s="33">
        <f t="shared" ref="H32:K32" si="15">(H29+H30)/H10</f>
        <v>0.87444999999999995</v>
      </c>
      <c r="I32" s="33">
        <f t="shared" si="15"/>
        <v>0.90003</v>
      </c>
      <c r="J32" s="33">
        <f t="shared" si="15"/>
        <v>0.89156000000000002</v>
      </c>
      <c r="K32" s="33">
        <f t="shared" si="15"/>
        <v>0.85184000000000004</v>
      </c>
      <c r="L32" s="70"/>
    </row>
    <row r="33" spans="1:12" ht="22.5" customHeight="1" x14ac:dyDescent="0.3">
      <c r="A33" s="392" t="s">
        <v>76</v>
      </c>
      <c r="B33" s="393"/>
      <c r="C33" s="393"/>
      <c r="D33" s="393"/>
      <c r="E33" s="393"/>
      <c r="F33" s="393"/>
      <c r="G33" s="393"/>
      <c r="H33" s="393"/>
      <c r="I33" s="393"/>
      <c r="J33" s="393"/>
      <c r="K33" s="393"/>
      <c r="L33" s="25"/>
    </row>
    <row r="34" spans="1:12" ht="24.45" customHeight="1" x14ac:dyDescent="0.3">
      <c r="A34" s="15" t="s">
        <v>72</v>
      </c>
      <c r="B34" s="52">
        <f>8*6500</f>
        <v>52000</v>
      </c>
      <c r="C34" s="47">
        <f>(2*4700)+(7*6879)</f>
        <v>57553</v>
      </c>
      <c r="D34" s="52">
        <f>6*D14</f>
        <v>41976</v>
      </c>
      <c r="E34" s="29">
        <f>60467-6067</f>
        <v>54400</v>
      </c>
      <c r="F34" s="46">
        <v>64200</v>
      </c>
      <c r="G34" s="52">
        <v>54400</v>
      </c>
      <c r="H34" s="46">
        <v>39197</v>
      </c>
      <c r="I34" s="172">
        <f>66632-8132</f>
        <v>58500</v>
      </c>
      <c r="J34" s="26">
        <f>58398-5898</f>
        <v>52500</v>
      </c>
      <c r="K34" s="142">
        <f>49298-4298</f>
        <v>45000</v>
      </c>
      <c r="L34" s="25"/>
    </row>
    <row r="35" spans="1:12" ht="22.5" customHeight="1" x14ac:dyDescent="0.3">
      <c r="A35" s="20" t="s">
        <v>42</v>
      </c>
      <c r="B35" s="35">
        <v>203593</v>
      </c>
      <c r="C35" s="35">
        <v>163140</v>
      </c>
      <c r="D35" s="35">
        <v>206401</v>
      </c>
      <c r="E35" s="29">
        <v>203500</v>
      </c>
      <c r="F35" s="29">
        <v>162600</v>
      </c>
      <c r="G35" s="35">
        <v>165340</v>
      </c>
      <c r="H35" s="26">
        <v>180119</v>
      </c>
      <c r="I35" s="26">
        <v>161392</v>
      </c>
      <c r="J35" s="26">
        <v>162000</v>
      </c>
      <c r="K35" s="26">
        <v>172000</v>
      </c>
      <c r="L35" s="25"/>
    </row>
    <row r="36" spans="1:12" ht="22.5" customHeight="1" x14ac:dyDescent="0.3">
      <c r="A36" s="34" t="s">
        <v>43</v>
      </c>
      <c r="B36" s="33">
        <f t="shared" ref="B36:K36" si="16">B34/B10</f>
        <v>0.26000650016250404</v>
      </c>
      <c r="C36" s="33">
        <f t="shared" si="16"/>
        <v>0.28776499999999999</v>
      </c>
      <c r="D36" s="33">
        <f t="shared" si="16"/>
        <v>0.20997999247241536</v>
      </c>
      <c r="E36" s="33">
        <f t="shared" si="16"/>
        <v>0.27200000000000002</v>
      </c>
      <c r="F36" s="33">
        <f t="shared" si="16"/>
        <v>0.32100000000000001</v>
      </c>
      <c r="G36" s="33">
        <f t="shared" si="16"/>
        <v>0.27200000000000002</v>
      </c>
      <c r="H36" s="33">
        <f t="shared" si="16"/>
        <v>0.19598499999999999</v>
      </c>
      <c r="I36" s="33">
        <f t="shared" si="16"/>
        <v>0.29249999999999998</v>
      </c>
      <c r="J36" s="33">
        <f t="shared" si="16"/>
        <v>0.26250000000000001</v>
      </c>
      <c r="K36" s="33">
        <f t="shared" si="16"/>
        <v>0.22500000000000001</v>
      </c>
      <c r="L36" s="25"/>
    </row>
    <row r="37" spans="1:12" ht="22.5" customHeight="1" x14ac:dyDescent="0.3">
      <c r="A37" s="62" t="s">
        <v>71</v>
      </c>
      <c r="B37" s="33">
        <f>(B34+B35)/B10</f>
        <v>1.277996949923748</v>
      </c>
      <c r="C37" s="33">
        <f>(C34+C35)/C10</f>
        <v>1.1034649999999999</v>
      </c>
      <c r="D37" s="33">
        <f t="shared" ref="D37:E37" si="17">(D34+D35)/D10</f>
        <v>1.2424766673890106</v>
      </c>
      <c r="E37" s="33">
        <f t="shared" si="17"/>
        <v>1.2895000000000001</v>
      </c>
      <c r="F37" s="33">
        <f>(F34+F35)/F10</f>
        <v>1.1339999999999999</v>
      </c>
      <c r="G37" s="33">
        <f>(G34+G35)/G10</f>
        <v>1.0987</v>
      </c>
      <c r="H37" s="33">
        <f t="shared" ref="H37:K37" si="18">(H34+H35)/H10</f>
        <v>1.0965800000000001</v>
      </c>
      <c r="I37" s="33">
        <f t="shared" si="18"/>
        <v>1.0994600000000001</v>
      </c>
      <c r="J37" s="33">
        <f t="shared" si="18"/>
        <v>1.0725</v>
      </c>
      <c r="K37" s="33">
        <f t="shared" si="18"/>
        <v>1.085</v>
      </c>
      <c r="L37" s="71"/>
    </row>
    <row r="38" spans="1:12" ht="22.5" customHeight="1" x14ac:dyDescent="0.3">
      <c r="A38" s="412" t="s">
        <v>81</v>
      </c>
      <c r="B38" s="412"/>
      <c r="C38" s="412"/>
      <c r="D38" s="412"/>
      <c r="E38" s="412"/>
      <c r="F38" s="412"/>
      <c r="G38" s="412"/>
      <c r="H38" s="412"/>
      <c r="I38" s="412"/>
      <c r="J38" s="412"/>
      <c r="K38" s="412"/>
      <c r="L38" s="25"/>
    </row>
    <row r="39" spans="1:12" ht="22.5" customHeight="1" x14ac:dyDescent="0.3">
      <c r="A39" s="399" t="s">
        <v>38</v>
      </c>
      <c r="B39" s="399"/>
      <c r="C39" s="399"/>
      <c r="D39" s="399"/>
      <c r="E39" s="399"/>
      <c r="F39" s="399"/>
      <c r="G39" s="399"/>
      <c r="H39" s="399"/>
      <c r="I39" s="399"/>
      <c r="J39" s="399"/>
      <c r="K39" s="399"/>
      <c r="L39" s="25"/>
    </row>
    <row r="40" spans="1:12" ht="22.5" customHeight="1" x14ac:dyDescent="0.3">
      <c r="A40" s="45" t="s">
        <v>39</v>
      </c>
      <c r="B40" s="47">
        <v>211814</v>
      </c>
      <c r="C40" s="47">
        <v>160000</v>
      </c>
      <c r="D40" s="47">
        <v>210659</v>
      </c>
      <c r="E40" s="29">
        <v>210000</v>
      </c>
      <c r="F40" s="46">
        <v>160000</v>
      </c>
      <c r="G40" s="47">
        <v>202000</v>
      </c>
      <c r="H40" s="47">
        <v>210000</v>
      </c>
      <c r="I40" s="47">
        <v>160000</v>
      </c>
      <c r="J40" s="46">
        <v>160000</v>
      </c>
      <c r="K40" s="46">
        <v>210000</v>
      </c>
      <c r="L40" s="25"/>
    </row>
    <row r="41" spans="1:12" ht="22.5" customHeight="1" x14ac:dyDescent="0.3">
      <c r="A41" s="27" t="s">
        <v>40</v>
      </c>
      <c r="B41" s="28">
        <v>218153</v>
      </c>
      <c r="C41" s="28">
        <v>170260</v>
      </c>
      <c r="D41" s="28">
        <v>216656</v>
      </c>
      <c r="E41" s="29">
        <v>221000</v>
      </c>
      <c r="F41" s="29">
        <v>170600</v>
      </c>
      <c r="G41" s="28">
        <v>228660</v>
      </c>
      <c r="H41" s="29">
        <v>266801</v>
      </c>
      <c r="I41" s="173">
        <v>164943</v>
      </c>
      <c r="J41" s="29">
        <v>178000</v>
      </c>
      <c r="K41" s="46">
        <v>214000</v>
      </c>
      <c r="L41" s="25"/>
    </row>
    <row r="42" spans="1:12" ht="22.5" customHeight="1" x14ac:dyDescent="0.3">
      <c r="A42" s="32" t="s">
        <v>33</v>
      </c>
      <c r="B42" s="33">
        <f t="shared" ref="B42:K42" si="19">B40/B10</f>
        <v>1.0590964774119354</v>
      </c>
      <c r="C42" s="33">
        <f t="shared" si="19"/>
        <v>0.8</v>
      </c>
      <c r="D42" s="33">
        <f t="shared" si="19"/>
        <v>1.0537968180447528</v>
      </c>
      <c r="E42" s="33">
        <f t="shared" si="19"/>
        <v>1.05</v>
      </c>
      <c r="F42" s="33">
        <f t="shared" si="19"/>
        <v>0.8</v>
      </c>
      <c r="G42" s="33">
        <f t="shared" si="19"/>
        <v>1.01</v>
      </c>
      <c r="H42" s="33">
        <f t="shared" si="19"/>
        <v>1.05</v>
      </c>
      <c r="I42" s="33">
        <f t="shared" si="19"/>
        <v>0.8</v>
      </c>
      <c r="J42" s="33">
        <f t="shared" si="19"/>
        <v>0.8</v>
      </c>
      <c r="K42" s="33">
        <f t="shared" si="19"/>
        <v>1.05</v>
      </c>
      <c r="L42" s="25"/>
    </row>
    <row r="43" spans="1:12" ht="22.5" customHeight="1" x14ac:dyDescent="0.3">
      <c r="A43" s="32" t="s">
        <v>37</v>
      </c>
      <c r="B43" s="33">
        <f t="shared" ref="B43:K43" si="20">B41/B10</f>
        <v>1.0907922698067452</v>
      </c>
      <c r="C43" s="33">
        <f t="shared" si="20"/>
        <v>0.85129999999999995</v>
      </c>
      <c r="D43" s="33">
        <f t="shared" si="20"/>
        <v>1.083796103704584</v>
      </c>
      <c r="E43" s="33">
        <f t="shared" si="20"/>
        <v>1.105</v>
      </c>
      <c r="F43" s="33">
        <f t="shared" si="20"/>
        <v>0.85299999999999998</v>
      </c>
      <c r="G43" s="33">
        <f t="shared" si="20"/>
        <v>1.1433</v>
      </c>
      <c r="H43" s="33">
        <f t="shared" si="20"/>
        <v>1.3340050000000001</v>
      </c>
      <c r="I43" s="33">
        <f t="shared" si="20"/>
        <v>0.82471499999999998</v>
      </c>
      <c r="J43" s="33">
        <f t="shared" si="20"/>
        <v>0.89</v>
      </c>
      <c r="K43" s="33">
        <f t="shared" si="20"/>
        <v>1.07</v>
      </c>
      <c r="L43" s="25"/>
    </row>
    <row r="44" spans="1:12" ht="22.5" customHeight="1" x14ac:dyDescent="0.3">
      <c r="A44" s="392" t="s">
        <v>75</v>
      </c>
      <c r="B44" s="393"/>
      <c r="C44" s="393"/>
      <c r="D44" s="393"/>
      <c r="E44" s="393"/>
      <c r="F44" s="393"/>
      <c r="G44" s="393"/>
      <c r="H44" s="393"/>
      <c r="I44" s="393"/>
      <c r="J44" s="393"/>
      <c r="K44" s="393"/>
      <c r="L44" s="25"/>
    </row>
    <row r="45" spans="1:12" ht="22.5" customHeight="1" x14ac:dyDescent="0.3">
      <c r="A45" s="45" t="s">
        <v>41</v>
      </c>
      <c r="B45" s="47">
        <f>28*B13</f>
        <v>77000</v>
      </c>
      <c r="C45" s="47">
        <f>(2*2000)+(13*2559)+(14*2739)</f>
        <v>75613</v>
      </c>
      <c r="D45" s="47">
        <f>26*D13</f>
        <v>27456</v>
      </c>
      <c r="E45" s="29">
        <v>78400</v>
      </c>
      <c r="F45" s="46">
        <v>81200</v>
      </c>
      <c r="G45" s="47">
        <v>28000</v>
      </c>
      <c r="H45" s="46">
        <v>64522</v>
      </c>
      <c r="I45" s="172">
        <v>68006</v>
      </c>
      <c r="J45" s="46">
        <v>70632</v>
      </c>
      <c r="K45" s="46">
        <v>44928</v>
      </c>
      <c r="L45" s="25"/>
    </row>
    <row r="46" spans="1:12" ht="22.5" customHeight="1" x14ac:dyDescent="0.3">
      <c r="A46" s="20" t="s">
        <v>69</v>
      </c>
      <c r="B46" s="35">
        <v>211814</v>
      </c>
      <c r="C46" s="47">
        <v>160000</v>
      </c>
      <c r="D46" s="35">
        <f>36*D13</f>
        <v>38016</v>
      </c>
      <c r="E46" s="29">
        <v>210000</v>
      </c>
      <c r="F46" s="29">
        <v>160000</v>
      </c>
      <c r="G46" s="35">
        <v>160000</v>
      </c>
      <c r="H46" s="26">
        <v>160000</v>
      </c>
      <c r="I46" s="66">
        <v>160000</v>
      </c>
      <c r="J46" s="46">
        <v>160000</v>
      </c>
      <c r="K46" s="46">
        <v>160000</v>
      </c>
      <c r="L46" s="25"/>
    </row>
    <row r="47" spans="1:12" ht="22.5" customHeight="1" x14ac:dyDescent="0.3">
      <c r="A47" s="34" t="s">
        <v>34</v>
      </c>
      <c r="B47" s="33">
        <f t="shared" ref="B47:K47" si="21">B45/B10</f>
        <v>0.38500962524063104</v>
      </c>
      <c r="C47" s="33">
        <f t="shared" si="21"/>
        <v>0.37806499999999998</v>
      </c>
      <c r="D47" s="33">
        <f t="shared" si="21"/>
        <v>0.13734540388132829</v>
      </c>
      <c r="E47" s="33">
        <f t="shared" si="21"/>
        <v>0.39200000000000002</v>
      </c>
      <c r="F47" s="33">
        <f t="shared" si="21"/>
        <v>0.40600000000000003</v>
      </c>
      <c r="G47" s="33">
        <f t="shared" si="21"/>
        <v>0.14000000000000001</v>
      </c>
      <c r="H47" s="33">
        <f t="shared" si="21"/>
        <v>0.32261000000000001</v>
      </c>
      <c r="I47" s="33">
        <f t="shared" si="21"/>
        <v>0.34003</v>
      </c>
      <c r="J47" s="33">
        <f t="shared" si="21"/>
        <v>0.35315999999999997</v>
      </c>
      <c r="K47" s="33">
        <f t="shared" si="21"/>
        <v>0.22464000000000001</v>
      </c>
      <c r="L47" s="25"/>
    </row>
    <row r="48" spans="1:12" ht="22.5" customHeight="1" x14ac:dyDescent="0.3">
      <c r="A48" s="34" t="s">
        <v>70</v>
      </c>
      <c r="B48" s="33">
        <f>(B45+B46)/B10</f>
        <v>1.4441061026525663</v>
      </c>
      <c r="C48" s="33">
        <f>(C45+C46)/C10</f>
        <v>1.1780649999999999</v>
      </c>
      <c r="D48" s="33">
        <f t="shared" ref="D48:K48" si="22">(D45+D46)/D10</f>
        <v>0.327515963101629</v>
      </c>
      <c r="E48" s="33">
        <f t="shared" si="22"/>
        <v>1.4419999999999999</v>
      </c>
      <c r="F48" s="33">
        <f t="shared" si="22"/>
        <v>1.206</v>
      </c>
      <c r="G48" s="33">
        <f t="shared" si="22"/>
        <v>0.94</v>
      </c>
      <c r="H48" s="33">
        <f t="shared" si="22"/>
        <v>1.1226100000000001</v>
      </c>
      <c r="I48" s="33">
        <f t="shared" si="22"/>
        <v>1.1400300000000001</v>
      </c>
      <c r="J48" s="33">
        <f t="shared" si="22"/>
        <v>1.15316</v>
      </c>
      <c r="K48" s="33">
        <f t="shared" si="22"/>
        <v>1.02464</v>
      </c>
      <c r="L48" s="70"/>
    </row>
    <row r="49" spans="1:12" ht="22.5" customHeight="1" x14ac:dyDescent="0.3">
      <c r="A49" s="392" t="s">
        <v>76</v>
      </c>
      <c r="B49" s="393"/>
      <c r="C49" s="393"/>
      <c r="D49" s="393"/>
      <c r="E49" s="393"/>
      <c r="F49" s="393"/>
      <c r="G49" s="393"/>
      <c r="H49" s="393"/>
      <c r="I49" s="393"/>
      <c r="J49" s="393"/>
      <c r="K49" s="393"/>
      <c r="L49" s="25"/>
    </row>
    <row r="50" spans="1:12" ht="30.6" customHeight="1" x14ac:dyDescent="0.3">
      <c r="A50" s="15" t="s">
        <v>72</v>
      </c>
      <c r="B50" s="47">
        <f>(20*6500)+(8*7125)</f>
        <v>187000</v>
      </c>
      <c r="C50" s="47">
        <f>(2*4700)+(13*6879)+(14*7499)</f>
        <v>203813</v>
      </c>
      <c r="D50" s="47">
        <f>26*D14</f>
        <v>181896</v>
      </c>
      <c r="E50" s="29">
        <f>295811-101811</f>
        <v>194000</v>
      </c>
      <c r="F50" s="46">
        <v>212200</v>
      </c>
      <c r="G50" s="47">
        <f>225941-35541</f>
        <v>190400</v>
      </c>
      <c r="H50" s="46">
        <v>169852</v>
      </c>
      <c r="I50" s="172">
        <f>308285-111785</f>
        <v>196500</v>
      </c>
      <c r="J50" s="46">
        <f>310261-107761</f>
        <v>202500</v>
      </c>
      <c r="K50" s="46">
        <f>293825-98825</f>
        <v>195000</v>
      </c>
      <c r="L50" s="25"/>
    </row>
    <row r="51" spans="1:12" ht="22.5" customHeight="1" x14ac:dyDescent="0.3">
      <c r="A51" s="20" t="s">
        <v>42</v>
      </c>
      <c r="B51" s="28">
        <v>218153</v>
      </c>
      <c r="C51" s="28">
        <v>169760</v>
      </c>
      <c r="D51" s="28">
        <v>216656</v>
      </c>
      <c r="E51" s="29">
        <v>216000</v>
      </c>
      <c r="F51" s="29">
        <v>170600</v>
      </c>
      <c r="G51" s="28">
        <v>206960</v>
      </c>
      <c r="H51" s="22">
        <v>266108</v>
      </c>
      <c r="I51" s="173">
        <v>164943</v>
      </c>
      <c r="J51" s="29">
        <v>178000</v>
      </c>
      <c r="K51" s="29">
        <v>210000</v>
      </c>
      <c r="L51" s="25"/>
    </row>
    <row r="52" spans="1:12" ht="22.5" customHeight="1" x14ac:dyDescent="0.3">
      <c r="A52" s="34" t="s">
        <v>43</v>
      </c>
      <c r="B52" s="33">
        <f t="shared" ref="B52:K52" si="23">B50/B10</f>
        <v>0.93502337558438964</v>
      </c>
      <c r="C52" s="33">
        <f t="shared" si="23"/>
        <v>1.0190650000000001</v>
      </c>
      <c r="D52" s="33">
        <f t="shared" si="23"/>
        <v>0.90991330071379983</v>
      </c>
      <c r="E52" s="33">
        <f t="shared" si="23"/>
        <v>0.97</v>
      </c>
      <c r="F52" s="33">
        <f t="shared" si="23"/>
        <v>1.0609999999999999</v>
      </c>
      <c r="G52" s="33">
        <f t="shared" si="23"/>
        <v>0.95199999999999996</v>
      </c>
      <c r="H52" s="33">
        <f t="shared" si="23"/>
        <v>0.84926000000000001</v>
      </c>
      <c r="I52" s="33">
        <f t="shared" si="23"/>
        <v>0.98250000000000004</v>
      </c>
      <c r="J52" s="33">
        <f t="shared" si="23"/>
        <v>1.0125</v>
      </c>
      <c r="K52" s="33">
        <f t="shared" si="23"/>
        <v>0.97499999999999998</v>
      </c>
      <c r="L52" s="25"/>
    </row>
    <row r="53" spans="1:12" ht="22.5" customHeight="1" x14ac:dyDescent="0.3">
      <c r="A53" s="34" t="s">
        <v>71</v>
      </c>
      <c r="B53" s="33">
        <f>(B50+B51)/B10</f>
        <v>2.0258156453911349</v>
      </c>
      <c r="C53" s="33">
        <f t="shared" ref="C53:K53" si="24">(C50+C51)/C10</f>
        <v>1.8678650000000001</v>
      </c>
      <c r="D53" s="33">
        <f t="shared" si="24"/>
        <v>1.9937094044183838</v>
      </c>
      <c r="E53" s="33">
        <f t="shared" si="24"/>
        <v>2.0499999999999998</v>
      </c>
      <c r="F53" s="33">
        <f t="shared" si="24"/>
        <v>1.9139999999999999</v>
      </c>
      <c r="G53" s="33">
        <f t="shared" si="24"/>
        <v>1.9867999999999999</v>
      </c>
      <c r="H53" s="33">
        <f t="shared" si="24"/>
        <v>2.1798000000000002</v>
      </c>
      <c r="I53" s="33">
        <f t="shared" si="24"/>
        <v>1.807215</v>
      </c>
      <c r="J53" s="33">
        <f t="shared" si="24"/>
        <v>1.9025000000000001</v>
      </c>
      <c r="K53" s="33">
        <f t="shared" si="24"/>
        <v>2.0249999999999999</v>
      </c>
      <c r="L53" s="71"/>
    </row>
  </sheetData>
  <sheetProtection algorithmName="SHA-512" hashValue="r/mscDD5bX2Ipna9UN3pl+sbMd8Xsj1WAT5L5r/9fWGUOLgWKwO0pFYO4GyCmifYziUrDexWMqFMrAZ0gd3OMg==" saltValue="RujIq6X2dcaUDb/qg9uOlQ==" spinCount="100000" sheet="1" objects="1" scenarios="1"/>
  <mergeCells count="9">
    <mergeCell ref="A1:L2"/>
    <mergeCell ref="A6:A7"/>
    <mergeCell ref="A28:K28"/>
    <mergeCell ref="A44:K44"/>
    <mergeCell ref="A49:K49"/>
    <mergeCell ref="A33:K33"/>
    <mergeCell ref="A38:K38"/>
    <mergeCell ref="A39:K39"/>
    <mergeCell ref="A22:K22"/>
  </mergeCells>
  <conditionalFormatting sqref="B26:K26">
    <cfRule type="top10" dxfId="39" priority="12" rank="1"/>
  </conditionalFormatting>
  <conditionalFormatting sqref="B27:K27">
    <cfRule type="top10" dxfId="38" priority="11" rank="1"/>
  </conditionalFormatting>
  <conditionalFormatting sqref="B31:K31">
    <cfRule type="top10" dxfId="37" priority="10" rank="1"/>
  </conditionalFormatting>
  <conditionalFormatting sqref="B32:K32">
    <cfRule type="top10" dxfId="36" priority="9" rank="1"/>
  </conditionalFormatting>
  <conditionalFormatting sqref="B36:K36">
    <cfRule type="top10" dxfId="35" priority="8" rank="1"/>
  </conditionalFormatting>
  <conditionalFormatting sqref="B37:K37">
    <cfRule type="top10" dxfId="34" priority="7" rank="1"/>
  </conditionalFormatting>
  <conditionalFormatting sqref="B42:K42">
    <cfRule type="top10" dxfId="33" priority="6" rank="1"/>
  </conditionalFormatting>
  <conditionalFormatting sqref="B43:K43">
    <cfRule type="top10" dxfId="32" priority="5" rank="1"/>
  </conditionalFormatting>
  <conditionalFormatting sqref="B47:K47">
    <cfRule type="top10" dxfId="31" priority="4" rank="1"/>
  </conditionalFormatting>
  <conditionalFormatting sqref="B48:K48">
    <cfRule type="top10" dxfId="30" priority="3" rank="1"/>
  </conditionalFormatting>
  <conditionalFormatting sqref="B52:K52">
    <cfRule type="top10" dxfId="29" priority="2" rank="1"/>
  </conditionalFormatting>
  <conditionalFormatting sqref="B53:K53">
    <cfRule type="top10" dxfId="28" priority="1" rank="1"/>
  </conditionalFormatting>
  <conditionalFormatting sqref="E21">
    <cfRule type="top10" dxfId="27" priority="40" rank="1"/>
  </conditionalFormatting>
  <conditionalFormatting sqref="G21:K21 B21">
    <cfRule type="top10" dxfId="26" priority="42" rank="1"/>
  </conditionalFormatting>
  <printOptions horizontalCentered="1" verticalCentered="1"/>
  <pageMargins left="0" right="0" top="0" bottom="0" header="0" footer="0"/>
  <pageSetup paperSize="9" scale="53" fitToHeight="0" orientation="landscape" r:id="rId1"/>
  <headerFooter>
    <oddFooter>&amp;L_x000D_&amp;1#&amp;"Calibri"&amp;8&amp;K0000FF Internal</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tabColor rgb="FFFF0000"/>
    <pageSetUpPr fitToPage="1"/>
  </sheetPr>
  <dimension ref="A1:M54"/>
  <sheetViews>
    <sheetView showGridLines="0" zoomScale="55" zoomScaleNormal="55" zoomScaleSheetLayoutView="100" workbookViewId="0">
      <pane xSplit="1" ySplit="7" topLeftCell="B8" activePane="bottomRight" state="frozen"/>
      <selection pane="topRight" activeCell="B1" sqref="B1"/>
      <selection pane="bottomLeft" activeCell="A8" sqref="A8"/>
      <selection pane="bottomRight" activeCell="K8" sqref="K8"/>
    </sheetView>
  </sheetViews>
  <sheetFormatPr defaultColWidth="9.21875" defaultRowHeight="15.6" x14ac:dyDescent="0.3"/>
  <cols>
    <col min="1" max="1" width="50" style="11" customWidth="1"/>
    <col min="2" max="3" width="49.21875" style="11" customWidth="1"/>
    <col min="4" max="4" width="36.109375" style="11" customWidth="1"/>
    <col min="5" max="5" width="32.77734375" customWidth="1"/>
    <col min="6" max="6" width="34.21875" style="11" bestFit="1" customWidth="1"/>
    <col min="7" max="7" width="34.21875" style="11" customWidth="1"/>
    <col min="8" max="8" width="33.5546875" style="11" bestFit="1" customWidth="1"/>
    <col min="9" max="9" width="36.5546875" style="11" bestFit="1" customWidth="1"/>
    <col min="10" max="10" width="38" style="11" customWidth="1"/>
    <col min="11" max="12" width="35.21875" style="11" bestFit="1" customWidth="1"/>
    <col min="13" max="13" width="4.77734375" style="11" customWidth="1"/>
    <col min="14" max="16" width="9.21875" style="11" bestFit="1"/>
    <col min="17" max="16384" width="9.21875" style="11"/>
  </cols>
  <sheetData>
    <row r="1" spans="1:13" ht="15" customHeight="1" x14ac:dyDescent="0.3">
      <c r="A1" s="396" t="s">
        <v>15</v>
      </c>
      <c r="B1" s="396"/>
      <c r="C1" s="396"/>
      <c r="D1" s="396"/>
      <c r="E1" s="396"/>
      <c r="F1" s="396"/>
      <c r="G1" s="396"/>
      <c r="H1" s="396"/>
      <c r="I1" s="396"/>
      <c r="J1" s="396"/>
      <c r="K1" s="396"/>
      <c r="L1" s="396"/>
      <c r="M1" s="396"/>
    </row>
    <row r="2" spans="1:13" x14ac:dyDescent="0.3">
      <c r="A2" s="396"/>
      <c r="B2" s="396"/>
      <c r="C2" s="396"/>
      <c r="D2" s="396"/>
      <c r="E2" s="396"/>
      <c r="F2" s="396"/>
      <c r="G2" s="396"/>
      <c r="H2" s="396"/>
      <c r="I2" s="396"/>
      <c r="J2" s="396"/>
      <c r="K2" s="396"/>
      <c r="L2" s="396"/>
      <c r="M2" s="396"/>
    </row>
    <row r="3" spans="1:13" ht="15.75" customHeight="1" x14ac:dyDescent="0.3">
      <c r="A3" s="12" t="s">
        <v>78</v>
      </c>
      <c r="B3" s="12"/>
      <c r="C3" s="12"/>
      <c r="D3" s="12"/>
      <c r="E3" s="12"/>
      <c r="H3" s="12"/>
    </row>
    <row r="4" spans="1:13" x14ac:dyDescent="0.3">
      <c r="A4" s="174" t="s">
        <v>272</v>
      </c>
      <c r="B4" s="12"/>
      <c r="C4" s="12"/>
      <c r="D4" s="12"/>
      <c r="E4" s="12"/>
      <c r="H4" s="12"/>
    </row>
    <row r="5" spans="1:13" ht="20.25" customHeight="1" x14ac:dyDescent="0.3">
      <c r="A5" s="12" t="s">
        <v>23</v>
      </c>
      <c r="B5" s="12"/>
      <c r="C5" s="12"/>
      <c r="D5" s="12"/>
      <c r="E5" s="12"/>
      <c r="H5" s="12"/>
    </row>
    <row r="6" spans="1:13" x14ac:dyDescent="0.3">
      <c r="A6" s="397"/>
      <c r="B6" s="170" t="s">
        <v>147</v>
      </c>
      <c r="C6" s="170" t="s">
        <v>147</v>
      </c>
      <c r="D6" s="170" t="s">
        <v>240</v>
      </c>
      <c r="E6" s="170" t="s">
        <v>240</v>
      </c>
      <c r="F6" s="169" t="s">
        <v>60</v>
      </c>
      <c r="G6" s="169" t="s">
        <v>100</v>
      </c>
      <c r="H6" s="169" t="s">
        <v>100</v>
      </c>
      <c r="I6" s="169" t="s">
        <v>28</v>
      </c>
      <c r="J6" s="169" t="s">
        <v>28</v>
      </c>
      <c r="K6" s="169" t="s">
        <v>148</v>
      </c>
      <c r="L6" s="169" t="s">
        <v>148</v>
      </c>
      <c r="M6" s="13"/>
    </row>
    <row r="7" spans="1:13" ht="46.8" customHeight="1" x14ac:dyDescent="0.3">
      <c r="A7" s="397"/>
      <c r="B7" s="170" t="s">
        <v>334</v>
      </c>
      <c r="C7" s="170" t="s">
        <v>210</v>
      </c>
      <c r="D7" s="170" t="s">
        <v>262</v>
      </c>
      <c r="E7" s="170" t="s">
        <v>343</v>
      </c>
      <c r="F7" s="169" t="s">
        <v>388</v>
      </c>
      <c r="G7" s="169" t="s">
        <v>294</v>
      </c>
      <c r="H7" s="169" t="s">
        <v>101</v>
      </c>
      <c r="I7" s="169" t="s">
        <v>64</v>
      </c>
      <c r="J7" s="169" t="s">
        <v>335</v>
      </c>
      <c r="K7" s="169" t="s">
        <v>433</v>
      </c>
      <c r="L7" s="169" t="s">
        <v>211</v>
      </c>
      <c r="M7" s="14"/>
    </row>
    <row r="8" spans="1:13" ht="16.5" customHeight="1" x14ac:dyDescent="0.3">
      <c r="A8" s="15" t="s">
        <v>19</v>
      </c>
      <c r="B8" s="16">
        <v>4.2500000000000003E-2</v>
      </c>
      <c r="C8" s="16">
        <v>4.2500000000000003E-2</v>
      </c>
      <c r="D8" s="167">
        <v>4.2500000000000003E-2</v>
      </c>
      <c r="E8" s="167">
        <v>4.2500000000000003E-2</v>
      </c>
      <c r="F8" s="16">
        <v>4.2500000000000003E-2</v>
      </c>
      <c r="G8" s="16">
        <v>4.2500000000000003E-2</v>
      </c>
      <c r="H8" s="16">
        <v>4.2500000000000003E-2</v>
      </c>
      <c r="I8" s="16">
        <v>4.2500000000000003E-2</v>
      </c>
      <c r="J8" s="16">
        <v>4.2500000000000003E-2</v>
      </c>
      <c r="K8" s="16">
        <v>4.2500000000000003E-2</v>
      </c>
      <c r="L8" s="16">
        <v>4.2500000000000003E-2</v>
      </c>
      <c r="M8" s="17"/>
    </row>
    <row r="9" spans="1:13" ht="21" customHeight="1" x14ac:dyDescent="0.3">
      <c r="A9" s="18" t="s">
        <v>16</v>
      </c>
      <c r="B9" s="49" t="s">
        <v>79</v>
      </c>
      <c r="C9" s="49" t="s">
        <v>79</v>
      </c>
      <c r="D9" s="49" t="s">
        <v>80</v>
      </c>
      <c r="E9" s="143" t="s">
        <v>80</v>
      </c>
      <c r="F9" s="49" t="s">
        <v>79</v>
      </c>
      <c r="G9" s="49" t="s">
        <v>79</v>
      </c>
      <c r="H9" s="49" t="s">
        <v>79</v>
      </c>
      <c r="I9" s="49" t="s">
        <v>80</v>
      </c>
      <c r="J9" s="49" t="s">
        <v>80</v>
      </c>
      <c r="K9" s="49" t="s">
        <v>80</v>
      </c>
      <c r="L9" s="49" t="s">
        <v>80</v>
      </c>
      <c r="M9" s="19"/>
    </row>
    <row r="10" spans="1:13" x14ac:dyDescent="0.3">
      <c r="A10" s="20" t="s">
        <v>29</v>
      </c>
      <c r="B10" s="53">
        <v>499247.45</v>
      </c>
      <c r="C10" s="35">
        <v>500000</v>
      </c>
      <c r="D10" s="35">
        <v>499559.94</v>
      </c>
      <c r="E10" s="35">
        <v>499232.4</v>
      </c>
      <c r="F10" s="35">
        <v>500000</v>
      </c>
      <c r="G10" s="35">
        <v>500000</v>
      </c>
      <c r="H10" s="35">
        <v>500000</v>
      </c>
      <c r="I10" s="35">
        <v>500000</v>
      </c>
      <c r="J10" s="35">
        <v>500000</v>
      </c>
      <c r="K10" s="35">
        <v>500000</v>
      </c>
      <c r="L10" s="35">
        <v>500000</v>
      </c>
      <c r="M10" s="19"/>
    </row>
    <row r="11" spans="1:13" x14ac:dyDescent="0.3">
      <c r="A11" s="20" t="s">
        <v>24</v>
      </c>
      <c r="B11" s="35">
        <v>314000</v>
      </c>
      <c r="C11" s="35">
        <v>500000</v>
      </c>
      <c r="D11" s="35">
        <v>333000</v>
      </c>
      <c r="E11" s="35">
        <v>278000</v>
      </c>
      <c r="F11" s="37" t="s">
        <v>88</v>
      </c>
      <c r="G11" s="28">
        <v>505000</v>
      </c>
      <c r="H11" s="28" t="s">
        <v>88</v>
      </c>
      <c r="I11" s="35">
        <v>500000</v>
      </c>
      <c r="J11" s="35">
        <v>500000</v>
      </c>
      <c r="K11" s="37" t="s">
        <v>88</v>
      </c>
      <c r="L11" s="37" t="s">
        <v>88</v>
      </c>
      <c r="M11" s="19"/>
    </row>
    <row r="12" spans="1:13" ht="15" customHeight="1" x14ac:dyDescent="0.3">
      <c r="A12" s="20" t="s">
        <v>17</v>
      </c>
      <c r="B12" s="21" t="s">
        <v>103</v>
      </c>
      <c r="C12" s="21" t="s">
        <v>226</v>
      </c>
      <c r="D12" s="21" t="s">
        <v>93</v>
      </c>
      <c r="E12" s="145" t="s">
        <v>93</v>
      </c>
      <c r="F12" s="21" t="s">
        <v>408</v>
      </c>
      <c r="G12" s="77" t="s">
        <v>311</v>
      </c>
      <c r="H12" s="21" t="s">
        <v>314</v>
      </c>
      <c r="I12" s="21" t="s">
        <v>93</v>
      </c>
      <c r="J12" s="21" t="s">
        <v>126</v>
      </c>
      <c r="K12" s="21" t="s">
        <v>170</v>
      </c>
      <c r="L12" s="77" t="s">
        <v>227</v>
      </c>
      <c r="M12" s="19"/>
    </row>
    <row r="13" spans="1:13" ht="70.8" customHeight="1" x14ac:dyDescent="0.3">
      <c r="A13" s="23" t="s">
        <v>18</v>
      </c>
      <c r="B13" s="35">
        <v>6908</v>
      </c>
      <c r="C13" s="53" t="s">
        <v>234</v>
      </c>
      <c r="D13" s="53">
        <v>2664</v>
      </c>
      <c r="E13" s="53">
        <v>5004</v>
      </c>
      <c r="F13" s="24">
        <v>7000</v>
      </c>
      <c r="G13" s="24">
        <v>7000</v>
      </c>
      <c r="H13" s="35">
        <v>2500</v>
      </c>
      <c r="I13" s="22">
        <v>6204</v>
      </c>
      <c r="J13" s="91" t="s">
        <v>339</v>
      </c>
      <c r="K13" s="24">
        <v>6540</v>
      </c>
      <c r="L13" s="24">
        <v>4320</v>
      </c>
      <c r="M13" s="25"/>
    </row>
    <row r="14" spans="1:13" ht="90.45" customHeight="1" x14ac:dyDescent="0.3">
      <c r="A14" s="23" t="s">
        <v>26</v>
      </c>
      <c r="B14" s="161" t="s">
        <v>291</v>
      </c>
      <c r="C14" s="162" t="s">
        <v>235</v>
      </c>
      <c r="D14" s="24">
        <v>17649</v>
      </c>
      <c r="E14" s="146">
        <v>16680</v>
      </c>
      <c r="F14" s="164" t="s">
        <v>410</v>
      </c>
      <c r="G14" s="164" t="s">
        <v>304</v>
      </c>
      <c r="H14" s="35">
        <v>17000</v>
      </c>
      <c r="I14" s="22">
        <v>16332</v>
      </c>
      <c r="J14" s="91" t="s">
        <v>340</v>
      </c>
      <c r="K14" s="24">
        <v>18750</v>
      </c>
      <c r="L14" s="24">
        <v>18750</v>
      </c>
      <c r="M14" s="25"/>
    </row>
    <row r="15" spans="1:13" s="31" customFormat="1" ht="72" customHeight="1" x14ac:dyDescent="0.3">
      <c r="A15" s="42" t="s">
        <v>31</v>
      </c>
      <c r="B15" s="50">
        <f t="shared" ref="B15" si="0">B13/B10</f>
        <v>1.3836825806521395E-2</v>
      </c>
      <c r="C15" s="50" t="s">
        <v>236</v>
      </c>
      <c r="D15" s="44">
        <f t="shared" ref="D15:F15" si="1">D13/D10</f>
        <v>5.3326934101241182E-3</v>
      </c>
      <c r="E15" s="44">
        <f t="shared" si="1"/>
        <v>1.0023387905111928E-2</v>
      </c>
      <c r="F15" s="59">
        <f t="shared" si="1"/>
        <v>1.4E-2</v>
      </c>
      <c r="G15" s="207">
        <f>G13/G10</f>
        <v>1.4E-2</v>
      </c>
      <c r="H15" s="50">
        <f t="shared" ref="H15:I15" si="2">H13/H10</f>
        <v>5.0000000000000001E-3</v>
      </c>
      <c r="I15" s="44">
        <f t="shared" si="2"/>
        <v>1.2408000000000001E-2</v>
      </c>
      <c r="J15" s="92" t="s">
        <v>346</v>
      </c>
      <c r="K15" s="44">
        <f>K13/K10</f>
        <v>1.308E-2</v>
      </c>
      <c r="L15" s="44">
        <f>L13/L10</f>
        <v>8.6400000000000001E-3</v>
      </c>
      <c r="M15" s="30"/>
    </row>
    <row r="16" spans="1:13" s="31" customFormat="1" ht="62.4" x14ac:dyDescent="0.3">
      <c r="A16" s="42" t="s">
        <v>59</v>
      </c>
      <c r="B16" s="163" t="s">
        <v>331</v>
      </c>
      <c r="C16" s="50" t="s">
        <v>293</v>
      </c>
      <c r="D16" s="50">
        <f t="shared" ref="D16" si="3">D14/D10</f>
        <v>3.5329093842072286E-2</v>
      </c>
      <c r="E16" s="50">
        <f>E14/E10</f>
        <v>3.341129301703976E-2</v>
      </c>
      <c r="F16" s="50" t="s">
        <v>409</v>
      </c>
      <c r="G16" s="50" t="s">
        <v>305</v>
      </c>
      <c r="H16" s="50">
        <f>H14/H10</f>
        <v>3.4000000000000002E-2</v>
      </c>
      <c r="I16" s="50">
        <f t="shared" ref="I16:L16" si="4">I14/I10</f>
        <v>3.2663999999999999E-2</v>
      </c>
      <c r="J16" s="50" t="s">
        <v>342</v>
      </c>
      <c r="K16" s="59">
        <f t="shared" ref="K16" si="5">K14/K10</f>
        <v>3.7499999999999999E-2</v>
      </c>
      <c r="L16" s="59">
        <f t="shared" si="4"/>
        <v>3.7499999999999999E-2</v>
      </c>
      <c r="M16" s="30"/>
    </row>
    <row r="17" spans="1:13" ht="25.35" customHeight="1" x14ac:dyDescent="0.3">
      <c r="A17" s="23" t="s">
        <v>105</v>
      </c>
      <c r="B17" s="35">
        <v>399865</v>
      </c>
      <c r="C17" s="35">
        <v>400000</v>
      </c>
      <c r="D17" s="35">
        <v>399647</v>
      </c>
      <c r="E17" s="35">
        <v>399385</v>
      </c>
      <c r="F17" s="24">
        <v>400000</v>
      </c>
      <c r="G17" s="35">
        <v>400000</v>
      </c>
      <c r="H17" s="35">
        <v>400000</v>
      </c>
      <c r="I17" s="24">
        <v>400000</v>
      </c>
      <c r="J17" s="35">
        <v>400000</v>
      </c>
      <c r="K17" s="24">
        <v>400000</v>
      </c>
      <c r="L17" s="24">
        <v>400000</v>
      </c>
      <c r="M17" s="25"/>
    </row>
    <row r="18" spans="1:13" s="31" customFormat="1" ht="42.6" customHeight="1" x14ac:dyDescent="0.3">
      <c r="A18" s="42" t="s">
        <v>107</v>
      </c>
      <c r="B18" s="51">
        <f t="shared" ref="B18" si="6">B17/B10</f>
        <v>0.8009354880029933</v>
      </c>
      <c r="C18" s="51">
        <f t="shared" ref="C18:L18" si="7">C17/C10</f>
        <v>0.8</v>
      </c>
      <c r="D18" s="43">
        <f t="shared" si="7"/>
        <v>0.79999809432277535</v>
      </c>
      <c r="E18" s="43">
        <f t="shared" si="7"/>
        <v>0.79999815717088874</v>
      </c>
      <c r="F18" s="43">
        <f t="shared" ref="F18:G18" si="8">F17/F10</f>
        <v>0.8</v>
      </c>
      <c r="G18" s="51">
        <f t="shared" si="8"/>
        <v>0.8</v>
      </c>
      <c r="H18" s="51">
        <f t="shared" si="7"/>
        <v>0.8</v>
      </c>
      <c r="I18" s="43">
        <f t="shared" si="7"/>
        <v>0.8</v>
      </c>
      <c r="J18" s="43">
        <f>J17/J10</f>
        <v>0.8</v>
      </c>
      <c r="K18" s="43">
        <f t="shared" ref="K18" si="9">K17/K10</f>
        <v>0.8</v>
      </c>
      <c r="L18" s="43">
        <f t="shared" si="7"/>
        <v>0.8</v>
      </c>
      <c r="M18" s="30"/>
    </row>
    <row r="19" spans="1:13" s="31" customFormat="1" ht="59.55" customHeight="1" x14ac:dyDescent="0.3">
      <c r="A19" s="34" t="s">
        <v>25</v>
      </c>
      <c r="B19" s="156" t="s">
        <v>276</v>
      </c>
      <c r="C19" s="78" t="s">
        <v>223</v>
      </c>
      <c r="D19" s="78" t="s">
        <v>77</v>
      </c>
      <c r="E19" s="41" t="s">
        <v>77</v>
      </c>
      <c r="F19" s="156" t="s">
        <v>276</v>
      </c>
      <c r="G19" s="78" t="s">
        <v>306</v>
      </c>
      <c r="H19" s="78" t="s">
        <v>104</v>
      </c>
      <c r="I19" s="41" t="s">
        <v>85</v>
      </c>
      <c r="J19" s="41" t="s">
        <v>125</v>
      </c>
      <c r="K19" s="41" t="s">
        <v>89</v>
      </c>
      <c r="L19" s="41" t="s">
        <v>230</v>
      </c>
      <c r="M19" s="30"/>
    </row>
    <row r="20" spans="1:13" ht="36.6" customHeight="1" x14ac:dyDescent="0.3">
      <c r="A20" s="36" t="s">
        <v>30</v>
      </c>
      <c r="B20" s="28">
        <v>504239</v>
      </c>
      <c r="C20" s="28">
        <v>505000</v>
      </c>
      <c r="D20" s="28">
        <v>504555</v>
      </c>
      <c r="E20" s="28">
        <v>504224</v>
      </c>
      <c r="F20" s="28">
        <v>525000</v>
      </c>
      <c r="G20" s="28">
        <v>505000</v>
      </c>
      <c r="H20" s="28">
        <v>505000</v>
      </c>
      <c r="I20" s="28">
        <v>525000</v>
      </c>
      <c r="J20" s="28">
        <v>525000</v>
      </c>
      <c r="K20" s="28">
        <v>525000</v>
      </c>
      <c r="L20" s="28">
        <v>525000</v>
      </c>
      <c r="M20" s="25"/>
    </row>
    <row r="21" spans="1:13" ht="41.55" customHeight="1" x14ac:dyDescent="0.3">
      <c r="A21" s="32" t="s">
        <v>32</v>
      </c>
      <c r="B21" s="33">
        <f t="shared" ref="B21" si="10">B20/B10</f>
        <v>1.0099981482128753</v>
      </c>
      <c r="C21" s="33">
        <f t="shared" ref="C21:L21" si="11">C20/C10</f>
        <v>1.01</v>
      </c>
      <c r="D21" s="33">
        <f t="shared" si="11"/>
        <v>1.0099989202496902</v>
      </c>
      <c r="E21" s="33">
        <f t="shared" si="11"/>
        <v>1.0099985497736124</v>
      </c>
      <c r="F21" s="33">
        <f t="shared" ref="F21:G21" si="12">F20/F10</f>
        <v>1.05</v>
      </c>
      <c r="G21" s="33">
        <f t="shared" si="12"/>
        <v>1.01</v>
      </c>
      <c r="H21" s="33">
        <f t="shared" si="11"/>
        <v>1.01</v>
      </c>
      <c r="I21" s="33">
        <f t="shared" si="11"/>
        <v>1.05</v>
      </c>
      <c r="J21" s="33">
        <f t="shared" si="11"/>
        <v>1.05</v>
      </c>
      <c r="K21" s="33">
        <f t="shared" ref="K21" si="13">K20/K10</f>
        <v>1.05</v>
      </c>
      <c r="L21" s="33">
        <f t="shared" si="11"/>
        <v>1.05</v>
      </c>
      <c r="M21" s="25"/>
    </row>
    <row r="22" spans="1:13" ht="20.55" customHeight="1" x14ac:dyDescent="0.3">
      <c r="A22" s="38" t="s">
        <v>84</v>
      </c>
      <c r="B22" s="39"/>
      <c r="C22" s="39"/>
      <c r="D22" s="39"/>
      <c r="E22" s="60"/>
      <c r="F22" s="63"/>
      <c r="G22" s="39"/>
      <c r="H22" s="39"/>
      <c r="I22" s="39"/>
      <c r="J22" s="39"/>
      <c r="K22" s="39"/>
      <c r="L22" s="39"/>
      <c r="M22" s="25"/>
    </row>
    <row r="23" spans="1:13" ht="22.5" customHeight="1" x14ac:dyDescent="0.3">
      <c r="A23" s="68" t="s">
        <v>38</v>
      </c>
      <c r="B23" s="69"/>
      <c r="C23" s="69"/>
      <c r="D23" s="69"/>
      <c r="E23" s="69"/>
      <c r="F23" s="93"/>
      <c r="G23" s="69"/>
      <c r="H23" s="69"/>
      <c r="I23" s="69"/>
      <c r="J23" s="69"/>
      <c r="K23" s="69"/>
      <c r="L23" s="69"/>
      <c r="M23" s="25"/>
    </row>
    <row r="24" spans="1:13" ht="22.5" customHeight="1" x14ac:dyDescent="0.3">
      <c r="A24" s="45" t="s">
        <v>39</v>
      </c>
      <c r="B24" s="47">
        <v>504239</v>
      </c>
      <c r="C24" s="47">
        <v>450200</v>
      </c>
      <c r="D24" s="47">
        <v>504555</v>
      </c>
      <c r="E24" s="28">
        <v>504224</v>
      </c>
      <c r="F24" s="29">
        <v>525000</v>
      </c>
      <c r="G24" s="46">
        <v>442000</v>
      </c>
      <c r="H24" s="47">
        <v>505000</v>
      </c>
      <c r="I24" s="47">
        <v>525000</v>
      </c>
      <c r="J24" s="171">
        <v>474984</v>
      </c>
      <c r="K24" s="46">
        <v>479220</v>
      </c>
      <c r="L24" s="46">
        <v>525000</v>
      </c>
      <c r="M24" s="25"/>
    </row>
    <row r="25" spans="1:13" ht="22.5" customHeight="1" x14ac:dyDescent="0.3">
      <c r="A25" s="27" t="s">
        <v>40</v>
      </c>
      <c r="B25" s="28">
        <v>509481</v>
      </c>
      <c r="C25" s="28">
        <v>472550</v>
      </c>
      <c r="D25" s="28">
        <v>519541</v>
      </c>
      <c r="E25" s="28">
        <v>519200</v>
      </c>
      <c r="F25" s="29">
        <v>532500</v>
      </c>
      <c r="G25" s="29">
        <v>447500</v>
      </c>
      <c r="H25" s="28">
        <v>513350</v>
      </c>
      <c r="I25" s="29">
        <v>539551</v>
      </c>
      <c r="J25" s="172">
        <v>475180</v>
      </c>
      <c r="K25" s="46">
        <v>479220</v>
      </c>
      <c r="L25" s="46">
        <v>530000</v>
      </c>
      <c r="M25" s="25"/>
    </row>
    <row r="26" spans="1:13" ht="22.5" customHeight="1" x14ac:dyDescent="0.3">
      <c r="A26" s="32" t="s">
        <v>33</v>
      </c>
      <c r="B26" s="33">
        <f t="shared" ref="B26" si="14">B24/B10</f>
        <v>1.0099981482128753</v>
      </c>
      <c r="C26" s="33">
        <f t="shared" ref="C26:D26" si="15">C24/C10</f>
        <v>0.90039999999999998</v>
      </c>
      <c r="D26" s="33">
        <f t="shared" si="15"/>
        <v>1.0099989202496902</v>
      </c>
      <c r="E26" s="33">
        <f>E24/E10</f>
        <v>1.0099985497736124</v>
      </c>
      <c r="F26" s="33">
        <f>F24/F10</f>
        <v>1.05</v>
      </c>
      <c r="G26" s="33">
        <f t="shared" ref="G26:H26" si="16">G24/G10</f>
        <v>0.88400000000000001</v>
      </c>
      <c r="H26" s="33">
        <f t="shared" si="16"/>
        <v>1.01</v>
      </c>
      <c r="I26" s="33">
        <f t="shared" ref="I26:L26" si="17">I24/I10</f>
        <v>1.05</v>
      </c>
      <c r="J26" s="33">
        <f t="shared" si="17"/>
        <v>0.94996800000000003</v>
      </c>
      <c r="K26" s="33">
        <f t="shared" ref="K26" si="18">K24/K10</f>
        <v>0.95843999999999996</v>
      </c>
      <c r="L26" s="33">
        <f t="shared" si="17"/>
        <v>1.05</v>
      </c>
      <c r="M26" s="25"/>
    </row>
    <row r="27" spans="1:13" ht="22.5" customHeight="1" x14ac:dyDescent="0.3">
      <c r="A27" s="32" t="s">
        <v>37</v>
      </c>
      <c r="B27" s="33">
        <f t="shared" ref="B27" si="19">B25/B10</f>
        <v>1.0204979514667525</v>
      </c>
      <c r="C27" s="33">
        <f t="shared" ref="C27:D27" si="20">C25/C10</f>
        <v>0.94510000000000005</v>
      </c>
      <c r="D27" s="33">
        <f t="shared" si="20"/>
        <v>1.0399973224434289</v>
      </c>
      <c r="E27" s="33">
        <f>E25/E10</f>
        <v>1.0399966027845948</v>
      </c>
      <c r="F27" s="33">
        <f>F25/F10</f>
        <v>1.0649999999999999</v>
      </c>
      <c r="G27" s="33">
        <f t="shared" ref="G27:H27" si="21">G25/G10</f>
        <v>0.89500000000000002</v>
      </c>
      <c r="H27" s="33">
        <f t="shared" si="21"/>
        <v>1.0266999999999999</v>
      </c>
      <c r="I27" s="33">
        <f t="shared" ref="I27:L27" si="22">I25/I10</f>
        <v>1.079102</v>
      </c>
      <c r="J27" s="33">
        <f t="shared" si="22"/>
        <v>0.95035999999999998</v>
      </c>
      <c r="K27" s="33">
        <f t="shared" ref="K27" si="23">K25/K10</f>
        <v>0.95843999999999996</v>
      </c>
      <c r="L27" s="33">
        <f t="shared" si="22"/>
        <v>1.06</v>
      </c>
      <c r="M27" s="25"/>
    </row>
    <row r="28" spans="1:13" ht="22.5" customHeight="1" x14ac:dyDescent="0.3">
      <c r="A28" s="392" t="s">
        <v>75</v>
      </c>
      <c r="B28" s="392"/>
      <c r="C28" s="392"/>
      <c r="D28" s="392"/>
      <c r="E28" s="392"/>
      <c r="F28" s="392"/>
      <c r="G28" s="392"/>
      <c r="H28" s="392"/>
      <c r="I28" s="392"/>
      <c r="J28" s="392"/>
      <c r="K28" s="392"/>
      <c r="L28" s="392"/>
      <c r="M28" s="25"/>
    </row>
    <row r="29" spans="1:13" ht="22.5" customHeight="1" x14ac:dyDescent="0.3">
      <c r="A29" s="45" t="s">
        <v>41</v>
      </c>
      <c r="B29" s="47">
        <f>8*B13</f>
        <v>55264</v>
      </c>
      <c r="C29" s="47">
        <v>54793</v>
      </c>
      <c r="D29" s="47">
        <v>15984</v>
      </c>
      <c r="E29" s="29">
        <v>30024</v>
      </c>
      <c r="F29" s="46">
        <v>56000</v>
      </c>
      <c r="G29" s="46">
        <v>63000</v>
      </c>
      <c r="H29" s="47">
        <v>20000</v>
      </c>
      <c r="I29" s="46">
        <f>6*I13</f>
        <v>37224</v>
      </c>
      <c r="J29" s="172">
        <v>50016</v>
      </c>
      <c r="K29" s="46">
        <v>45780</v>
      </c>
      <c r="L29" s="46">
        <v>25920</v>
      </c>
      <c r="M29" s="25"/>
    </row>
    <row r="30" spans="1:13" ht="22.5" customHeight="1" x14ac:dyDescent="0.3">
      <c r="A30" s="20" t="s">
        <v>69</v>
      </c>
      <c r="B30" s="35">
        <v>502991</v>
      </c>
      <c r="C30" s="35">
        <v>400000</v>
      </c>
      <c r="D30" s="35">
        <v>500808</v>
      </c>
      <c r="E30" s="53">
        <v>500480</v>
      </c>
      <c r="F30" s="29">
        <v>505000</v>
      </c>
      <c r="G30" s="29">
        <v>400000</v>
      </c>
      <c r="H30" s="35">
        <v>400000</v>
      </c>
      <c r="I30" s="26">
        <v>400000</v>
      </c>
      <c r="J30" s="26">
        <v>400000</v>
      </c>
      <c r="K30" s="26">
        <v>400000</v>
      </c>
      <c r="L30" s="26">
        <v>400000</v>
      </c>
      <c r="M30" s="25"/>
    </row>
    <row r="31" spans="1:13" ht="22.5" customHeight="1" x14ac:dyDescent="0.3">
      <c r="A31" s="34" t="s">
        <v>34</v>
      </c>
      <c r="B31" s="33">
        <f t="shared" ref="B31" si="24">B29/B10</f>
        <v>0.11069460645217116</v>
      </c>
      <c r="C31" s="33">
        <f t="shared" ref="C31:H31" si="25">C29/C10</f>
        <v>0.109586</v>
      </c>
      <c r="D31" s="33">
        <f t="shared" ref="D31:E31" si="26">D29/D10</f>
        <v>3.1996160460744709E-2</v>
      </c>
      <c r="E31" s="33">
        <f t="shared" si="26"/>
        <v>6.0140327430671561E-2</v>
      </c>
      <c r="F31" s="33">
        <f t="shared" si="25"/>
        <v>0.112</v>
      </c>
      <c r="G31" s="33">
        <f t="shared" ref="G31" si="27">G29/G10</f>
        <v>0.126</v>
      </c>
      <c r="H31" s="33">
        <f t="shared" si="25"/>
        <v>0.04</v>
      </c>
      <c r="I31" s="33">
        <f t="shared" ref="I31:L31" si="28">I29/I10</f>
        <v>7.4448E-2</v>
      </c>
      <c r="J31" s="33">
        <f t="shared" si="28"/>
        <v>0.100032</v>
      </c>
      <c r="K31" s="33">
        <f t="shared" ref="K31" si="29">K29/K10</f>
        <v>9.1560000000000002E-2</v>
      </c>
      <c r="L31" s="33">
        <f t="shared" si="28"/>
        <v>5.1839999999999997E-2</v>
      </c>
      <c r="M31" s="25"/>
    </row>
    <row r="32" spans="1:13" ht="22.5" customHeight="1" x14ac:dyDescent="0.3">
      <c r="A32" s="34" t="s">
        <v>70</v>
      </c>
      <c r="B32" s="33">
        <f>(B29+B30)/B10</f>
        <v>1.1181929922726697</v>
      </c>
      <c r="C32" s="33">
        <f>(C29+C30)/C10</f>
        <v>0.90958600000000001</v>
      </c>
      <c r="D32" s="33">
        <f t="shared" ref="D32" si="30">(D29+D30)/D10</f>
        <v>1.0344944792811048</v>
      </c>
      <c r="E32" s="33">
        <f t="shared" ref="E32" si="31">(E30+E29)/E10</f>
        <v>1.0626393639515384</v>
      </c>
      <c r="F32" s="33">
        <f t="shared" ref="F32" si="32">(F29+F30)/F10</f>
        <v>1.1220000000000001</v>
      </c>
      <c r="G32" s="33">
        <f>(G29+G30)/G10</f>
        <v>0.92600000000000005</v>
      </c>
      <c r="H32" s="33">
        <f>(H29+H30)/H10</f>
        <v>0.84</v>
      </c>
      <c r="I32" s="33">
        <f t="shared" ref="I32:L32" si="33">(I29+I30)/I10</f>
        <v>0.874448</v>
      </c>
      <c r="J32" s="33">
        <f t="shared" si="33"/>
        <v>0.90003200000000005</v>
      </c>
      <c r="K32" s="33">
        <f t="shared" ref="K32" si="34">(K29+K30)/K10</f>
        <v>0.89156000000000002</v>
      </c>
      <c r="L32" s="33">
        <f t="shared" si="33"/>
        <v>0.85184000000000004</v>
      </c>
      <c r="M32" s="70"/>
    </row>
    <row r="33" spans="1:13" ht="22.5" customHeight="1" x14ac:dyDescent="0.3">
      <c r="A33" s="392" t="s">
        <v>76</v>
      </c>
      <c r="B33" s="392"/>
      <c r="C33" s="392"/>
      <c r="D33" s="392"/>
      <c r="E33" s="392"/>
      <c r="F33" s="392"/>
      <c r="G33" s="392"/>
      <c r="H33" s="392"/>
      <c r="I33" s="392"/>
      <c r="J33" s="392"/>
      <c r="K33" s="392"/>
      <c r="L33" s="392"/>
      <c r="M33" s="25"/>
    </row>
    <row r="34" spans="1:13" ht="39" customHeight="1" x14ac:dyDescent="0.3">
      <c r="A34" s="15" t="s">
        <v>72</v>
      </c>
      <c r="B34" s="52">
        <f>8*16328</f>
        <v>130624</v>
      </c>
      <c r="C34" s="52">
        <v>143893</v>
      </c>
      <c r="D34" s="52">
        <f>D29/D13*D14</f>
        <v>105894</v>
      </c>
      <c r="E34" s="52">
        <v>100080</v>
      </c>
      <c r="F34" s="29">
        <f>151169-15169</f>
        <v>136000</v>
      </c>
      <c r="G34" s="46">
        <f>63000+97500</f>
        <v>160500</v>
      </c>
      <c r="H34" s="52">
        <v>136000</v>
      </c>
      <c r="I34" s="46">
        <f>6*I14</f>
        <v>97992</v>
      </c>
      <c r="J34" s="172">
        <v>145250</v>
      </c>
      <c r="K34" s="26">
        <v>131250</v>
      </c>
      <c r="L34" s="142">
        <v>112500</v>
      </c>
      <c r="M34" s="25"/>
    </row>
    <row r="35" spans="1:13" ht="22.5" customHeight="1" x14ac:dyDescent="0.3">
      <c r="A35" s="20" t="s">
        <v>42</v>
      </c>
      <c r="B35" s="35">
        <v>508233</v>
      </c>
      <c r="C35" s="35">
        <v>407850</v>
      </c>
      <c r="D35" s="35">
        <v>515794</v>
      </c>
      <c r="E35" s="28">
        <v>515456</v>
      </c>
      <c r="F35" s="29">
        <v>508750</v>
      </c>
      <c r="G35" s="29">
        <v>405500</v>
      </c>
      <c r="H35" s="35">
        <v>413350</v>
      </c>
      <c r="I35" s="26">
        <v>450298</v>
      </c>
      <c r="J35" s="26">
        <v>403479</v>
      </c>
      <c r="K35" s="26">
        <v>405000</v>
      </c>
      <c r="L35" s="26">
        <v>430000</v>
      </c>
      <c r="M35" s="25"/>
    </row>
    <row r="36" spans="1:13" ht="22.5" customHeight="1" x14ac:dyDescent="0.3">
      <c r="A36" s="34" t="s">
        <v>43</v>
      </c>
      <c r="B36" s="33">
        <f t="shared" ref="B36" si="35">B34/B10</f>
        <v>0.26164179706876822</v>
      </c>
      <c r="C36" s="33">
        <f t="shared" ref="C36:H36" si="36">C34/C10</f>
        <v>0.28778599999999999</v>
      </c>
      <c r="D36" s="33">
        <f t="shared" ref="D36" si="37">D34/D10</f>
        <v>0.2119745630524337</v>
      </c>
      <c r="E36" s="33">
        <f>E34/E10</f>
        <v>0.20046775810223855</v>
      </c>
      <c r="F36" s="33">
        <f t="shared" si="36"/>
        <v>0.27200000000000002</v>
      </c>
      <c r="G36" s="33">
        <f t="shared" ref="G36" si="38">G34/G10</f>
        <v>0.32100000000000001</v>
      </c>
      <c r="H36" s="33">
        <f t="shared" si="36"/>
        <v>0.27200000000000002</v>
      </c>
      <c r="I36" s="33">
        <f t="shared" ref="I36:L36" si="39">I34/I10</f>
        <v>0.19598399999999999</v>
      </c>
      <c r="J36" s="33">
        <f t="shared" si="39"/>
        <v>0.29049999999999998</v>
      </c>
      <c r="K36" s="33">
        <f t="shared" ref="K36" si="40">K34/K10</f>
        <v>0.26250000000000001</v>
      </c>
      <c r="L36" s="33">
        <f t="shared" si="39"/>
        <v>0.22500000000000001</v>
      </c>
      <c r="M36" s="25"/>
    </row>
    <row r="37" spans="1:13" ht="22.5" customHeight="1" x14ac:dyDescent="0.3">
      <c r="A37" s="62" t="s">
        <v>71</v>
      </c>
      <c r="B37" s="33">
        <f>(B34+B35)/B10</f>
        <v>1.279639986143144</v>
      </c>
      <c r="C37" s="33">
        <f>(C34+C35)/C10</f>
        <v>1.103486</v>
      </c>
      <c r="D37" s="33">
        <f t="shared" ref="D37:E37" si="41">(D34+D35)/D10</f>
        <v>1.2444712840665326</v>
      </c>
      <c r="E37" s="33">
        <f t="shared" si="41"/>
        <v>1.2329648476340878</v>
      </c>
      <c r="F37" s="33">
        <f t="shared" ref="F37" si="42">(F34+F35)/F10</f>
        <v>1.2895000000000001</v>
      </c>
      <c r="G37" s="33">
        <f>(G34+G35)/G10</f>
        <v>1.1319999999999999</v>
      </c>
      <c r="H37" s="33">
        <f>(H34+H35)/H10</f>
        <v>1.0987</v>
      </c>
      <c r="I37" s="33">
        <f t="shared" ref="I37:L37" si="43">(I34+I35)/I10</f>
        <v>1.0965800000000001</v>
      </c>
      <c r="J37" s="33">
        <f t="shared" si="43"/>
        <v>1.097458</v>
      </c>
      <c r="K37" s="33">
        <f t="shared" ref="K37" si="44">(K34+K35)/K10</f>
        <v>1.0725</v>
      </c>
      <c r="L37" s="33">
        <f t="shared" si="43"/>
        <v>1.085</v>
      </c>
      <c r="M37" s="71"/>
    </row>
    <row r="38" spans="1:13" ht="22.5" customHeight="1" x14ac:dyDescent="0.3">
      <c r="A38" s="412" t="s">
        <v>81</v>
      </c>
      <c r="B38" s="412"/>
      <c r="C38" s="412"/>
      <c r="D38" s="412"/>
      <c r="E38" s="412"/>
      <c r="F38" s="412"/>
      <c r="G38" s="412"/>
      <c r="H38" s="412"/>
      <c r="I38" s="412"/>
      <c r="J38" s="412"/>
      <c r="K38" s="412"/>
      <c r="L38" s="412"/>
      <c r="M38" s="25"/>
    </row>
    <row r="39" spans="1:13" ht="22.5" customHeight="1" x14ac:dyDescent="0.3">
      <c r="A39" s="399" t="s">
        <v>38</v>
      </c>
      <c r="B39" s="399"/>
      <c r="C39" s="399"/>
      <c r="D39" s="399"/>
      <c r="E39" s="399"/>
      <c r="F39" s="399"/>
      <c r="G39" s="399"/>
      <c r="H39" s="399"/>
      <c r="I39" s="399"/>
      <c r="J39" s="399"/>
      <c r="K39" s="399"/>
      <c r="L39" s="399"/>
      <c r="M39" s="25"/>
    </row>
    <row r="40" spans="1:13" ht="22.5" customHeight="1" x14ac:dyDescent="0.3">
      <c r="A40" s="45" t="s">
        <v>39</v>
      </c>
      <c r="B40" s="47">
        <v>528752</v>
      </c>
      <c r="C40" s="47">
        <v>400000</v>
      </c>
      <c r="D40" s="47">
        <v>526436</v>
      </c>
      <c r="E40" s="47">
        <v>526091</v>
      </c>
      <c r="F40" s="29">
        <v>525000</v>
      </c>
      <c r="G40" s="46">
        <v>400000</v>
      </c>
      <c r="H40" s="47">
        <v>505000</v>
      </c>
      <c r="I40" s="47">
        <v>525000</v>
      </c>
      <c r="J40" s="47">
        <v>400000</v>
      </c>
      <c r="K40" s="46">
        <v>400000</v>
      </c>
      <c r="L40" s="46">
        <v>525000</v>
      </c>
      <c r="M40" s="25"/>
    </row>
    <row r="41" spans="1:13" ht="22.5" customHeight="1" x14ac:dyDescent="0.3">
      <c r="A41" s="27" t="s">
        <v>40</v>
      </c>
      <c r="B41" s="28">
        <v>544578</v>
      </c>
      <c r="C41" s="28">
        <v>425650</v>
      </c>
      <c r="D41" s="28">
        <v>541422</v>
      </c>
      <c r="E41" s="28">
        <v>541067</v>
      </c>
      <c r="F41" s="29">
        <v>552500</v>
      </c>
      <c r="G41" s="29">
        <v>426500</v>
      </c>
      <c r="H41" s="28">
        <v>571650</v>
      </c>
      <c r="I41" s="29">
        <v>667004</v>
      </c>
      <c r="J41" s="173">
        <v>412357</v>
      </c>
      <c r="K41" s="29">
        <v>445000</v>
      </c>
      <c r="L41" s="29">
        <v>535000</v>
      </c>
      <c r="M41" s="25"/>
    </row>
    <row r="42" spans="1:13" ht="22.5" customHeight="1" x14ac:dyDescent="0.3">
      <c r="A42" s="32" t="s">
        <v>33</v>
      </c>
      <c r="B42" s="33">
        <f t="shared" ref="B42:L42" si="45">B40/B10</f>
        <v>1.0590980484727563</v>
      </c>
      <c r="C42" s="33">
        <f t="shared" si="45"/>
        <v>0.8</v>
      </c>
      <c r="D42" s="33">
        <f t="shared" si="45"/>
        <v>1.0537994699895272</v>
      </c>
      <c r="E42" s="33">
        <f t="shared" si="45"/>
        <v>1.0537997934428935</v>
      </c>
      <c r="F42" s="33">
        <f t="shared" si="45"/>
        <v>1.05</v>
      </c>
      <c r="G42" s="33">
        <f t="shared" si="45"/>
        <v>0.8</v>
      </c>
      <c r="H42" s="33">
        <f t="shared" si="45"/>
        <v>1.01</v>
      </c>
      <c r="I42" s="33">
        <f t="shared" si="45"/>
        <v>1.05</v>
      </c>
      <c r="J42" s="33">
        <f t="shared" si="45"/>
        <v>0.8</v>
      </c>
      <c r="K42" s="33">
        <f t="shared" si="45"/>
        <v>0.8</v>
      </c>
      <c r="L42" s="33">
        <f t="shared" si="45"/>
        <v>1.05</v>
      </c>
      <c r="M42" s="25"/>
    </row>
    <row r="43" spans="1:13" ht="22.5" customHeight="1" x14ac:dyDescent="0.3">
      <c r="A43" s="32" t="s">
        <v>37</v>
      </c>
      <c r="B43" s="33">
        <f t="shared" ref="B43:L43" si="46">B41/B10</f>
        <v>1.0907977597081366</v>
      </c>
      <c r="C43" s="33">
        <f t="shared" si="46"/>
        <v>0.85129999999999995</v>
      </c>
      <c r="D43" s="33">
        <f t="shared" si="46"/>
        <v>1.083797872183266</v>
      </c>
      <c r="E43" s="33">
        <f t="shared" si="46"/>
        <v>1.083797846453876</v>
      </c>
      <c r="F43" s="33">
        <f t="shared" si="46"/>
        <v>1.105</v>
      </c>
      <c r="G43" s="33">
        <f t="shared" si="46"/>
        <v>0.85299999999999998</v>
      </c>
      <c r="H43" s="33">
        <f t="shared" si="46"/>
        <v>1.1433</v>
      </c>
      <c r="I43" s="33">
        <f t="shared" si="46"/>
        <v>1.3340080000000001</v>
      </c>
      <c r="J43" s="33">
        <f t="shared" si="46"/>
        <v>0.82471399999999995</v>
      </c>
      <c r="K43" s="33">
        <f t="shared" si="46"/>
        <v>0.89</v>
      </c>
      <c r="L43" s="33">
        <f t="shared" si="46"/>
        <v>1.07</v>
      </c>
      <c r="M43" s="25"/>
    </row>
    <row r="44" spans="1:13" ht="22.5" customHeight="1" x14ac:dyDescent="0.3">
      <c r="A44" s="392" t="s">
        <v>75</v>
      </c>
      <c r="B44" s="392"/>
      <c r="C44" s="392"/>
      <c r="D44" s="392"/>
      <c r="E44" s="392"/>
      <c r="F44" s="392"/>
      <c r="G44" s="392"/>
      <c r="H44" s="392"/>
      <c r="I44" s="392"/>
      <c r="J44" s="392"/>
      <c r="K44" s="392"/>
      <c r="L44" s="392"/>
      <c r="M44" s="25"/>
    </row>
    <row r="45" spans="1:13" ht="22.5" customHeight="1" x14ac:dyDescent="0.3">
      <c r="A45" s="45" t="s">
        <v>41</v>
      </c>
      <c r="B45" s="47">
        <f>28*B13</f>
        <v>193424</v>
      </c>
      <c r="C45" s="47">
        <v>189073</v>
      </c>
      <c r="D45" s="47">
        <v>69264</v>
      </c>
      <c r="E45" s="46">
        <v>130104</v>
      </c>
      <c r="F45" s="29">
        <v>196000</v>
      </c>
      <c r="G45" s="46">
        <v>203000</v>
      </c>
      <c r="H45" s="47">
        <v>70000</v>
      </c>
      <c r="I45" s="46">
        <f>26*I13</f>
        <v>161304</v>
      </c>
      <c r="J45" s="172">
        <v>170016</v>
      </c>
      <c r="K45" s="46">
        <v>176580</v>
      </c>
      <c r="L45" s="46">
        <v>112320</v>
      </c>
      <c r="M45" s="25"/>
    </row>
    <row r="46" spans="1:13" ht="22.5" customHeight="1" x14ac:dyDescent="0.3">
      <c r="A46" s="20" t="s">
        <v>69</v>
      </c>
      <c r="B46" s="35">
        <v>528752</v>
      </c>
      <c r="C46" s="35">
        <v>400000</v>
      </c>
      <c r="D46" s="35">
        <v>526436</v>
      </c>
      <c r="E46" s="47">
        <v>526091</v>
      </c>
      <c r="F46" s="29">
        <v>525000</v>
      </c>
      <c r="G46" s="29">
        <v>400000</v>
      </c>
      <c r="H46" s="35">
        <v>400000</v>
      </c>
      <c r="I46" s="26">
        <v>400000</v>
      </c>
      <c r="J46" s="66">
        <v>400000</v>
      </c>
      <c r="K46" s="46">
        <v>400000</v>
      </c>
      <c r="L46" s="46">
        <v>400000</v>
      </c>
      <c r="M46" s="25"/>
    </row>
    <row r="47" spans="1:13" ht="22.5" customHeight="1" x14ac:dyDescent="0.3">
      <c r="A47" s="34" t="s">
        <v>34</v>
      </c>
      <c r="B47" s="33">
        <f t="shared" ref="B47:L47" si="47">B45/B10</f>
        <v>0.38743112258259904</v>
      </c>
      <c r="C47" s="33">
        <f t="shared" si="47"/>
        <v>0.37814599999999998</v>
      </c>
      <c r="D47" s="33">
        <f t="shared" si="47"/>
        <v>0.13865002866322707</v>
      </c>
      <c r="E47" s="33">
        <f t="shared" si="47"/>
        <v>0.26060808553291009</v>
      </c>
      <c r="F47" s="33">
        <f t="shared" si="47"/>
        <v>0.39200000000000002</v>
      </c>
      <c r="G47" s="33">
        <f t="shared" si="47"/>
        <v>0.40600000000000003</v>
      </c>
      <c r="H47" s="33">
        <f t="shared" si="47"/>
        <v>0.14000000000000001</v>
      </c>
      <c r="I47" s="33">
        <f t="shared" si="47"/>
        <v>0.32260800000000001</v>
      </c>
      <c r="J47" s="33">
        <f t="shared" si="47"/>
        <v>0.340032</v>
      </c>
      <c r="K47" s="33">
        <f t="shared" si="47"/>
        <v>0.35315999999999997</v>
      </c>
      <c r="L47" s="33">
        <f t="shared" si="47"/>
        <v>0.22464000000000001</v>
      </c>
      <c r="M47" s="25"/>
    </row>
    <row r="48" spans="1:13" ht="22.5" customHeight="1" x14ac:dyDescent="0.3">
      <c r="A48" s="34" t="s">
        <v>70</v>
      </c>
      <c r="B48" s="33">
        <f>(B45+B46)/B10</f>
        <v>1.4465291710553554</v>
      </c>
      <c r="C48" s="33">
        <f>(C45+C46)/C10</f>
        <v>1.1781459999999999</v>
      </c>
      <c r="D48" s="33">
        <f t="shared" ref="D48:L48" si="48">(D45+D46)/D10</f>
        <v>1.1924494986527543</v>
      </c>
      <c r="E48" s="33">
        <f t="shared" si="48"/>
        <v>1.3144078789758036</v>
      </c>
      <c r="F48" s="33">
        <f t="shared" si="48"/>
        <v>1.4419999999999999</v>
      </c>
      <c r="G48" s="33">
        <f t="shared" si="48"/>
        <v>1.206</v>
      </c>
      <c r="H48" s="33">
        <f t="shared" si="48"/>
        <v>0.94</v>
      </c>
      <c r="I48" s="33">
        <f t="shared" si="48"/>
        <v>1.1226080000000001</v>
      </c>
      <c r="J48" s="33">
        <f t="shared" si="48"/>
        <v>1.1400319999999999</v>
      </c>
      <c r="K48" s="33">
        <f t="shared" si="48"/>
        <v>1.15316</v>
      </c>
      <c r="L48" s="33">
        <f t="shared" si="48"/>
        <v>1.02464</v>
      </c>
      <c r="M48" s="70"/>
    </row>
    <row r="49" spans="1:13" ht="22.5" customHeight="1" x14ac:dyDescent="0.3">
      <c r="A49" s="392" t="s">
        <v>76</v>
      </c>
      <c r="B49" s="392"/>
      <c r="C49" s="392"/>
      <c r="D49" s="392"/>
      <c r="E49" s="392"/>
      <c r="F49" s="392"/>
      <c r="G49" s="392"/>
      <c r="H49" s="392"/>
      <c r="I49" s="392"/>
      <c r="J49" s="392"/>
      <c r="K49" s="392"/>
      <c r="L49" s="392"/>
      <c r="M49" s="25"/>
    </row>
    <row r="50" spans="1:13" ht="30.6" customHeight="1" x14ac:dyDescent="0.3">
      <c r="A50" s="15" t="s">
        <v>72</v>
      </c>
      <c r="B50" s="47">
        <f>(20*16328)+(8*17898)</f>
        <v>469744</v>
      </c>
      <c r="C50" s="47">
        <v>509573</v>
      </c>
      <c r="D50" s="47">
        <f>D45/D13*D14</f>
        <v>458874</v>
      </c>
      <c r="E50" s="52">
        <v>433680</v>
      </c>
      <c r="F50" s="29">
        <f>739528-254528</f>
        <v>485000</v>
      </c>
      <c r="G50" s="46">
        <f>203000+327500</f>
        <v>530500</v>
      </c>
      <c r="H50" s="47">
        <v>476000</v>
      </c>
      <c r="I50" s="46">
        <v>342972</v>
      </c>
      <c r="J50" s="172">
        <v>491250</v>
      </c>
      <c r="K50" s="46">
        <v>506250</v>
      </c>
      <c r="L50" s="46">
        <v>487500</v>
      </c>
      <c r="M50" s="25"/>
    </row>
    <row r="51" spans="1:13" ht="22.5" customHeight="1" x14ac:dyDescent="0.3">
      <c r="A51" s="20" t="s">
        <v>42</v>
      </c>
      <c r="B51" s="28">
        <v>544578</v>
      </c>
      <c r="C51" s="28">
        <v>424400</v>
      </c>
      <c r="D51" s="28">
        <v>541422</v>
      </c>
      <c r="E51" s="28">
        <v>541067</v>
      </c>
      <c r="F51" s="29">
        <v>540000</v>
      </c>
      <c r="G51" s="29">
        <v>426500</v>
      </c>
      <c r="H51" s="28">
        <v>517400</v>
      </c>
      <c r="I51" s="22">
        <v>665269</v>
      </c>
      <c r="J51" s="22">
        <v>412357</v>
      </c>
      <c r="K51" s="29">
        <v>445000</v>
      </c>
      <c r="L51" s="29">
        <v>525000</v>
      </c>
      <c r="M51" s="25"/>
    </row>
    <row r="52" spans="1:13" ht="22.5" customHeight="1" x14ac:dyDescent="0.3">
      <c r="A52" s="34" t="s">
        <v>43</v>
      </c>
      <c r="B52" s="33">
        <f t="shared" ref="B52:L52" si="49">B50/B10</f>
        <v>0.94090415484345491</v>
      </c>
      <c r="C52" s="33">
        <f t="shared" si="49"/>
        <v>1.0191460000000001</v>
      </c>
      <c r="D52" s="33">
        <f t="shared" si="49"/>
        <v>0.91855643989387936</v>
      </c>
      <c r="E52" s="33">
        <f t="shared" si="49"/>
        <v>0.86869361844303372</v>
      </c>
      <c r="F52" s="33">
        <f t="shared" si="49"/>
        <v>0.97</v>
      </c>
      <c r="G52" s="33">
        <f t="shared" si="49"/>
        <v>1.0609999999999999</v>
      </c>
      <c r="H52" s="33">
        <f t="shared" si="49"/>
        <v>0.95199999999999996</v>
      </c>
      <c r="I52" s="33">
        <f t="shared" si="49"/>
        <v>0.685944</v>
      </c>
      <c r="J52" s="33">
        <f t="shared" si="49"/>
        <v>0.98250000000000004</v>
      </c>
      <c r="K52" s="33">
        <f t="shared" si="49"/>
        <v>1.0125</v>
      </c>
      <c r="L52" s="33">
        <f t="shared" si="49"/>
        <v>0.97499999999999998</v>
      </c>
      <c r="M52" s="25"/>
    </row>
    <row r="53" spans="1:13" ht="22.5" customHeight="1" x14ac:dyDescent="0.3">
      <c r="A53" s="34" t="s">
        <v>71</v>
      </c>
      <c r="B53" s="33">
        <f>(B50+B51)/B10</f>
        <v>2.0317019145515918</v>
      </c>
      <c r="C53" s="33">
        <f t="shared" ref="C53:L53" si="50">(C50+C51)/C10</f>
        <v>1.8679460000000001</v>
      </c>
      <c r="D53" s="33">
        <f t="shared" si="50"/>
        <v>2.0023543120771454</v>
      </c>
      <c r="E53" s="33">
        <f t="shared" si="50"/>
        <v>1.9524914648969096</v>
      </c>
      <c r="F53" s="33">
        <f t="shared" si="50"/>
        <v>2.0499999999999998</v>
      </c>
      <c r="G53" s="33">
        <f t="shared" si="50"/>
        <v>1.9139999999999999</v>
      </c>
      <c r="H53" s="33">
        <f t="shared" si="50"/>
        <v>1.9867999999999999</v>
      </c>
      <c r="I53" s="33">
        <f t="shared" si="50"/>
        <v>2.0164819999999999</v>
      </c>
      <c r="J53" s="33">
        <f t="shared" si="50"/>
        <v>1.8072140000000001</v>
      </c>
      <c r="K53" s="33">
        <f t="shared" si="50"/>
        <v>1.9025000000000001</v>
      </c>
      <c r="L53" s="33">
        <f t="shared" si="50"/>
        <v>2.0249999999999999</v>
      </c>
      <c r="M53" s="71"/>
    </row>
    <row r="54" spans="1:13" x14ac:dyDescent="0.3">
      <c r="E54" s="11"/>
    </row>
  </sheetData>
  <sheetProtection algorithmName="SHA-512" hashValue="UPeb+MHcGjoeWjqM66ROQvu3vv5M3Y1aqsPrZayN85jAfC5RIRhiSt4e/bcqP97DeNENr1vM8xYBuXp+o7LXoQ==" saltValue="I9DkrQRDchK+YvLrLro07A==" spinCount="100000" sheet="1" objects="1" scenarios="1"/>
  <mergeCells count="8">
    <mergeCell ref="A49:L49"/>
    <mergeCell ref="A39:L39"/>
    <mergeCell ref="A44:L44"/>
    <mergeCell ref="A1:M2"/>
    <mergeCell ref="A6:A7"/>
    <mergeCell ref="A33:L33"/>
    <mergeCell ref="A38:L38"/>
    <mergeCell ref="A28:L28"/>
  </mergeCells>
  <conditionalFormatting sqref="B26:L26">
    <cfRule type="top10" dxfId="25" priority="15" rank="1"/>
  </conditionalFormatting>
  <conditionalFormatting sqref="B27:L27">
    <cfRule type="top10" dxfId="24" priority="14" rank="1"/>
  </conditionalFormatting>
  <conditionalFormatting sqref="B31:L31">
    <cfRule type="top10" dxfId="23" priority="13" rank="1"/>
  </conditionalFormatting>
  <conditionalFormatting sqref="B32:L32">
    <cfRule type="top10" dxfId="22" priority="12" rank="1"/>
  </conditionalFormatting>
  <conditionalFormatting sqref="B36:L36">
    <cfRule type="top10" dxfId="21" priority="11" rank="1"/>
  </conditionalFormatting>
  <conditionalFormatting sqref="B37:L37">
    <cfRule type="top10" dxfId="20" priority="10" rank="1"/>
  </conditionalFormatting>
  <conditionalFormatting sqref="B42:L42">
    <cfRule type="top10" dxfId="19" priority="9" rank="1"/>
  </conditionalFormatting>
  <conditionalFormatting sqref="B43:L43">
    <cfRule type="top10" dxfId="18" priority="8" rank="1"/>
  </conditionalFormatting>
  <conditionalFormatting sqref="B47:L47">
    <cfRule type="top10" dxfId="17" priority="3" rank="1"/>
  </conditionalFormatting>
  <conditionalFormatting sqref="B48:L48">
    <cfRule type="top10" dxfId="16" priority="2" rank="1"/>
  </conditionalFormatting>
  <conditionalFormatting sqref="B52:L52">
    <cfRule type="top10" dxfId="15" priority="1" rank="1"/>
  </conditionalFormatting>
  <conditionalFormatting sqref="B53:L53">
    <cfRule type="top10" dxfId="14" priority="4" rank="1"/>
  </conditionalFormatting>
  <conditionalFormatting sqref="F21">
    <cfRule type="top10" dxfId="13" priority="132" rank="1"/>
  </conditionalFormatting>
  <conditionalFormatting sqref="H21:L21 B21">
    <cfRule type="top10" dxfId="12" priority="567" rank="1"/>
  </conditionalFormatting>
  <printOptions horizontalCentered="1" verticalCentered="1"/>
  <pageMargins left="0" right="0" top="0" bottom="0" header="0" footer="0"/>
  <pageSetup paperSize="9" scale="27" fitToHeight="0" orientation="landscape" r:id="rId1"/>
  <headerFooter>
    <oddFooter>&amp;L_x000D_&amp;1#&amp;"Calibri"&amp;8&amp;K0000FF Internal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A9BA-E2C9-48D7-B519-1E2806B5825F}">
  <sheetPr codeName="Sheet13">
    <tabColor rgb="FF00B0F0"/>
    <pageSetUpPr fitToPage="1"/>
  </sheetPr>
  <dimension ref="A1:L55"/>
  <sheetViews>
    <sheetView showGridLines="0" zoomScale="55" zoomScaleNormal="55" zoomScaleSheetLayoutView="100" workbookViewId="0">
      <pane xSplit="1" ySplit="7" topLeftCell="F8" activePane="bottomRight" state="frozen"/>
      <selection pane="topRight" activeCell="B1" sqref="B1"/>
      <selection pane="bottomLeft" activeCell="A8" sqref="A8"/>
      <selection pane="bottomRight" activeCell="F4" sqref="F4"/>
    </sheetView>
  </sheetViews>
  <sheetFormatPr defaultColWidth="9.21875" defaultRowHeight="15.6" x14ac:dyDescent="0.3"/>
  <cols>
    <col min="1" max="1" width="48.21875" style="11" customWidth="1"/>
    <col min="2" max="2" width="47" style="11" customWidth="1"/>
    <col min="3" max="3" width="43.33203125" style="11" customWidth="1"/>
    <col min="4" max="4" width="41.5546875" style="11" customWidth="1"/>
    <col min="5" max="5" width="32.77734375" customWidth="1"/>
    <col min="6" max="6" width="34.21875" style="11" bestFit="1" customWidth="1"/>
    <col min="7" max="7" width="34.21875" style="11" customWidth="1"/>
    <col min="8" max="8" width="28.44140625" style="11" bestFit="1" customWidth="1"/>
    <col min="9" max="9" width="36.5546875" style="11" bestFit="1" customWidth="1"/>
    <col min="10" max="10" width="51.5546875" style="11" bestFit="1" customWidth="1"/>
    <col min="11" max="11" width="35.21875" style="11" bestFit="1" customWidth="1"/>
    <col min="12" max="12" width="39.77734375" style="11" customWidth="1"/>
    <col min="13" max="16384" width="9.21875" style="11"/>
  </cols>
  <sheetData>
    <row r="1" spans="1:12" ht="15" customHeight="1" x14ac:dyDescent="0.3">
      <c r="A1" s="396"/>
      <c r="B1" s="396"/>
      <c r="C1" s="396"/>
      <c r="D1" s="396"/>
      <c r="E1" s="396"/>
      <c r="F1" s="396"/>
      <c r="G1" s="396"/>
      <c r="H1" s="396"/>
      <c r="I1" s="396"/>
      <c r="J1" s="396"/>
      <c r="K1" s="396"/>
      <c r="L1" s="396"/>
    </row>
    <row r="2" spans="1:12" x14ac:dyDescent="0.3">
      <c r="A2" s="396"/>
      <c r="B2" s="396"/>
      <c r="C2" s="396"/>
      <c r="D2" s="396"/>
      <c r="E2" s="396"/>
      <c r="F2" s="396"/>
      <c r="G2" s="396"/>
      <c r="H2" s="396"/>
      <c r="I2" s="396"/>
      <c r="J2" s="396"/>
      <c r="K2" s="396"/>
      <c r="L2" s="396"/>
    </row>
    <row r="3" spans="1:12" ht="15.75" customHeight="1" x14ac:dyDescent="0.3">
      <c r="A3" s="12" t="s">
        <v>78</v>
      </c>
      <c r="B3" s="12"/>
      <c r="C3" s="12"/>
      <c r="D3" s="12"/>
      <c r="E3" s="12"/>
      <c r="H3" s="12" t="s">
        <v>61</v>
      </c>
    </row>
    <row r="4" spans="1:12" x14ac:dyDescent="0.3">
      <c r="A4" s="174" t="s">
        <v>271</v>
      </c>
      <c r="B4" s="12"/>
      <c r="C4" s="12"/>
      <c r="D4" s="12"/>
      <c r="E4" s="12"/>
      <c r="H4" s="12"/>
    </row>
    <row r="5" spans="1:12" ht="20.25" customHeight="1" thickBot="1" x14ac:dyDescent="0.35">
      <c r="A5" s="12" t="s">
        <v>23</v>
      </c>
      <c r="B5" s="12"/>
      <c r="C5" s="12"/>
      <c r="D5" s="12"/>
      <c r="E5" s="12"/>
      <c r="H5" s="12"/>
    </row>
    <row r="6" spans="1:12" x14ac:dyDescent="0.3">
      <c r="A6" s="410"/>
      <c r="B6" s="235" t="s">
        <v>147</v>
      </c>
      <c r="C6" s="235" t="s">
        <v>147</v>
      </c>
      <c r="D6" s="282" t="s">
        <v>240</v>
      </c>
      <c r="E6" s="235" t="s">
        <v>240</v>
      </c>
      <c r="F6" s="236" t="s">
        <v>60</v>
      </c>
      <c r="G6" s="236" t="s">
        <v>100</v>
      </c>
      <c r="H6" s="236" t="s">
        <v>100</v>
      </c>
      <c r="I6" s="236" t="s">
        <v>28</v>
      </c>
      <c r="J6" s="236" t="s">
        <v>28</v>
      </c>
      <c r="K6" s="236" t="s">
        <v>148</v>
      </c>
      <c r="L6" s="237" t="s">
        <v>148</v>
      </c>
    </row>
    <row r="7" spans="1:12" ht="46.8" customHeight="1" x14ac:dyDescent="0.3">
      <c r="A7" s="415"/>
      <c r="B7" s="168" t="s">
        <v>334</v>
      </c>
      <c r="C7" s="168" t="s">
        <v>210</v>
      </c>
      <c r="D7" s="195" t="s">
        <v>262</v>
      </c>
      <c r="E7" s="168" t="s">
        <v>343</v>
      </c>
      <c r="F7" s="169" t="s">
        <v>388</v>
      </c>
      <c r="G7" s="169" t="s">
        <v>294</v>
      </c>
      <c r="H7" s="169" t="s">
        <v>101</v>
      </c>
      <c r="I7" s="169" t="s">
        <v>64</v>
      </c>
      <c r="J7" s="169" t="s">
        <v>335</v>
      </c>
      <c r="K7" s="169" t="s">
        <v>433</v>
      </c>
      <c r="L7" s="283" t="s">
        <v>211</v>
      </c>
    </row>
    <row r="8" spans="1:12" ht="16.5" customHeight="1" x14ac:dyDescent="0.3">
      <c r="A8" s="247" t="s">
        <v>19</v>
      </c>
      <c r="B8" s="16">
        <v>4.2500000000000003E-2</v>
      </c>
      <c r="C8" s="16">
        <v>4.2500000000000003E-2</v>
      </c>
      <c r="D8" s="194">
        <v>4.2500000000000003E-2</v>
      </c>
      <c r="E8" s="193">
        <v>4.2500000000000003E-2</v>
      </c>
      <c r="F8" s="16">
        <v>4.2500000000000003E-2</v>
      </c>
      <c r="G8" s="16">
        <v>4.2500000000000003E-2</v>
      </c>
      <c r="H8" s="16">
        <v>4.2500000000000003E-2</v>
      </c>
      <c r="I8" s="16">
        <v>4.2500000000000003E-2</v>
      </c>
      <c r="J8" s="16">
        <v>4.2500000000000003E-2</v>
      </c>
      <c r="K8" s="16">
        <v>4.2500000000000003E-2</v>
      </c>
      <c r="L8" s="248">
        <v>4.2500000000000003E-2</v>
      </c>
    </row>
    <row r="9" spans="1:12" ht="21" customHeight="1" x14ac:dyDescent="0.3">
      <c r="A9" s="284" t="s">
        <v>16</v>
      </c>
      <c r="B9" s="49" t="s">
        <v>79</v>
      </c>
      <c r="C9" s="49" t="s">
        <v>79</v>
      </c>
      <c r="D9" s="192" t="s">
        <v>80</v>
      </c>
      <c r="E9" s="177" t="s">
        <v>80</v>
      </c>
      <c r="F9" s="49" t="s">
        <v>79</v>
      </c>
      <c r="G9" s="49" t="s">
        <v>368</v>
      </c>
      <c r="H9" s="49" t="s">
        <v>79</v>
      </c>
      <c r="I9" s="49" t="s">
        <v>80</v>
      </c>
      <c r="J9" s="49" t="s">
        <v>80</v>
      </c>
      <c r="K9" s="49" t="s">
        <v>80</v>
      </c>
      <c r="L9" s="250" t="s">
        <v>80</v>
      </c>
    </row>
    <row r="10" spans="1:12" x14ac:dyDescent="0.3">
      <c r="A10" s="251" t="s">
        <v>29</v>
      </c>
      <c r="B10" s="53">
        <v>998532.3</v>
      </c>
      <c r="C10" s="35">
        <v>1000000</v>
      </c>
      <c r="D10" s="183">
        <v>998947.24</v>
      </c>
      <c r="E10" s="35">
        <v>999266.4</v>
      </c>
      <c r="F10" s="35">
        <v>1000000</v>
      </c>
      <c r="G10" s="35">
        <v>1000000</v>
      </c>
      <c r="H10" s="35">
        <v>1000000</v>
      </c>
      <c r="I10" s="35">
        <v>1000000</v>
      </c>
      <c r="J10" s="35">
        <v>1000000</v>
      </c>
      <c r="K10" s="35">
        <v>1000000</v>
      </c>
      <c r="L10" s="252">
        <v>1000000</v>
      </c>
    </row>
    <row r="11" spans="1:12" x14ac:dyDescent="0.3">
      <c r="A11" s="251" t="s">
        <v>24</v>
      </c>
      <c r="B11" s="35">
        <v>631000</v>
      </c>
      <c r="C11" s="35">
        <v>1000000</v>
      </c>
      <c r="D11" s="183">
        <v>668000</v>
      </c>
      <c r="E11" s="35">
        <v>558000</v>
      </c>
      <c r="F11" s="37" t="s">
        <v>88</v>
      </c>
      <c r="G11" s="35">
        <v>1010000</v>
      </c>
      <c r="H11" s="35" t="s">
        <v>88</v>
      </c>
      <c r="I11" s="35">
        <v>1000000</v>
      </c>
      <c r="J11" s="35">
        <v>1000000</v>
      </c>
      <c r="K11" s="37" t="s">
        <v>88</v>
      </c>
      <c r="L11" s="253" t="s">
        <v>88</v>
      </c>
    </row>
    <row r="12" spans="1:12" ht="15" customHeight="1" x14ac:dyDescent="0.3">
      <c r="A12" s="251" t="s">
        <v>17</v>
      </c>
      <c r="B12" s="21" t="s">
        <v>369</v>
      </c>
      <c r="C12" s="191" t="s">
        <v>226</v>
      </c>
      <c r="D12" s="190" t="s">
        <v>93</v>
      </c>
      <c r="E12" s="21" t="s">
        <v>93</v>
      </c>
      <c r="F12" s="21" t="s">
        <v>408</v>
      </c>
      <c r="G12" s="77" t="s">
        <v>311</v>
      </c>
      <c r="H12" s="21" t="s">
        <v>314</v>
      </c>
      <c r="I12" s="21" t="s">
        <v>93</v>
      </c>
      <c r="J12" s="21" t="s">
        <v>126</v>
      </c>
      <c r="K12" s="21" t="s">
        <v>170</v>
      </c>
      <c r="L12" s="254" t="s">
        <v>227</v>
      </c>
    </row>
    <row r="13" spans="1:12" ht="70.8" customHeight="1" x14ac:dyDescent="0.3">
      <c r="A13" s="255" t="s">
        <v>18</v>
      </c>
      <c r="B13" s="35">
        <v>13882</v>
      </c>
      <c r="C13" s="53" t="s">
        <v>237</v>
      </c>
      <c r="D13" s="189">
        <v>5344</v>
      </c>
      <c r="E13" s="53">
        <v>10044</v>
      </c>
      <c r="F13" s="176">
        <v>14000</v>
      </c>
      <c r="G13" s="176">
        <v>14000</v>
      </c>
      <c r="H13" s="35">
        <v>5000</v>
      </c>
      <c r="I13" s="22">
        <v>12408</v>
      </c>
      <c r="J13" s="91" t="s">
        <v>344</v>
      </c>
      <c r="K13" s="176">
        <v>13080</v>
      </c>
      <c r="L13" s="285">
        <v>8640</v>
      </c>
    </row>
    <row r="14" spans="1:12" ht="90.45" customHeight="1" x14ac:dyDescent="0.3">
      <c r="A14" s="255" t="s">
        <v>26</v>
      </c>
      <c r="B14" s="161" t="s">
        <v>370</v>
      </c>
      <c r="C14" s="139" t="s">
        <v>238</v>
      </c>
      <c r="D14" s="188">
        <v>35404</v>
      </c>
      <c r="E14" s="146">
        <v>33480</v>
      </c>
      <c r="F14" s="164" t="s">
        <v>411</v>
      </c>
      <c r="G14" s="180" t="s">
        <v>309</v>
      </c>
      <c r="H14" s="35">
        <v>34000</v>
      </c>
      <c r="I14" s="22">
        <v>32664</v>
      </c>
      <c r="J14" s="91" t="s">
        <v>345</v>
      </c>
      <c r="K14" s="176">
        <v>37500</v>
      </c>
      <c r="L14" s="285">
        <v>37500</v>
      </c>
    </row>
    <row r="15" spans="1:12" s="31" customFormat="1" ht="72" customHeight="1" x14ac:dyDescent="0.3">
      <c r="A15" s="257" t="s">
        <v>31</v>
      </c>
      <c r="B15" s="59">
        <f>B13/B10</f>
        <v>1.3902404559171496E-2</v>
      </c>
      <c r="C15" s="50" t="s">
        <v>236</v>
      </c>
      <c r="D15" s="187">
        <f t="shared" ref="D15:I15" si="0">D13/D10</f>
        <v>5.3496318784563637E-3</v>
      </c>
      <c r="E15" s="44">
        <f t="shared" si="0"/>
        <v>1.0051373687737324E-2</v>
      </c>
      <c r="F15" s="44">
        <f t="shared" si="0"/>
        <v>1.4E-2</v>
      </c>
      <c r="G15" s="44">
        <f t="shared" si="0"/>
        <v>1.4E-2</v>
      </c>
      <c r="H15" s="50">
        <f t="shared" si="0"/>
        <v>5.0000000000000001E-3</v>
      </c>
      <c r="I15" s="44">
        <f t="shared" si="0"/>
        <v>1.2408000000000001E-2</v>
      </c>
      <c r="J15" s="92" t="s">
        <v>346</v>
      </c>
      <c r="K15" s="44">
        <f>K13/K10</f>
        <v>1.308E-2</v>
      </c>
      <c r="L15" s="258">
        <f>L13/L10</f>
        <v>8.6400000000000001E-3</v>
      </c>
    </row>
    <row r="16" spans="1:12" s="31" customFormat="1" ht="62.4" x14ac:dyDescent="0.3">
      <c r="A16" s="257" t="s">
        <v>59</v>
      </c>
      <c r="B16" s="163" t="s">
        <v>371</v>
      </c>
      <c r="C16" s="79" t="s">
        <v>292</v>
      </c>
      <c r="D16" s="186">
        <f>D14/D10</f>
        <v>3.5441311194773409E-2</v>
      </c>
      <c r="E16" s="50">
        <f>E14/E10</f>
        <v>3.3504578959124412E-2</v>
      </c>
      <c r="F16" s="50" t="s">
        <v>409</v>
      </c>
      <c r="G16" s="50" t="s">
        <v>305</v>
      </c>
      <c r="H16" s="79">
        <f>H14/H10</f>
        <v>3.4000000000000002E-2</v>
      </c>
      <c r="I16" s="50">
        <f>I14/I10</f>
        <v>3.2663999999999999E-2</v>
      </c>
      <c r="J16" s="50" t="s">
        <v>342</v>
      </c>
      <c r="K16" s="59">
        <f>K14/K10</f>
        <v>3.7499999999999999E-2</v>
      </c>
      <c r="L16" s="259">
        <f>L14/L10</f>
        <v>3.7499999999999999E-2</v>
      </c>
    </row>
    <row r="17" spans="1:12" ht="25.35" customHeight="1" x14ac:dyDescent="0.3">
      <c r="A17" s="255" t="s">
        <v>105</v>
      </c>
      <c r="B17" s="35">
        <v>798825</v>
      </c>
      <c r="C17" s="35">
        <v>800000</v>
      </c>
      <c r="D17" s="183">
        <v>799157</v>
      </c>
      <c r="E17" s="35">
        <v>799413</v>
      </c>
      <c r="F17" s="176">
        <v>800000</v>
      </c>
      <c r="G17" s="176">
        <v>800000</v>
      </c>
      <c r="H17" s="35">
        <v>800000</v>
      </c>
      <c r="I17" s="176">
        <v>800000</v>
      </c>
      <c r="J17" s="176">
        <v>800000</v>
      </c>
      <c r="K17" s="176">
        <v>800000</v>
      </c>
      <c r="L17" s="285">
        <v>800000</v>
      </c>
    </row>
    <row r="18" spans="1:12" s="31" customFormat="1" ht="42.6" customHeight="1" x14ac:dyDescent="0.3">
      <c r="A18" s="257" t="s">
        <v>107</v>
      </c>
      <c r="B18" s="51">
        <f t="shared" ref="B18:L18" si="1">B17/B10</f>
        <v>0.7999991587653198</v>
      </c>
      <c r="C18" s="51">
        <f t="shared" si="1"/>
        <v>0.8</v>
      </c>
      <c r="D18" s="185">
        <f t="shared" si="1"/>
        <v>0.79999920716533535</v>
      </c>
      <c r="E18" s="43">
        <f t="shared" si="1"/>
        <v>0.79999987991190336</v>
      </c>
      <c r="F18" s="43">
        <f t="shared" si="1"/>
        <v>0.8</v>
      </c>
      <c r="G18" s="43">
        <f t="shared" si="1"/>
        <v>0.8</v>
      </c>
      <c r="H18" s="51">
        <f t="shared" si="1"/>
        <v>0.8</v>
      </c>
      <c r="I18" s="43">
        <f t="shared" si="1"/>
        <v>0.8</v>
      </c>
      <c r="J18" s="43">
        <f t="shared" si="1"/>
        <v>0.8</v>
      </c>
      <c r="K18" s="43">
        <f t="shared" si="1"/>
        <v>0.8</v>
      </c>
      <c r="L18" s="260">
        <f t="shared" si="1"/>
        <v>0.8</v>
      </c>
    </row>
    <row r="19" spans="1:12" s="31" customFormat="1" ht="59.55" customHeight="1" x14ac:dyDescent="0.3">
      <c r="A19" s="261" t="s">
        <v>25</v>
      </c>
      <c r="B19" s="156" t="s">
        <v>269</v>
      </c>
      <c r="C19" s="78" t="s">
        <v>223</v>
      </c>
      <c r="D19" s="184" t="s">
        <v>77</v>
      </c>
      <c r="E19" s="41" t="s">
        <v>77</v>
      </c>
      <c r="F19" s="156" t="s">
        <v>269</v>
      </c>
      <c r="G19" s="78" t="s">
        <v>306</v>
      </c>
      <c r="H19" s="78" t="s">
        <v>104</v>
      </c>
      <c r="I19" s="41" t="s">
        <v>83</v>
      </c>
      <c r="J19" s="41" t="s">
        <v>124</v>
      </c>
      <c r="K19" s="41" t="s">
        <v>89</v>
      </c>
      <c r="L19" s="262" t="s">
        <v>230</v>
      </c>
    </row>
    <row r="20" spans="1:12" ht="36.6" customHeight="1" x14ac:dyDescent="0.3">
      <c r="A20" s="263" t="s">
        <v>30</v>
      </c>
      <c r="B20" s="35">
        <v>1008517</v>
      </c>
      <c r="C20" s="35">
        <v>1010000</v>
      </c>
      <c r="D20" s="183">
        <v>1008936</v>
      </c>
      <c r="E20" s="35">
        <v>1009259</v>
      </c>
      <c r="F20" s="35">
        <v>1050000</v>
      </c>
      <c r="G20" s="35">
        <v>1010000</v>
      </c>
      <c r="H20" s="35">
        <v>1010000</v>
      </c>
      <c r="I20" s="35">
        <v>1050000</v>
      </c>
      <c r="J20" s="35">
        <v>1050000</v>
      </c>
      <c r="K20" s="35">
        <v>1050000</v>
      </c>
      <c r="L20" s="252">
        <v>1050000</v>
      </c>
    </row>
    <row r="21" spans="1:12" ht="41.55" customHeight="1" x14ac:dyDescent="0.3">
      <c r="A21" s="265" t="s">
        <v>32</v>
      </c>
      <c r="B21" s="179">
        <f t="shared" ref="B21:L21" si="2">B20/B10</f>
        <v>1.0099993760842789</v>
      </c>
      <c r="C21" s="179">
        <f t="shared" si="2"/>
        <v>1.01</v>
      </c>
      <c r="D21" s="182">
        <f t="shared" si="2"/>
        <v>1.0099992868492234</v>
      </c>
      <c r="E21" s="179">
        <f t="shared" si="2"/>
        <v>1.0099999359530152</v>
      </c>
      <c r="F21" s="175">
        <f t="shared" si="2"/>
        <v>1.05</v>
      </c>
      <c r="G21" s="179">
        <f t="shared" si="2"/>
        <v>1.01</v>
      </c>
      <c r="H21" s="179">
        <f t="shared" si="2"/>
        <v>1.01</v>
      </c>
      <c r="I21" s="175">
        <f t="shared" si="2"/>
        <v>1.05</v>
      </c>
      <c r="J21" s="175">
        <f t="shared" si="2"/>
        <v>1.05</v>
      </c>
      <c r="K21" s="175">
        <f t="shared" si="2"/>
        <v>1.05</v>
      </c>
      <c r="L21" s="286">
        <f t="shared" si="2"/>
        <v>1.05</v>
      </c>
    </row>
    <row r="22" spans="1:12" ht="20.55" customHeight="1" x14ac:dyDescent="0.3">
      <c r="A22" s="416" t="s">
        <v>84</v>
      </c>
      <c r="B22" s="417"/>
      <c r="C22" s="417"/>
      <c r="D22" s="417"/>
      <c r="E22" s="417"/>
      <c r="F22" s="417"/>
      <c r="G22" s="417"/>
      <c r="H22" s="417"/>
      <c r="I22" s="417"/>
      <c r="J22" s="417"/>
      <c r="K22" s="417"/>
      <c r="L22" s="418"/>
    </row>
    <row r="23" spans="1:12" ht="22.5" customHeight="1" x14ac:dyDescent="0.3">
      <c r="A23" s="419" t="s">
        <v>38</v>
      </c>
      <c r="B23" s="420"/>
      <c r="C23" s="420"/>
      <c r="D23" s="420"/>
      <c r="E23" s="420"/>
      <c r="F23" s="420"/>
      <c r="G23" s="420"/>
      <c r="H23" s="420"/>
      <c r="I23" s="420"/>
      <c r="J23" s="420"/>
      <c r="K23" s="420"/>
      <c r="L23" s="421"/>
    </row>
    <row r="24" spans="1:12" ht="22.5" customHeight="1" x14ac:dyDescent="0.3">
      <c r="A24" s="269" t="s">
        <v>39</v>
      </c>
      <c r="B24" s="52">
        <v>1008517</v>
      </c>
      <c r="C24" s="52">
        <v>900399</v>
      </c>
      <c r="D24" s="181">
        <v>1008936</v>
      </c>
      <c r="E24" s="35">
        <v>1009259</v>
      </c>
      <c r="F24" s="35">
        <v>1050000</v>
      </c>
      <c r="G24" s="52">
        <v>884000</v>
      </c>
      <c r="H24" s="52">
        <v>1010000</v>
      </c>
      <c r="I24" s="52">
        <v>1050000</v>
      </c>
      <c r="J24" s="52">
        <v>949968</v>
      </c>
      <c r="K24" s="65">
        <v>958440</v>
      </c>
      <c r="L24" s="287">
        <v>1050000</v>
      </c>
    </row>
    <row r="25" spans="1:12" ht="22.5" customHeight="1" x14ac:dyDescent="0.3">
      <c r="A25" s="271" t="s">
        <v>40</v>
      </c>
      <c r="B25" s="35">
        <v>1019001</v>
      </c>
      <c r="C25" s="35">
        <v>945099</v>
      </c>
      <c r="D25" s="183">
        <v>1038904</v>
      </c>
      <c r="E25" s="35">
        <v>1039236</v>
      </c>
      <c r="F25" s="53">
        <v>1065000</v>
      </c>
      <c r="G25" s="53">
        <v>895000</v>
      </c>
      <c r="H25" s="35">
        <v>1026700</v>
      </c>
      <c r="I25" s="53">
        <v>1079103</v>
      </c>
      <c r="J25" s="65">
        <v>950360</v>
      </c>
      <c r="K25" s="65">
        <v>958440</v>
      </c>
      <c r="L25" s="287">
        <v>1060000</v>
      </c>
    </row>
    <row r="26" spans="1:12" ht="22.5" customHeight="1" x14ac:dyDescent="0.3">
      <c r="A26" s="265" t="s">
        <v>33</v>
      </c>
      <c r="B26" s="33">
        <f t="shared" ref="B26:L26" si="3">B24/B10</f>
        <v>1.0099993760842789</v>
      </c>
      <c r="C26" s="33">
        <f t="shared" si="3"/>
        <v>0.90039899999999995</v>
      </c>
      <c r="D26" s="33">
        <f t="shared" si="3"/>
        <v>1.0099992868492234</v>
      </c>
      <c r="E26" s="33">
        <f t="shared" si="3"/>
        <v>1.0099999359530152</v>
      </c>
      <c r="F26" s="33">
        <f t="shared" si="3"/>
        <v>1.05</v>
      </c>
      <c r="G26" s="33">
        <f t="shared" si="3"/>
        <v>0.88400000000000001</v>
      </c>
      <c r="H26" s="33">
        <f t="shared" si="3"/>
        <v>1.01</v>
      </c>
      <c r="I26" s="33">
        <f t="shared" si="3"/>
        <v>1.05</v>
      </c>
      <c r="J26" s="33">
        <f t="shared" si="3"/>
        <v>0.94996800000000003</v>
      </c>
      <c r="K26" s="33">
        <f t="shared" si="3"/>
        <v>0.95843999999999996</v>
      </c>
      <c r="L26" s="273">
        <f t="shared" si="3"/>
        <v>1.05</v>
      </c>
    </row>
    <row r="27" spans="1:12" ht="22.5" customHeight="1" x14ac:dyDescent="0.3">
      <c r="A27" s="265" t="s">
        <v>37</v>
      </c>
      <c r="B27" s="33">
        <f t="shared" ref="B27:L27" si="4">B25/B10</f>
        <v>1.0204987860683123</v>
      </c>
      <c r="C27" s="33">
        <f t="shared" si="4"/>
        <v>0.94509900000000002</v>
      </c>
      <c r="D27" s="33">
        <f t="shared" si="4"/>
        <v>1.039998869209549</v>
      </c>
      <c r="E27" s="33">
        <f t="shared" si="4"/>
        <v>1.0399989432247496</v>
      </c>
      <c r="F27" s="33">
        <f t="shared" si="4"/>
        <v>1.0649999999999999</v>
      </c>
      <c r="G27" s="33">
        <f t="shared" si="4"/>
        <v>0.89500000000000002</v>
      </c>
      <c r="H27" s="33">
        <f t="shared" si="4"/>
        <v>1.0266999999999999</v>
      </c>
      <c r="I27" s="33">
        <f t="shared" si="4"/>
        <v>1.0791029999999999</v>
      </c>
      <c r="J27" s="33">
        <f t="shared" si="4"/>
        <v>0.95035999999999998</v>
      </c>
      <c r="K27" s="33">
        <f t="shared" si="4"/>
        <v>0.95843999999999996</v>
      </c>
      <c r="L27" s="273">
        <f t="shared" si="4"/>
        <v>1.06</v>
      </c>
    </row>
    <row r="28" spans="1:12" ht="22.5" customHeight="1" x14ac:dyDescent="0.3">
      <c r="A28" s="404" t="s">
        <v>75</v>
      </c>
      <c r="B28" s="422"/>
      <c r="C28" s="422"/>
      <c r="D28" s="422"/>
      <c r="E28" s="422"/>
      <c r="F28" s="422"/>
      <c r="G28" s="422"/>
      <c r="H28" s="422"/>
      <c r="I28" s="422"/>
      <c r="J28" s="422"/>
      <c r="K28" s="422"/>
      <c r="L28" s="423"/>
    </row>
    <row r="29" spans="1:12" ht="22.5" customHeight="1" x14ac:dyDescent="0.3">
      <c r="A29" s="269" t="s">
        <v>41</v>
      </c>
      <c r="B29" s="52">
        <f>6*B13</f>
        <v>83292</v>
      </c>
      <c r="C29" s="52">
        <v>109598</v>
      </c>
      <c r="D29" s="181">
        <v>32064</v>
      </c>
      <c r="E29" s="53">
        <v>60264</v>
      </c>
      <c r="F29" s="53">
        <v>112000</v>
      </c>
      <c r="G29" s="65">
        <v>126000</v>
      </c>
      <c r="H29" s="52">
        <v>40000</v>
      </c>
      <c r="I29" s="65">
        <f>6*I13</f>
        <v>74448</v>
      </c>
      <c r="J29" s="65">
        <v>100032</v>
      </c>
      <c r="K29" s="65">
        <v>91560</v>
      </c>
      <c r="L29" s="287">
        <v>51840</v>
      </c>
    </row>
    <row r="30" spans="1:12" ht="22.5" customHeight="1" x14ac:dyDescent="0.3">
      <c r="A30" s="251" t="s">
        <v>69</v>
      </c>
      <c r="B30" s="35">
        <v>1006021</v>
      </c>
      <c r="C30" s="35">
        <v>800000</v>
      </c>
      <c r="D30" s="183">
        <v>1001444</v>
      </c>
      <c r="E30" s="35">
        <v>1001764</v>
      </c>
      <c r="F30" s="35">
        <v>1010000</v>
      </c>
      <c r="G30" s="52">
        <v>800000</v>
      </c>
      <c r="H30" s="52">
        <v>800000</v>
      </c>
      <c r="I30" s="65">
        <v>800000</v>
      </c>
      <c r="J30" s="65">
        <v>800000</v>
      </c>
      <c r="K30" s="26">
        <v>800000</v>
      </c>
      <c r="L30" s="274">
        <v>800000</v>
      </c>
    </row>
    <row r="31" spans="1:12" ht="22.5" customHeight="1" x14ac:dyDescent="0.3">
      <c r="A31" s="261" t="s">
        <v>34</v>
      </c>
      <c r="B31" s="33">
        <f t="shared" ref="B31:L31" si="5">B29/B10</f>
        <v>8.3414427355028978E-2</v>
      </c>
      <c r="C31" s="33">
        <f t="shared" si="5"/>
        <v>0.109598</v>
      </c>
      <c r="D31" s="33">
        <f t="shared" si="5"/>
        <v>3.2097791270738182E-2</v>
      </c>
      <c r="E31" s="33">
        <f t="shared" si="5"/>
        <v>6.0308242126423946E-2</v>
      </c>
      <c r="F31" s="33">
        <f t="shared" si="5"/>
        <v>0.112</v>
      </c>
      <c r="G31" s="33">
        <f t="shared" si="5"/>
        <v>0.126</v>
      </c>
      <c r="H31" s="33">
        <f t="shared" si="5"/>
        <v>0.04</v>
      </c>
      <c r="I31" s="33">
        <f t="shared" si="5"/>
        <v>7.4448E-2</v>
      </c>
      <c r="J31" s="33">
        <f t="shared" si="5"/>
        <v>0.100032</v>
      </c>
      <c r="K31" s="33">
        <f t="shared" si="5"/>
        <v>9.1560000000000002E-2</v>
      </c>
      <c r="L31" s="273">
        <f t="shared" si="5"/>
        <v>5.1839999999999997E-2</v>
      </c>
    </row>
    <row r="32" spans="1:12" ht="22.5" customHeight="1" x14ac:dyDescent="0.3">
      <c r="A32" s="261" t="s">
        <v>70</v>
      </c>
      <c r="B32" s="33">
        <f>(B29+B30)/B10</f>
        <v>1.0909141346754632</v>
      </c>
      <c r="C32" s="33">
        <f>(C29+C30)/C10</f>
        <v>0.90959800000000002</v>
      </c>
      <c r="D32" s="33">
        <f>(D29+D30)/D10</f>
        <v>1.0345971825298801</v>
      </c>
      <c r="E32" s="33">
        <f>(E30+E29)/E10</f>
        <v>1.0628076757109015</v>
      </c>
      <c r="F32" s="33">
        <f t="shared" ref="F32:L32" si="6">(F29+F30)/F10</f>
        <v>1.1220000000000001</v>
      </c>
      <c r="G32" s="33">
        <f t="shared" si="6"/>
        <v>0.92600000000000005</v>
      </c>
      <c r="H32" s="33">
        <f t="shared" si="6"/>
        <v>0.84</v>
      </c>
      <c r="I32" s="33">
        <f t="shared" si="6"/>
        <v>0.874448</v>
      </c>
      <c r="J32" s="33">
        <f t="shared" si="6"/>
        <v>0.90003200000000005</v>
      </c>
      <c r="K32" s="33">
        <f t="shared" si="6"/>
        <v>0.89156000000000002</v>
      </c>
      <c r="L32" s="273">
        <f t="shared" si="6"/>
        <v>0.85184000000000004</v>
      </c>
    </row>
    <row r="33" spans="1:12" ht="22.5" customHeight="1" x14ac:dyDescent="0.3">
      <c r="A33" s="404" t="s">
        <v>76</v>
      </c>
      <c r="B33" s="422"/>
      <c r="C33" s="422"/>
      <c r="D33" s="422"/>
      <c r="E33" s="422"/>
      <c r="F33" s="422"/>
      <c r="G33" s="422"/>
      <c r="H33" s="422"/>
      <c r="I33" s="422"/>
      <c r="J33" s="422"/>
      <c r="K33" s="422"/>
      <c r="L33" s="423"/>
    </row>
    <row r="34" spans="1:12" ht="39" customHeight="1" x14ac:dyDescent="0.3">
      <c r="A34" s="247" t="s">
        <v>72</v>
      </c>
      <c r="B34" s="52">
        <f>8*32812</f>
        <v>262496</v>
      </c>
      <c r="C34" s="52">
        <v>287798</v>
      </c>
      <c r="D34" s="181">
        <f>D29/D13*D14</f>
        <v>212424</v>
      </c>
      <c r="E34" s="35">
        <v>200880</v>
      </c>
      <c r="F34" s="53">
        <f>302339-30339</f>
        <v>272000</v>
      </c>
      <c r="G34" s="65">
        <f>126000+195000</f>
        <v>321000</v>
      </c>
      <c r="H34" s="52">
        <v>272000</v>
      </c>
      <c r="I34" s="66">
        <f>6*I14</f>
        <v>195984</v>
      </c>
      <c r="J34" s="66">
        <v>292500</v>
      </c>
      <c r="K34" s="65">
        <v>262500</v>
      </c>
      <c r="L34" s="287">
        <v>225000</v>
      </c>
    </row>
    <row r="35" spans="1:12" ht="22.5" customHeight="1" x14ac:dyDescent="0.3">
      <c r="A35" s="251" t="s">
        <v>42</v>
      </c>
      <c r="B35" s="35">
        <v>1016505</v>
      </c>
      <c r="C35" s="35">
        <v>815700</v>
      </c>
      <c r="D35" s="183">
        <v>1031412</v>
      </c>
      <c r="E35" s="35">
        <v>1031741</v>
      </c>
      <c r="F35" s="53">
        <v>1017500</v>
      </c>
      <c r="G35" s="53">
        <v>811000</v>
      </c>
      <c r="H35" s="35">
        <v>826700</v>
      </c>
      <c r="I35" s="26">
        <v>900595</v>
      </c>
      <c r="J35" s="26">
        <v>806959</v>
      </c>
      <c r="K35" s="26">
        <v>810000</v>
      </c>
      <c r="L35" s="274">
        <v>860000</v>
      </c>
    </row>
    <row r="36" spans="1:12" ht="22.5" customHeight="1" x14ac:dyDescent="0.3">
      <c r="A36" s="261" t="s">
        <v>43</v>
      </c>
      <c r="B36" s="33">
        <f t="shared" ref="B36:L36" si="7">B34/B10</f>
        <v>0.26288183166433371</v>
      </c>
      <c r="C36" s="33">
        <f t="shared" si="7"/>
        <v>0.287798</v>
      </c>
      <c r="D36" s="33">
        <f t="shared" si="7"/>
        <v>0.21264786716864045</v>
      </c>
      <c r="E36" s="33">
        <f t="shared" si="7"/>
        <v>0.20102747375474647</v>
      </c>
      <c r="F36" s="33">
        <f t="shared" si="7"/>
        <v>0.27200000000000002</v>
      </c>
      <c r="G36" s="33">
        <f t="shared" si="7"/>
        <v>0.32100000000000001</v>
      </c>
      <c r="H36" s="33">
        <f t="shared" si="7"/>
        <v>0.27200000000000002</v>
      </c>
      <c r="I36" s="33">
        <f t="shared" si="7"/>
        <v>0.19598399999999999</v>
      </c>
      <c r="J36" s="33">
        <f t="shared" si="7"/>
        <v>0.29249999999999998</v>
      </c>
      <c r="K36" s="33">
        <f t="shared" si="7"/>
        <v>0.26250000000000001</v>
      </c>
      <c r="L36" s="273">
        <f t="shared" si="7"/>
        <v>0.22500000000000001</v>
      </c>
    </row>
    <row r="37" spans="1:12" ht="22.5" customHeight="1" x14ac:dyDescent="0.3">
      <c r="A37" s="275" t="s">
        <v>71</v>
      </c>
      <c r="B37" s="33">
        <f t="shared" ref="B37:L37" si="8">(B34+B35)/B10</f>
        <v>1.2808809489688016</v>
      </c>
      <c r="C37" s="33">
        <f t="shared" si="8"/>
        <v>1.1034980000000001</v>
      </c>
      <c r="D37" s="33">
        <f t="shared" si="8"/>
        <v>1.2451468407881081</v>
      </c>
      <c r="E37" s="33">
        <f t="shared" si="8"/>
        <v>1.2335259146109585</v>
      </c>
      <c r="F37" s="33">
        <f t="shared" si="8"/>
        <v>1.2895000000000001</v>
      </c>
      <c r="G37" s="33">
        <f t="shared" si="8"/>
        <v>1.1319999999999999</v>
      </c>
      <c r="H37" s="33">
        <f t="shared" si="8"/>
        <v>1.0987</v>
      </c>
      <c r="I37" s="33">
        <f t="shared" si="8"/>
        <v>1.096579</v>
      </c>
      <c r="J37" s="33">
        <f t="shared" si="8"/>
        <v>1.099459</v>
      </c>
      <c r="K37" s="33">
        <f t="shared" si="8"/>
        <v>1.0725</v>
      </c>
      <c r="L37" s="273">
        <f t="shared" si="8"/>
        <v>1.085</v>
      </c>
    </row>
    <row r="38" spans="1:12" ht="22.5" customHeight="1" x14ac:dyDescent="0.3">
      <c r="A38" s="416" t="s">
        <v>81</v>
      </c>
      <c r="B38" s="417"/>
      <c r="C38" s="417"/>
      <c r="D38" s="417"/>
      <c r="E38" s="417"/>
      <c r="F38" s="417"/>
      <c r="G38" s="417"/>
      <c r="H38" s="417"/>
      <c r="I38" s="417"/>
      <c r="J38" s="417"/>
      <c r="K38" s="417"/>
      <c r="L38" s="418"/>
    </row>
    <row r="39" spans="1:12" ht="22.5" customHeight="1" x14ac:dyDescent="0.3">
      <c r="A39" s="419" t="s">
        <v>38</v>
      </c>
      <c r="B39" s="420"/>
      <c r="C39" s="420"/>
      <c r="D39" s="420"/>
      <c r="E39" s="420"/>
      <c r="F39" s="420"/>
      <c r="G39" s="420"/>
      <c r="H39" s="420"/>
      <c r="I39" s="420"/>
      <c r="J39" s="420"/>
      <c r="K39" s="420"/>
      <c r="L39" s="421"/>
    </row>
    <row r="40" spans="1:12" ht="22.5" customHeight="1" x14ac:dyDescent="0.3">
      <c r="A40" s="269" t="s">
        <v>39</v>
      </c>
      <c r="B40" s="52">
        <v>1057545</v>
      </c>
      <c r="C40" s="52">
        <v>800000</v>
      </c>
      <c r="D40" s="181">
        <v>1052690</v>
      </c>
      <c r="E40" s="35">
        <v>1053026</v>
      </c>
      <c r="F40" s="53">
        <v>1050000</v>
      </c>
      <c r="G40" s="65">
        <v>800000</v>
      </c>
      <c r="H40" s="52">
        <v>1010000</v>
      </c>
      <c r="I40" s="65">
        <v>1050000</v>
      </c>
      <c r="J40" s="65">
        <v>800000</v>
      </c>
      <c r="K40" s="65">
        <v>800000</v>
      </c>
      <c r="L40" s="287">
        <v>1050000</v>
      </c>
    </row>
    <row r="41" spans="1:12" ht="22.5" customHeight="1" x14ac:dyDescent="0.3">
      <c r="A41" s="271" t="s">
        <v>40</v>
      </c>
      <c r="B41" s="35">
        <v>1089198</v>
      </c>
      <c r="C41" s="35">
        <v>851300</v>
      </c>
      <c r="D41" s="183">
        <v>1082658</v>
      </c>
      <c r="E41" s="35">
        <v>1083003</v>
      </c>
      <c r="F41" s="53">
        <v>1105000</v>
      </c>
      <c r="G41" s="53">
        <v>853000</v>
      </c>
      <c r="H41" s="35">
        <v>1143300</v>
      </c>
      <c r="I41" s="53">
        <v>1334007</v>
      </c>
      <c r="J41" s="53">
        <v>824713</v>
      </c>
      <c r="K41" s="53">
        <v>890000</v>
      </c>
      <c r="L41" s="288">
        <v>1070000</v>
      </c>
    </row>
    <row r="42" spans="1:12" ht="22.5" customHeight="1" x14ac:dyDescent="0.3">
      <c r="A42" s="265" t="s">
        <v>33</v>
      </c>
      <c r="B42" s="33">
        <f t="shared" ref="B42:L42" si="9">B40/B10</f>
        <v>1.0590994402484526</v>
      </c>
      <c r="C42" s="33">
        <f t="shared" si="9"/>
        <v>0.8</v>
      </c>
      <c r="D42" s="33">
        <f t="shared" si="9"/>
        <v>1.0537993978540849</v>
      </c>
      <c r="E42" s="33">
        <f t="shared" si="9"/>
        <v>1.0537990669955479</v>
      </c>
      <c r="F42" s="33">
        <f t="shared" si="9"/>
        <v>1.05</v>
      </c>
      <c r="G42" s="33">
        <f t="shared" si="9"/>
        <v>0.8</v>
      </c>
      <c r="H42" s="33">
        <f t="shared" si="9"/>
        <v>1.01</v>
      </c>
      <c r="I42" s="33">
        <f t="shared" si="9"/>
        <v>1.05</v>
      </c>
      <c r="J42" s="33">
        <f t="shared" si="9"/>
        <v>0.8</v>
      </c>
      <c r="K42" s="33">
        <f t="shared" si="9"/>
        <v>0.8</v>
      </c>
      <c r="L42" s="273">
        <f t="shared" si="9"/>
        <v>1.05</v>
      </c>
    </row>
    <row r="43" spans="1:12" ht="22.5" customHeight="1" x14ac:dyDescent="0.3">
      <c r="A43" s="265" t="s">
        <v>37</v>
      </c>
      <c r="B43" s="33">
        <f t="shared" ref="B43:L43" si="10">B41/B10</f>
        <v>1.0907989656418726</v>
      </c>
      <c r="C43" s="33">
        <f t="shared" si="10"/>
        <v>0.85129999999999995</v>
      </c>
      <c r="D43" s="33">
        <f t="shared" si="10"/>
        <v>1.0837989802144106</v>
      </c>
      <c r="E43" s="33">
        <f t="shared" si="10"/>
        <v>1.0837980742672824</v>
      </c>
      <c r="F43" s="33">
        <f t="shared" si="10"/>
        <v>1.105</v>
      </c>
      <c r="G43" s="33">
        <f t="shared" si="10"/>
        <v>0.85299999999999998</v>
      </c>
      <c r="H43" s="33">
        <f t="shared" si="10"/>
        <v>1.1433</v>
      </c>
      <c r="I43" s="33">
        <f t="shared" si="10"/>
        <v>1.3340069999999999</v>
      </c>
      <c r="J43" s="33">
        <f t="shared" si="10"/>
        <v>0.82471300000000003</v>
      </c>
      <c r="K43" s="33">
        <f t="shared" si="10"/>
        <v>0.89</v>
      </c>
      <c r="L43" s="273">
        <f t="shared" si="10"/>
        <v>1.07</v>
      </c>
    </row>
    <row r="44" spans="1:12" ht="22.5" customHeight="1" x14ac:dyDescent="0.3">
      <c r="A44" s="404" t="s">
        <v>75</v>
      </c>
      <c r="B44" s="422"/>
      <c r="C44" s="422"/>
      <c r="D44" s="422"/>
      <c r="E44" s="422"/>
      <c r="F44" s="422"/>
      <c r="G44" s="422"/>
      <c r="H44" s="422"/>
      <c r="I44" s="422"/>
      <c r="J44" s="422"/>
      <c r="K44" s="422"/>
      <c r="L44" s="423"/>
    </row>
    <row r="45" spans="1:12" ht="22.5" customHeight="1" x14ac:dyDescent="0.3">
      <c r="A45" s="269" t="s">
        <v>41</v>
      </c>
      <c r="B45" s="52">
        <f>28*B13</f>
        <v>388696</v>
      </c>
      <c r="C45" s="52">
        <v>378198</v>
      </c>
      <c r="D45" s="181">
        <v>138944</v>
      </c>
      <c r="E45" s="53">
        <v>261144</v>
      </c>
      <c r="F45" s="53">
        <v>392000</v>
      </c>
      <c r="G45" s="65">
        <v>406000</v>
      </c>
      <c r="H45" s="52">
        <v>140000</v>
      </c>
      <c r="I45" s="65">
        <f>26*I13</f>
        <v>322608</v>
      </c>
      <c r="J45" s="65">
        <v>340032</v>
      </c>
      <c r="K45" s="65">
        <v>353160</v>
      </c>
      <c r="L45" s="287">
        <v>224640</v>
      </c>
    </row>
    <row r="46" spans="1:12" ht="22.5" customHeight="1" x14ac:dyDescent="0.3">
      <c r="A46" s="251" t="s">
        <v>69</v>
      </c>
      <c r="B46" s="35">
        <v>1057545</v>
      </c>
      <c r="C46" s="35">
        <v>800000</v>
      </c>
      <c r="D46" s="183">
        <v>1052690</v>
      </c>
      <c r="E46" s="35">
        <v>1053026</v>
      </c>
      <c r="F46" s="53">
        <v>1050000</v>
      </c>
      <c r="G46" s="53">
        <v>800000</v>
      </c>
      <c r="H46" s="35">
        <v>800000</v>
      </c>
      <c r="I46" s="26">
        <v>800000</v>
      </c>
      <c r="J46" s="66">
        <v>800000</v>
      </c>
      <c r="K46" s="65">
        <v>800000</v>
      </c>
      <c r="L46" s="287">
        <v>800000</v>
      </c>
    </row>
    <row r="47" spans="1:12" ht="22.5" customHeight="1" x14ac:dyDescent="0.3">
      <c r="A47" s="261" t="s">
        <v>34</v>
      </c>
      <c r="B47" s="33">
        <f t="shared" ref="B47:L47" si="11">B45/B10</f>
        <v>0.38926732765680189</v>
      </c>
      <c r="C47" s="33">
        <f t="shared" si="11"/>
        <v>0.37819799999999998</v>
      </c>
      <c r="D47" s="33">
        <f t="shared" si="11"/>
        <v>0.13909042883986547</v>
      </c>
      <c r="E47" s="33">
        <f t="shared" si="11"/>
        <v>0.26133571588117044</v>
      </c>
      <c r="F47" s="33">
        <f t="shared" si="11"/>
        <v>0.39200000000000002</v>
      </c>
      <c r="G47" s="33">
        <f t="shared" si="11"/>
        <v>0.40600000000000003</v>
      </c>
      <c r="H47" s="33">
        <f t="shared" si="11"/>
        <v>0.14000000000000001</v>
      </c>
      <c r="I47" s="33">
        <f t="shared" si="11"/>
        <v>0.32260800000000001</v>
      </c>
      <c r="J47" s="33">
        <f t="shared" si="11"/>
        <v>0.340032</v>
      </c>
      <c r="K47" s="33">
        <f t="shared" si="11"/>
        <v>0.35315999999999997</v>
      </c>
      <c r="L47" s="273">
        <f t="shared" si="11"/>
        <v>0.22464000000000001</v>
      </c>
    </row>
    <row r="48" spans="1:12" ht="22.5" customHeight="1" x14ac:dyDescent="0.3">
      <c r="A48" s="261" t="s">
        <v>70</v>
      </c>
      <c r="B48" s="33">
        <f>(B45+B46)/B10</f>
        <v>1.4483667679052545</v>
      </c>
      <c r="C48" s="33">
        <f>(C45+C46)/C10</f>
        <v>1.1781980000000001</v>
      </c>
      <c r="D48" s="33">
        <f>(D45+D46)/D10</f>
        <v>1.1928898266939503</v>
      </c>
      <c r="E48" s="33">
        <f>(E46+E45)/E10</f>
        <v>1.3151347828767184</v>
      </c>
      <c r="F48" s="33">
        <f t="shared" ref="F48:L48" si="12">(F45+F46)/F10</f>
        <v>1.4419999999999999</v>
      </c>
      <c r="G48" s="33">
        <f t="shared" si="12"/>
        <v>1.206</v>
      </c>
      <c r="H48" s="33">
        <f t="shared" si="12"/>
        <v>0.94</v>
      </c>
      <c r="I48" s="33">
        <f t="shared" si="12"/>
        <v>1.1226080000000001</v>
      </c>
      <c r="J48" s="33">
        <f t="shared" si="12"/>
        <v>1.1400319999999999</v>
      </c>
      <c r="K48" s="33">
        <f t="shared" si="12"/>
        <v>1.15316</v>
      </c>
      <c r="L48" s="273">
        <f t="shared" si="12"/>
        <v>1.02464</v>
      </c>
    </row>
    <row r="49" spans="1:12" ht="22.5" customHeight="1" x14ac:dyDescent="0.3">
      <c r="A49" s="404" t="s">
        <v>76</v>
      </c>
      <c r="B49" s="422"/>
      <c r="C49" s="422"/>
      <c r="D49" s="422"/>
      <c r="E49" s="422"/>
      <c r="F49" s="422"/>
      <c r="G49" s="422"/>
      <c r="H49" s="422"/>
      <c r="I49" s="422"/>
      <c r="J49" s="422"/>
      <c r="K49" s="422"/>
      <c r="L49" s="423"/>
    </row>
    <row r="50" spans="1:12" ht="30.6" customHeight="1" x14ac:dyDescent="0.3">
      <c r="A50" s="247" t="s">
        <v>72</v>
      </c>
      <c r="B50" s="52">
        <f>(20*32812)+(8*35967)</f>
        <v>943976</v>
      </c>
      <c r="C50" s="52">
        <v>1019184</v>
      </c>
      <c r="D50" s="181">
        <f>D45/D13*D14</f>
        <v>920504</v>
      </c>
      <c r="E50" s="35">
        <v>870480</v>
      </c>
      <c r="F50" s="53">
        <f>1479056-509056</f>
        <v>970000</v>
      </c>
      <c r="G50" s="65">
        <f>406000+655000</f>
        <v>1061000</v>
      </c>
      <c r="H50" s="52">
        <v>952000</v>
      </c>
      <c r="I50" s="65">
        <f>26*I14</f>
        <v>849264</v>
      </c>
      <c r="J50" s="65">
        <v>982500</v>
      </c>
      <c r="K50" s="65">
        <v>1012500</v>
      </c>
      <c r="L50" s="287">
        <v>975000</v>
      </c>
    </row>
    <row r="51" spans="1:12" ht="22.5" customHeight="1" x14ac:dyDescent="0.3">
      <c r="A51" s="251" t="s">
        <v>42</v>
      </c>
      <c r="B51" s="35">
        <v>1089198</v>
      </c>
      <c r="C51" s="35">
        <v>848800</v>
      </c>
      <c r="D51" s="183">
        <v>1082658</v>
      </c>
      <c r="E51" s="35">
        <v>1083003</v>
      </c>
      <c r="F51" s="53">
        <v>1080000</v>
      </c>
      <c r="G51" s="53">
        <v>853000</v>
      </c>
      <c r="H51" s="35">
        <v>1034800</v>
      </c>
      <c r="I51" s="22">
        <v>1330538</v>
      </c>
      <c r="J51" s="22">
        <v>824713</v>
      </c>
      <c r="K51" s="53">
        <v>890000</v>
      </c>
      <c r="L51" s="288">
        <v>1050000</v>
      </c>
    </row>
    <row r="52" spans="1:12" ht="22.5" customHeight="1" x14ac:dyDescent="0.3">
      <c r="A52" s="261" t="s">
        <v>43</v>
      </c>
      <c r="B52" s="33">
        <f t="shared" ref="B52:L52" si="13">B50/B10</f>
        <v>0.9453635100236617</v>
      </c>
      <c r="C52" s="33">
        <f t="shared" si="13"/>
        <v>1.0191840000000001</v>
      </c>
      <c r="D52" s="33">
        <f t="shared" si="13"/>
        <v>0.92147409106410871</v>
      </c>
      <c r="E52" s="33">
        <f t="shared" si="13"/>
        <v>0.87111905293723468</v>
      </c>
      <c r="F52" s="33">
        <f t="shared" si="13"/>
        <v>0.97</v>
      </c>
      <c r="G52" s="33">
        <f t="shared" si="13"/>
        <v>1.0609999999999999</v>
      </c>
      <c r="H52" s="33">
        <f t="shared" si="13"/>
        <v>0.95199999999999996</v>
      </c>
      <c r="I52" s="33">
        <f t="shared" si="13"/>
        <v>0.84926400000000002</v>
      </c>
      <c r="J52" s="33">
        <f t="shared" si="13"/>
        <v>0.98250000000000004</v>
      </c>
      <c r="K52" s="33">
        <f t="shared" si="13"/>
        <v>1.0125</v>
      </c>
      <c r="L52" s="273">
        <f t="shared" si="13"/>
        <v>0.97499999999999998</v>
      </c>
    </row>
    <row r="53" spans="1:12" ht="22.5" customHeight="1" thickBot="1" x14ac:dyDescent="0.35">
      <c r="A53" s="279" t="s">
        <v>71</v>
      </c>
      <c r="B53" s="280">
        <f t="shared" ref="B53:L53" si="14">(B50+B51)/B10</f>
        <v>2.0361624756655341</v>
      </c>
      <c r="C53" s="280">
        <f t="shared" si="14"/>
        <v>1.8679840000000001</v>
      </c>
      <c r="D53" s="280">
        <f t="shared" si="14"/>
        <v>2.0052730712785194</v>
      </c>
      <c r="E53" s="280">
        <f t="shared" si="14"/>
        <v>1.9549171272045172</v>
      </c>
      <c r="F53" s="280">
        <f t="shared" si="14"/>
        <v>2.0499999999999998</v>
      </c>
      <c r="G53" s="280">
        <f t="shared" si="14"/>
        <v>1.9139999999999999</v>
      </c>
      <c r="H53" s="280">
        <f t="shared" si="14"/>
        <v>1.9867999999999999</v>
      </c>
      <c r="I53" s="280">
        <f t="shared" si="14"/>
        <v>2.179802</v>
      </c>
      <c r="J53" s="280">
        <f t="shared" si="14"/>
        <v>1.807213</v>
      </c>
      <c r="K53" s="280">
        <f t="shared" si="14"/>
        <v>1.9025000000000001</v>
      </c>
      <c r="L53" s="281">
        <f t="shared" si="14"/>
        <v>2.0249999999999999</v>
      </c>
    </row>
    <row r="54" spans="1:12" x14ac:dyDescent="0.3">
      <c r="A54" s="178"/>
      <c r="B54" s="178"/>
      <c r="C54" s="178"/>
      <c r="D54" s="178"/>
      <c r="E54" s="11"/>
      <c r="H54" s="178"/>
    </row>
    <row r="55" spans="1:12" x14ac:dyDescent="0.3">
      <c r="A55" s="178"/>
      <c r="B55" s="178"/>
      <c r="C55" s="178"/>
      <c r="D55" s="178"/>
      <c r="H55" s="178"/>
    </row>
  </sheetData>
  <sheetProtection algorithmName="SHA-512" hashValue="q/k5bBir1ljYhcF07DR1gO6GP60IhjPB+Bg4pWrBvB3ubWO262bPiK5aLGdGYWe4H5nu+bbFA5j1FZzqMCW12A==" saltValue="xFKGOOtq2h8b/XseCynzmQ==" spinCount="100000" sheet="1" objects="1" scenarios="1"/>
  <mergeCells count="10">
    <mergeCell ref="A44:L44"/>
    <mergeCell ref="A49:L49"/>
    <mergeCell ref="A33:L33"/>
    <mergeCell ref="A38:L38"/>
    <mergeCell ref="A39:L39"/>
    <mergeCell ref="A1:L2"/>
    <mergeCell ref="A6:A7"/>
    <mergeCell ref="A22:L22"/>
    <mergeCell ref="A23:L23"/>
    <mergeCell ref="A28:L28"/>
  </mergeCells>
  <conditionalFormatting sqref="B26:L26">
    <cfRule type="top10" dxfId="11" priority="12" rank="1"/>
  </conditionalFormatting>
  <conditionalFormatting sqref="B27:L27">
    <cfRule type="top10" dxfId="10" priority="11" rank="1"/>
  </conditionalFormatting>
  <conditionalFormatting sqref="B31:L31">
    <cfRule type="top10" dxfId="9" priority="10" rank="1"/>
  </conditionalFormatting>
  <conditionalFormatting sqref="B32:L32">
    <cfRule type="top10" dxfId="8" priority="9" rank="1"/>
  </conditionalFormatting>
  <conditionalFormatting sqref="B36:L36">
    <cfRule type="top10" dxfId="7" priority="8" rank="1"/>
  </conditionalFormatting>
  <conditionalFormatting sqref="B37:L37">
    <cfRule type="top10" dxfId="6" priority="7" rank="1"/>
  </conditionalFormatting>
  <conditionalFormatting sqref="B42:L42">
    <cfRule type="top10" dxfId="5" priority="6" rank="1"/>
  </conditionalFormatting>
  <conditionalFormatting sqref="B43:L43">
    <cfRule type="top10" dxfId="4" priority="5" rank="1"/>
  </conditionalFormatting>
  <conditionalFormatting sqref="B47:L47">
    <cfRule type="top10" dxfId="3" priority="4" rank="1"/>
  </conditionalFormatting>
  <conditionalFormatting sqref="B48:L48">
    <cfRule type="top10" dxfId="2" priority="3" rank="1"/>
  </conditionalFormatting>
  <conditionalFormatting sqref="B52:L52">
    <cfRule type="top10" dxfId="1" priority="2" rank="1"/>
  </conditionalFormatting>
  <conditionalFormatting sqref="B53:L53">
    <cfRule type="top10" dxfId="0" priority="1" rank="1"/>
  </conditionalFormatting>
  <printOptions horizontalCentered="1" verticalCentered="1"/>
  <pageMargins left="0" right="0" top="0" bottom="0" header="0" footer="0"/>
  <pageSetup paperSize="9" scale="27" fitToHeight="0" orientation="landscape" r:id="rId1"/>
  <headerFooter>
    <oddFooter>&amp;L_x000D_&amp;1#&amp;"Calibri"&amp;8&amp;K0000FF Internal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9EDA-E0DB-4E03-A980-1A48DF02F218}">
  <sheetPr codeName="Sheet14">
    <pageSetUpPr fitToPage="1"/>
  </sheetPr>
  <dimension ref="A1:H68"/>
  <sheetViews>
    <sheetView showGridLines="0" zoomScale="75" zoomScaleNormal="75" workbookViewId="0">
      <pane xSplit="1" ySplit="6" topLeftCell="B7" activePane="bottomRight" state="frozen"/>
      <selection pane="topRight" activeCell="B1" sqref="B1"/>
      <selection pane="bottomLeft" activeCell="A7" sqref="A7"/>
      <selection pane="bottomRight" activeCell="H47" sqref="H47"/>
    </sheetView>
  </sheetViews>
  <sheetFormatPr defaultRowHeight="14.4" x14ac:dyDescent="0.3"/>
  <cols>
    <col min="1" max="1" width="92" bestFit="1" customWidth="1"/>
    <col min="2" max="2" width="43.77734375" bestFit="1" customWidth="1"/>
    <col min="3" max="3" width="36.77734375" customWidth="1"/>
    <col min="5" max="5" width="84" customWidth="1"/>
    <col min="6" max="6" width="48.21875" customWidth="1"/>
    <col min="7" max="7" width="38.21875" customWidth="1"/>
    <col min="8" max="8" width="23" customWidth="1"/>
  </cols>
  <sheetData>
    <row r="1" spans="1:8" ht="15.75" customHeight="1" x14ac:dyDescent="0.3">
      <c r="A1" s="112" t="s">
        <v>15</v>
      </c>
      <c r="B1" s="112"/>
      <c r="C1" s="112"/>
      <c r="D1" s="112"/>
      <c r="E1" s="112"/>
      <c r="F1" s="112"/>
      <c r="G1" s="112"/>
      <c r="H1" s="112"/>
    </row>
    <row r="2" spans="1:8" ht="14.55" customHeight="1" x14ac:dyDescent="0.3">
      <c r="A2" s="112"/>
      <c r="B2" s="112"/>
      <c r="C2" s="112"/>
      <c r="D2" s="112"/>
      <c r="E2" s="112"/>
      <c r="F2" s="112"/>
      <c r="G2" s="112"/>
      <c r="H2" s="112"/>
    </row>
    <row r="3" spans="1:8" ht="14.55" customHeight="1" x14ac:dyDescent="0.3">
      <c r="A3" s="111" t="s">
        <v>208</v>
      </c>
      <c r="B3" s="12"/>
      <c r="C3" s="11"/>
      <c r="D3" s="11"/>
      <c r="E3" s="425" t="s">
        <v>168</v>
      </c>
      <c r="F3" s="425"/>
      <c r="G3" s="11"/>
      <c r="H3" s="11"/>
    </row>
    <row r="4" spans="1:8" ht="24" customHeight="1" thickBot="1" x14ac:dyDescent="0.35">
      <c r="A4" s="12"/>
      <c r="B4" s="12"/>
      <c r="C4" s="11"/>
      <c r="D4" s="11"/>
      <c r="E4" s="424"/>
      <c r="F4" s="424"/>
      <c r="G4" s="424"/>
      <c r="H4" s="11"/>
    </row>
    <row r="5" spans="1:8" ht="15" thickBot="1" x14ac:dyDescent="0.35">
      <c r="A5" s="428"/>
      <c r="B5" s="109" t="s">
        <v>60</v>
      </c>
      <c r="C5" s="110" t="s">
        <v>28</v>
      </c>
      <c r="E5" s="428"/>
      <c r="F5" s="109" t="s">
        <v>60</v>
      </c>
      <c r="G5" s="110" t="s">
        <v>28</v>
      </c>
    </row>
    <row r="6" spans="1:8" ht="15" thickBot="1" x14ac:dyDescent="0.35">
      <c r="A6" s="429"/>
      <c r="B6" s="109" t="s">
        <v>149</v>
      </c>
      <c r="C6" s="110" t="s">
        <v>376</v>
      </c>
      <c r="E6" s="429"/>
      <c r="F6" s="109" t="s">
        <v>149</v>
      </c>
      <c r="G6" s="110" t="s">
        <v>376</v>
      </c>
    </row>
    <row r="7" spans="1:8" x14ac:dyDescent="0.3">
      <c r="A7" s="107" t="s">
        <v>19</v>
      </c>
      <c r="B7" s="108">
        <v>4.99E-2</v>
      </c>
      <c r="C7" s="108">
        <v>5.1999999999999998E-2</v>
      </c>
      <c r="E7" s="107" t="s">
        <v>19</v>
      </c>
      <c r="F7" s="108">
        <v>4.99E-2</v>
      </c>
      <c r="G7" s="108">
        <v>5.1999999999999998E-2</v>
      </c>
    </row>
    <row r="8" spans="1:8" x14ac:dyDescent="0.3">
      <c r="A8" s="95" t="s">
        <v>16</v>
      </c>
      <c r="B8" s="96" t="s">
        <v>171</v>
      </c>
      <c r="C8" s="96" t="s">
        <v>172</v>
      </c>
      <c r="E8" s="95" t="s">
        <v>16</v>
      </c>
      <c r="F8" s="96" t="s">
        <v>192</v>
      </c>
      <c r="G8" s="96" t="s">
        <v>193</v>
      </c>
    </row>
    <row r="9" spans="1:8" x14ac:dyDescent="0.3">
      <c r="A9" s="94" t="s">
        <v>173</v>
      </c>
      <c r="B9" s="115">
        <v>1000000</v>
      </c>
      <c r="C9" s="97">
        <v>1000000</v>
      </c>
      <c r="E9" s="94" t="s">
        <v>173</v>
      </c>
      <c r="F9" s="115">
        <v>150000</v>
      </c>
      <c r="G9" s="97">
        <v>150000</v>
      </c>
    </row>
    <row r="10" spans="1:8" ht="16.2" x14ac:dyDescent="0.3">
      <c r="A10" s="430" t="s">
        <v>17</v>
      </c>
      <c r="B10" s="113" t="s">
        <v>174</v>
      </c>
      <c r="C10" s="431" t="s">
        <v>176</v>
      </c>
      <c r="E10" s="430" t="s">
        <v>17</v>
      </c>
      <c r="F10" s="117" t="s">
        <v>194</v>
      </c>
      <c r="G10" s="431" t="s">
        <v>196</v>
      </c>
    </row>
    <row r="11" spans="1:8" ht="17.100000000000001" customHeight="1" x14ac:dyDescent="0.3">
      <c r="A11" s="430"/>
      <c r="B11" s="114" t="s">
        <v>175</v>
      </c>
      <c r="C11" s="431"/>
      <c r="E11" s="430"/>
      <c r="F11" s="118" t="s">
        <v>195</v>
      </c>
      <c r="G11" s="431"/>
    </row>
    <row r="12" spans="1:8" ht="19.8" customHeight="1" x14ac:dyDescent="0.3">
      <c r="A12" s="94" t="s">
        <v>123</v>
      </c>
      <c r="B12" s="116">
        <v>18000</v>
      </c>
      <c r="C12" s="97">
        <v>17004</v>
      </c>
      <c r="E12" s="94" t="s">
        <v>123</v>
      </c>
      <c r="F12" s="116">
        <v>2700</v>
      </c>
      <c r="G12" s="97">
        <v>2551</v>
      </c>
    </row>
    <row r="13" spans="1:8" x14ac:dyDescent="0.3">
      <c r="A13" s="94" t="s">
        <v>177</v>
      </c>
      <c r="B13" s="98">
        <v>45000</v>
      </c>
      <c r="C13" s="97">
        <v>45504</v>
      </c>
      <c r="E13" s="94" t="s">
        <v>177</v>
      </c>
      <c r="F13" s="98">
        <v>6750</v>
      </c>
      <c r="G13" s="97">
        <v>6826</v>
      </c>
    </row>
    <row r="14" spans="1:8" x14ac:dyDescent="0.3">
      <c r="A14" s="99" t="s">
        <v>206</v>
      </c>
      <c r="B14" s="131">
        <v>1.7999999999999999E-2</v>
      </c>
      <c r="C14" s="124">
        <f>C12/C9</f>
        <v>1.7003999999999998E-2</v>
      </c>
      <c r="E14" s="99" t="s">
        <v>206</v>
      </c>
      <c r="F14" s="131">
        <v>1.7999999999999999E-2</v>
      </c>
      <c r="G14" s="124">
        <v>1.7000000000000001E-2</v>
      </c>
    </row>
    <row r="15" spans="1:8" x14ac:dyDescent="0.3">
      <c r="A15" s="99" t="s">
        <v>207</v>
      </c>
      <c r="B15" s="124">
        <v>4.4999999999999998E-2</v>
      </c>
      <c r="C15" s="131">
        <f>C13/C9</f>
        <v>4.5504000000000003E-2</v>
      </c>
      <c r="E15" s="99" t="s">
        <v>207</v>
      </c>
      <c r="F15" s="198">
        <v>4.4999999999999998E-2</v>
      </c>
      <c r="G15" s="131">
        <f>G13/G9</f>
        <v>4.5506666666666667E-2</v>
      </c>
    </row>
    <row r="16" spans="1:8" x14ac:dyDescent="0.3">
      <c r="A16" s="100" t="s">
        <v>105</v>
      </c>
      <c r="B16" s="98">
        <v>800000</v>
      </c>
      <c r="C16" s="97">
        <v>800000</v>
      </c>
      <c r="E16" s="100" t="s">
        <v>105</v>
      </c>
      <c r="F16" s="98">
        <v>120000</v>
      </c>
      <c r="G16" s="97">
        <v>120000</v>
      </c>
    </row>
    <row r="17" spans="1:7" x14ac:dyDescent="0.3">
      <c r="A17" s="99" t="s">
        <v>107</v>
      </c>
      <c r="B17" s="101">
        <v>0.8</v>
      </c>
      <c r="C17" s="101">
        <v>0.8</v>
      </c>
      <c r="E17" s="99" t="s">
        <v>107</v>
      </c>
      <c r="F17" s="101">
        <v>0.8</v>
      </c>
      <c r="G17" s="101">
        <v>0.8</v>
      </c>
    </row>
    <row r="18" spans="1:7" x14ac:dyDescent="0.3">
      <c r="A18" s="99" t="s">
        <v>25</v>
      </c>
      <c r="B18" s="102" t="s">
        <v>178</v>
      </c>
      <c r="C18" s="102" t="s">
        <v>178</v>
      </c>
      <c r="E18" s="99" t="s">
        <v>25</v>
      </c>
      <c r="F18" s="102" t="s">
        <v>178</v>
      </c>
      <c r="G18" s="102" t="s">
        <v>178</v>
      </c>
    </row>
    <row r="19" spans="1:7" x14ac:dyDescent="0.3">
      <c r="A19" s="100" t="s">
        <v>30</v>
      </c>
      <c r="B19" s="97">
        <v>1050000</v>
      </c>
      <c r="C19" s="97">
        <v>1050000</v>
      </c>
      <c r="E19" s="94" t="s">
        <v>30</v>
      </c>
      <c r="F19" s="97">
        <v>157500</v>
      </c>
      <c r="G19" s="97">
        <v>157500</v>
      </c>
    </row>
    <row r="20" spans="1:7" x14ac:dyDescent="0.3">
      <c r="A20" s="99" t="s">
        <v>32</v>
      </c>
      <c r="B20" s="121">
        <v>1.05</v>
      </c>
      <c r="C20" s="121">
        <v>1.05</v>
      </c>
      <c r="E20" s="99" t="s">
        <v>32</v>
      </c>
      <c r="F20" s="121">
        <v>1.05</v>
      </c>
      <c r="G20" s="121">
        <v>1.05</v>
      </c>
    </row>
    <row r="21" spans="1:7" x14ac:dyDescent="0.3">
      <c r="A21" s="436" t="s">
        <v>190</v>
      </c>
      <c r="B21" s="436"/>
      <c r="C21" s="436"/>
      <c r="E21" s="432" t="s">
        <v>197</v>
      </c>
      <c r="F21" s="433"/>
      <c r="G21" s="434"/>
    </row>
    <row r="22" spans="1:7" x14ac:dyDescent="0.3">
      <c r="A22" s="427" t="s">
        <v>38</v>
      </c>
      <c r="B22" s="427"/>
      <c r="C22" s="427"/>
      <c r="E22" s="427" t="s">
        <v>38</v>
      </c>
      <c r="F22" s="427"/>
      <c r="G22" s="427"/>
    </row>
    <row r="23" spans="1:7" x14ac:dyDescent="0.3">
      <c r="A23" s="100" t="s">
        <v>179</v>
      </c>
      <c r="B23" s="97">
        <v>800000</v>
      </c>
      <c r="C23" s="97">
        <v>1050000</v>
      </c>
      <c r="E23" s="94" t="s">
        <v>179</v>
      </c>
      <c r="F23" s="97">
        <v>135900</v>
      </c>
      <c r="G23" s="97">
        <v>157500</v>
      </c>
    </row>
    <row r="24" spans="1:7" x14ac:dyDescent="0.3">
      <c r="A24" s="100" t="s">
        <v>180</v>
      </c>
      <c r="B24" s="97">
        <v>1301000</v>
      </c>
      <c r="C24" s="97">
        <v>1065281</v>
      </c>
      <c r="E24" s="94" t="s">
        <v>180</v>
      </c>
      <c r="F24" s="97">
        <v>149400</v>
      </c>
      <c r="G24" s="97">
        <v>157929</v>
      </c>
    </row>
    <row r="25" spans="1:7" x14ac:dyDescent="0.3">
      <c r="A25" s="99" t="s">
        <v>32</v>
      </c>
      <c r="B25" s="121">
        <f>B23/B9</f>
        <v>0.8</v>
      </c>
      <c r="C25" s="133">
        <f>C23/C9</f>
        <v>1.05</v>
      </c>
      <c r="E25" s="99" t="s">
        <v>32</v>
      </c>
      <c r="F25" s="103">
        <v>0.91</v>
      </c>
      <c r="G25" s="133">
        <f>G23/G9</f>
        <v>1.05</v>
      </c>
    </row>
    <row r="26" spans="1:7" x14ac:dyDescent="0.3">
      <c r="A26" s="99" t="s">
        <v>181</v>
      </c>
      <c r="B26" s="136">
        <f>B24/B9</f>
        <v>1.3009999999999999</v>
      </c>
      <c r="C26" s="121">
        <f>C24/C9</f>
        <v>1.0652809999999999</v>
      </c>
      <c r="E26" s="99" t="s">
        <v>181</v>
      </c>
      <c r="F26" s="121">
        <f>F24/F9</f>
        <v>0.996</v>
      </c>
      <c r="G26" s="133">
        <f>G24/G9</f>
        <v>1.0528599999999999</v>
      </c>
    </row>
    <row r="27" spans="1:7" ht="15" customHeight="1" x14ac:dyDescent="0.3">
      <c r="A27" s="426" t="s">
        <v>75</v>
      </c>
      <c r="B27" s="426"/>
      <c r="C27" s="426"/>
      <c r="E27" s="426" t="s">
        <v>75</v>
      </c>
      <c r="F27" s="426"/>
      <c r="G27" s="426"/>
    </row>
    <row r="28" spans="1:7" x14ac:dyDescent="0.3">
      <c r="A28" s="100" t="s">
        <v>182</v>
      </c>
      <c r="B28" s="97">
        <v>666000</v>
      </c>
      <c r="C28" s="97">
        <v>629148</v>
      </c>
      <c r="E28" s="94" t="s">
        <v>182</v>
      </c>
      <c r="F28" s="97">
        <v>21600</v>
      </c>
      <c r="G28" s="97">
        <v>20405</v>
      </c>
    </row>
    <row r="29" spans="1:7" x14ac:dyDescent="0.3">
      <c r="A29" s="100" t="s">
        <v>183</v>
      </c>
      <c r="B29" s="104">
        <v>800000</v>
      </c>
      <c r="C29" s="104">
        <v>800000</v>
      </c>
      <c r="E29" s="94" t="s">
        <v>183</v>
      </c>
      <c r="F29" s="104">
        <v>120000</v>
      </c>
      <c r="G29" s="104">
        <v>120000</v>
      </c>
    </row>
    <row r="30" spans="1:7" x14ac:dyDescent="0.3">
      <c r="A30" s="99" t="s">
        <v>184</v>
      </c>
      <c r="B30" s="136">
        <f>B28/B9</f>
        <v>0.66600000000000004</v>
      </c>
      <c r="C30" s="197">
        <f>C28/C9</f>
        <v>0.62914800000000004</v>
      </c>
      <c r="E30" s="99" t="s">
        <v>184</v>
      </c>
      <c r="F30" s="197">
        <f>F28/F9</f>
        <v>0.14399999999999999</v>
      </c>
      <c r="G30" s="197">
        <f>G28/G9</f>
        <v>0.13603333333333334</v>
      </c>
    </row>
    <row r="31" spans="1:7" ht="15" customHeight="1" x14ac:dyDescent="0.3">
      <c r="A31" s="99" t="s">
        <v>185</v>
      </c>
      <c r="B31" s="136">
        <f>(B28+B29)/B9</f>
        <v>1.466</v>
      </c>
      <c r="C31" s="121">
        <f>(C28+C29)/C9</f>
        <v>1.4291480000000001</v>
      </c>
      <c r="E31" s="99" t="s">
        <v>185</v>
      </c>
      <c r="F31" s="121">
        <f>(F28+F29)/F9</f>
        <v>0.94399999999999995</v>
      </c>
      <c r="G31" s="121">
        <f>(G28+G29)/G9</f>
        <v>0.93603333333333338</v>
      </c>
    </row>
    <row r="32" spans="1:7" ht="15" customHeight="1" x14ac:dyDescent="0.3">
      <c r="A32" s="426" t="s">
        <v>76</v>
      </c>
      <c r="B32" s="426"/>
      <c r="C32" s="426"/>
      <c r="E32" s="426" t="s">
        <v>76</v>
      </c>
      <c r="F32" s="426"/>
      <c r="G32" s="426"/>
    </row>
    <row r="33" spans="1:7" x14ac:dyDescent="0.3">
      <c r="A33" s="94" t="s">
        <v>186</v>
      </c>
      <c r="B33" s="97">
        <v>1638000</v>
      </c>
      <c r="C33" s="97">
        <v>1683648</v>
      </c>
      <c r="E33" s="94" t="s">
        <v>186</v>
      </c>
      <c r="F33" s="97">
        <v>49950</v>
      </c>
      <c r="G33" s="97">
        <f>20405+34200</f>
        <v>54605</v>
      </c>
    </row>
    <row r="34" spans="1:7" x14ac:dyDescent="0.3">
      <c r="A34" s="94" t="s">
        <v>187</v>
      </c>
      <c r="B34" s="104">
        <v>1301000</v>
      </c>
      <c r="C34" s="104">
        <v>1043486</v>
      </c>
      <c r="E34" s="94" t="s">
        <v>187</v>
      </c>
      <c r="F34" s="104">
        <v>133500</v>
      </c>
      <c r="G34" s="104">
        <v>128872</v>
      </c>
    </row>
    <row r="35" spans="1:7" x14ac:dyDescent="0.3">
      <c r="A35" s="99" t="s">
        <v>59</v>
      </c>
      <c r="B35" s="197">
        <f>B33/B9</f>
        <v>1.6379999999999999</v>
      </c>
      <c r="C35" s="136">
        <f>C33/C9</f>
        <v>1.683648</v>
      </c>
      <c r="E35" s="99" t="s">
        <v>59</v>
      </c>
      <c r="F35" s="105">
        <v>0.33</v>
      </c>
      <c r="G35" s="136">
        <f>G33/G9</f>
        <v>0.36403333333333332</v>
      </c>
    </row>
    <row r="36" spans="1:7" ht="15" customHeight="1" x14ac:dyDescent="0.3">
      <c r="A36" s="99" t="s">
        <v>188</v>
      </c>
      <c r="B36" s="136">
        <f>(B33+B34)/B9</f>
        <v>2.9390000000000001</v>
      </c>
      <c r="C36" s="121">
        <f>(C33+C34)/C9</f>
        <v>2.7271339999999999</v>
      </c>
      <c r="E36" s="122" t="s">
        <v>188</v>
      </c>
      <c r="F36" s="135">
        <v>1.22</v>
      </c>
      <c r="G36" s="121">
        <f>(G33+G34)/G9</f>
        <v>1.2231799999999999</v>
      </c>
    </row>
    <row r="37" spans="1:7" x14ac:dyDescent="0.3">
      <c r="A37" s="436" t="s">
        <v>191</v>
      </c>
      <c r="B37" s="436"/>
      <c r="C37" s="436"/>
      <c r="E37" s="432" t="s">
        <v>198</v>
      </c>
      <c r="F37" s="433"/>
      <c r="G37" s="434"/>
    </row>
    <row r="38" spans="1:7" x14ac:dyDescent="0.3">
      <c r="A38" s="427" t="s">
        <v>38</v>
      </c>
      <c r="B38" s="427"/>
      <c r="C38" s="427"/>
      <c r="E38" s="427" t="s">
        <v>38</v>
      </c>
      <c r="F38" s="427"/>
      <c r="G38" s="427"/>
    </row>
    <row r="39" spans="1:7" x14ac:dyDescent="0.3">
      <c r="A39" s="94" t="s">
        <v>179</v>
      </c>
      <c r="B39" s="97">
        <v>800000</v>
      </c>
      <c r="C39" s="97">
        <v>1050000</v>
      </c>
      <c r="E39" s="94" t="s">
        <v>179</v>
      </c>
      <c r="F39" s="97">
        <v>120000</v>
      </c>
      <c r="G39" s="97">
        <v>157500</v>
      </c>
    </row>
    <row r="40" spans="1:7" x14ac:dyDescent="0.3">
      <c r="A40" s="94" t="s">
        <v>180</v>
      </c>
      <c r="B40" s="97">
        <v>1724000</v>
      </c>
      <c r="C40" s="97">
        <v>1075175</v>
      </c>
      <c r="E40" s="94" t="s">
        <v>180</v>
      </c>
      <c r="F40" s="97">
        <v>171750</v>
      </c>
      <c r="G40" s="97">
        <v>159275</v>
      </c>
    </row>
    <row r="41" spans="1:7" x14ac:dyDescent="0.3">
      <c r="A41" s="99" t="s">
        <v>32</v>
      </c>
      <c r="B41" s="121">
        <f>B39/B9</f>
        <v>0.8</v>
      </c>
      <c r="C41" s="132">
        <f>C39/C9</f>
        <v>1.05</v>
      </c>
      <c r="E41" s="99" t="s">
        <v>32</v>
      </c>
      <c r="F41" s="121">
        <v>0.8</v>
      </c>
      <c r="G41" s="132">
        <f>G39/G9</f>
        <v>1.05</v>
      </c>
    </row>
    <row r="42" spans="1:7" x14ac:dyDescent="0.3">
      <c r="A42" s="99" t="s">
        <v>181</v>
      </c>
      <c r="B42" s="132">
        <f>B40/B9</f>
        <v>1.724</v>
      </c>
      <c r="C42" s="121">
        <f>C40/C9</f>
        <v>1.075175</v>
      </c>
      <c r="E42" s="99" t="s">
        <v>181</v>
      </c>
      <c r="F42" s="135">
        <v>1.1499999999999999</v>
      </c>
      <c r="G42" s="121">
        <f>G40/G9</f>
        <v>1.0618333333333334</v>
      </c>
    </row>
    <row r="43" spans="1:7" ht="15" customHeight="1" x14ac:dyDescent="0.3">
      <c r="A43" s="426" t="s">
        <v>75</v>
      </c>
      <c r="B43" s="426"/>
      <c r="C43" s="426"/>
      <c r="E43" s="426" t="s">
        <v>75</v>
      </c>
      <c r="F43" s="426"/>
      <c r="G43" s="426"/>
    </row>
    <row r="44" spans="1:7" x14ac:dyDescent="0.3">
      <c r="A44" s="94" t="s">
        <v>182</v>
      </c>
      <c r="B44" s="97">
        <v>1026000</v>
      </c>
      <c r="C44" s="97">
        <v>969228</v>
      </c>
      <c r="E44" s="94" t="s">
        <v>182</v>
      </c>
      <c r="F44" s="97">
        <v>75600</v>
      </c>
      <c r="G44" s="97">
        <v>71417</v>
      </c>
    </row>
    <row r="45" spans="1:7" x14ac:dyDescent="0.3">
      <c r="A45" s="94" t="s">
        <v>183</v>
      </c>
      <c r="B45" s="104">
        <v>800000</v>
      </c>
      <c r="C45" s="104">
        <v>800000</v>
      </c>
      <c r="E45" s="94" t="s">
        <v>183</v>
      </c>
      <c r="F45" s="104">
        <v>120000</v>
      </c>
      <c r="G45" s="104">
        <v>120000</v>
      </c>
    </row>
    <row r="46" spans="1:7" x14ac:dyDescent="0.3">
      <c r="A46" s="99" t="s">
        <v>184</v>
      </c>
      <c r="B46" s="132">
        <f>B44/B9</f>
        <v>1.026</v>
      </c>
      <c r="C46" s="197">
        <f>C44/C9</f>
        <v>0.96922799999999998</v>
      </c>
      <c r="E46" s="99" t="s">
        <v>184</v>
      </c>
      <c r="F46" s="136">
        <v>0.5</v>
      </c>
      <c r="G46" s="197">
        <f>G44/G9</f>
        <v>0.47611333333333333</v>
      </c>
    </row>
    <row r="47" spans="1:7" ht="20.55" customHeight="1" x14ac:dyDescent="0.3">
      <c r="A47" s="99" t="s">
        <v>185</v>
      </c>
      <c r="B47" s="132">
        <f>(B44+B45)/B9</f>
        <v>1.8260000000000001</v>
      </c>
      <c r="C47" s="121">
        <f>(C44+C45)/C9</f>
        <v>1.769228</v>
      </c>
      <c r="E47" s="99" t="s">
        <v>185</v>
      </c>
      <c r="F47" s="132">
        <v>1.3</v>
      </c>
      <c r="G47" s="121">
        <f>(G44+G45)/G9</f>
        <v>1.2761133333333334</v>
      </c>
    </row>
    <row r="48" spans="1:7" ht="15" customHeight="1" x14ac:dyDescent="0.3">
      <c r="A48" s="426" t="s">
        <v>76</v>
      </c>
      <c r="B48" s="426"/>
      <c r="C48" s="426"/>
      <c r="E48" s="426" t="s">
        <v>76</v>
      </c>
      <c r="F48" s="426"/>
      <c r="G48" s="426"/>
    </row>
    <row r="49" spans="1:7" x14ac:dyDescent="0.3">
      <c r="A49" s="94" t="s">
        <v>186</v>
      </c>
      <c r="B49" s="97">
        <v>2538000</v>
      </c>
      <c r="C49" s="97">
        <f>969228+1624500</f>
        <v>2593728</v>
      </c>
      <c r="E49" s="94" t="s">
        <v>186</v>
      </c>
      <c r="F49" s="97">
        <v>184950</v>
      </c>
      <c r="G49" s="97">
        <f>71417+119700</f>
        <v>191117</v>
      </c>
    </row>
    <row r="50" spans="1:7" x14ac:dyDescent="0.3">
      <c r="A50" s="94" t="s">
        <v>187</v>
      </c>
      <c r="B50" s="104">
        <v>1724000</v>
      </c>
      <c r="C50" s="104">
        <v>1053178</v>
      </c>
      <c r="E50" s="94" t="s">
        <v>187</v>
      </c>
      <c r="F50" s="104">
        <v>171750</v>
      </c>
      <c r="G50" s="104">
        <v>152892</v>
      </c>
    </row>
    <row r="51" spans="1:7" x14ac:dyDescent="0.3">
      <c r="A51" s="99" t="s">
        <v>59</v>
      </c>
      <c r="B51" s="121">
        <f>B49/B9</f>
        <v>2.5379999999999998</v>
      </c>
      <c r="C51" s="132">
        <f>C49/C9</f>
        <v>2.593728</v>
      </c>
      <c r="E51" s="99" t="s">
        <v>59</v>
      </c>
      <c r="F51" s="121">
        <v>1.23</v>
      </c>
      <c r="G51" s="132">
        <f>G49/G9</f>
        <v>1.2741133333333334</v>
      </c>
    </row>
    <row r="52" spans="1:7" ht="15" customHeight="1" x14ac:dyDescent="0.3">
      <c r="A52" s="99" t="s">
        <v>188</v>
      </c>
      <c r="B52" s="132">
        <f>(B49+B50)/B9</f>
        <v>4.2619999999999996</v>
      </c>
      <c r="C52" s="121">
        <f>(C49+C50)/C9</f>
        <v>3.646906</v>
      </c>
      <c r="E52" s="99" t="s">
        <v>188</v>
      </c>
      <c r="F52" s="135">
        <v>2.38</v>
      </c>
      <c r="G52" s="121">
        <f>(G49+G50)/G9</f>
        <v>2.2933933333333334</v>
      </c>
    </row>
    <row r="53" spans="1:7" x14ac:dyDescent="0.3">
      <c r="A53" s="436" t="s">
        <v>189</v>
      </c>
      <c r="B53" s="436"/>
      <c r="C53" s="436"/>
      <c r="E53" s="432" t="s">
        <v>199</v>
      </c>
      <c r="F53" s="433"/>
      <c r="G53" s="434"/>
    </row>
    <row r="54" spans="1:7" x14ac:dyDescent="0.3">
      <c r="A54" s="437" t="s">
        <v>38</v>
      </c>
      <c r="B54" s="437"/>
      <c r="C54" s="437"/>
      <c r="E54" s="427" t="s">
        <v>38</v>
      </c>
      <c r="F54" s="427"/>
      <c r="G54" s="427"/>
    </row>
    <row r="55" spans="1:7" x14ac:dyDescent="0.3">
      <c r="A55" s="106" t="s">
        <v>179</v>
      </c>
      <c r="B55" s="97">
        <v>800000</v>
      </c>
      <c r="C55" s="97">
        <v>1050000</v>
      </c>
      <c r="E55" s="94" t="s">
        <v>179</v>
      </c>
      <c r="F55" s="97">
        <v>120000</v>
      </c>
      <c r="G55" s="97">
        <v>157500</v>
      </c>
    </row>
    <row r="56" spans="1:7" x14ac:dyDescent="0.3">
      <c r="A56" s="106" t="s">
        <v>180</v>
      </c>
      <c r="B56" s="97">
        <v>2283000</v>
      </c>
      <c r="C56" s="97">
        <v>1087383</v>
      </c>
      <c r="E56" s="94" t="s">
        <v>180</v>
      </c>
      <c r="F56" s="97">
        <v>227850</v>
      </c>
      <c r="G56" s="97">
        <v>160633</v>
      </c>
    </row>
    <row r="57" spans="1:7" x14ac:dyDescent="0.3">
      <c r="A57" s="99" t="s">
        <v>32</v>
      </c>
      <c r="B57" s="121">
        <f>B55/B9</f>
        <v>0.8</v>
      </c>
      <c r="C57" s="133">
        <f>C55/C9</f>
        <v>1.05</v>
      </c>
      <c r="E57" s="99" t="s">
        <v>32</v>
      </c>
      <c r="F57" s="121">
        <v>0.8</v>
      </c>
      <c r="G57" s="133">
        <f>G55/G9</f>
        <v>1.05</v>
      </c>
    </row>
    <row r="58" spans="1:7" x14ac:dyDescent="0.3">
      <c r="A58" s="99" t="s">
        <v>181</v>
      </c>
      <c r="B58" s="132">
        <v>2.2799999999999998</v>
      </c>
      <c r="C58" s="121">
        <f>C56/C9</f>
        <v>1.087383</v>
      </c>
      <c r="E58" s="99" t="s">
        <v>181</v>
      </c>
      <c r="F58" s="135">
        <v>1.52</v>
      </c>
      <c r="G58" s="121">
        <f>G56/G9</f>
        <v>1.0708866666666668</v>
      </c>
    </row>
    <row r="59" spans="1:7" ht="15" customHeight="1" x14ac:dyDescent="0.3">
      <c r="A59" s="435" t="s">
        <v>75</v>
      </c>
      <c r="B59" s="435"/>
      <c r="C59" s="435"/>
      <c r="E59" s="426" t="s">
        <v>75</v>
      </c>
      <c r="F59" s="426"/>
      <c r="G59" s="426"/>
    </row>
    <row r="60" spans="1:7" x14ac:dyDescent="0.3">
      <c r="A60" s="106" t="s">
        <v>182</v>
      </c>
      <c r="B60" s="97">
        <v>1386000</v>
      </c>
      <c r="C60" s="97">
        <v>1309308</v>
      </c>
      <c r="E60" s="94" t="s">
        <v>182</v>
      </c>
      <c r="F60" s="97">
        <v>129600</v>
      </c>
      <c r="G60" s="97">
        <v>122429</v>
      </c>
    </row>
    <row r="61" spans="1:7" x14ac:dyDescent="0.3">
      <c r="A61" s="106" t="s">
        <v>183</v>
      </c>
      <c r="B61" s="104">
        <v>800000</v>
      </c>
      <c r="C61" s="104">
        <v>800000</v>
      </c>
      <c r="E61" s="94" t="s">
        <v>183</v>
      </c>
      <c r="F61" s="104">
        <v>120000</v>
      </c>
      <c r="G61" s="104">
        <v>120000</v>
      </c>
    </row>
    <row r="62" spans="1:7" x14ac:dyDescent="0.3">
      <c r="A62" s="99" t="s">
        <v>184</v>
      </c>
      <c r="B62" s="132">
        <f>B60/B9</f>
        <v>1.3859999999999999</v>
      </c>
      <c r="C62" s="197">
        <f>C60/C9</f>
        <v>1.3093079999999999</v>
      </c>
      <c r="E62" s="99" t="s">
        <v>184</v>
      </c>
      <c r="F62" s="134">
        <v>0.86</v>
      </c>
      <c r="G62" s="197">
        <f>G60/G9</f>
        <v>0.81619333333333333</v>
      </c>
    </row>
    <row r="63" spans="1:7" ht="23.55" customHeight="1" x14ac:dyDescent="0.3">
      <c r="A63" s="99" t="s">
        <v>185</v>
      </c>
      <c r="B63" s="132">
        <f>(B60+B61)/B9</f>
        <v>2.1859999999999999</v>
      </c>
      <c r="C63" s="121">
        <f>(C60+C61)/C9</f>
        <v>2.109308</v>
      </c>
      <c r="E63" s="99" t="s">
        <v>185</v>
      </c>
      <c r="F63" s="135">
        <v>1.66</v>
      </c>
      <c r="G63" s="121">
        <f>(G60+G61)/G9</f>
        <v>1.6161933333333334</v>
      </c>
    </row>
    <row r="64" spans="1:7" ht="15" customHeight="1" x14ac:dyDescent="0.3">
      <c r="A64" s="435" t="s">
        <v>76</v>
      </c>
      <c r="B64" s="435"/>
      <c r="C64" s="435"/>
      <c r="E64" s="426" t="s">
        <v>76</v>
      </c>
      <c r="F64" s="426"/>
      <c r="G64" s="426"/>
    </row>
    <row r="65" spans="1:7" x14ac:dyDescent="0.3">
      <c r="A65" s="106" t="s">
        <v>186</v>
      </c>
      <c r="B65" s="97">
        <v>3438000</v>
      </c>
      <c r="C65" s="97">
        <f>1309308+2194500</f>
        <v>3503808</v>
      </c>
      <c r="E65" s="94" t="s">
        <v>186</v>
      </c>
      <c r="F65" s="97">
        <v>319950</v>
      </c>
      <c r="G65" s="97">
        <f>122429+205200</f>
        <v>327629</v>
      </c>
    </row>
    <row r="66" spans="1:7" x14ac:dyDescent="0.3">
      <c r="A66" s="106" t="s">
        <v>187</v>
      </c>
      <c r="B66" s="104">
        <v>2283000</v>
      </c>
      <c r="C66" s="104">
        <v>1065136</v>
      </c>
      <c r="E66" s="94" t="s">
        <v>187</v>
      </c>
      <c r="F66" s="104">
        <v>227850</v>
      </c>
      <c r="G66" s="104">
        <v>157347</v>
      </c>
    </row>
    <row r="67" spans="1:7" x14ac:dyDescent="0.3">
      <c r="A67" s="99" t="s">
        <v>59</v>
      </c>
      <c r="B67" s="121">
        <f>B65/B9</f>
        <v>3.4380000000000002</v>
      </c>
      <c r="C67" s="132">
        <f>C65/C9</f>
        <v>3.5038079999999998</v>
      </c>
      <c r="E67" s="99" t="s">
        <v>59</v>
      </c>
      <c r="F67" s="121">
        <v>2.13</v>
      </c>
      <c r="G67" s="132">
        <f>G65/G9</f>
        <v>2.1841933333333334</v>
      </c>
    </row>
    <row r="68" spans="1:7" ht="15" customHeight="1" x14ac:dyDescent="0.3">
      <c r="A68" s="99" t="s">
        <v>188</v>
      </c>
      <c r="B68" s="132">
        <f>(B65+B66)/B9</f>
        <v>5.7210000000000001</v>
      </c>
      <c r="C68" s="121">
        <f>(C65+C66)/C9</f>
        <v>4.5689440000000001</v>
      </c>
      <c r="E68" s="99" t="s">
        <v>188</v>
      </c>
      <c r="F68" s="135">
        <v>3.65</v>
      </c>
      <c r="G68" s="121">
        <f>(G65+G66)/G9</f>
        <v>3.2331733333333332</v>
      </c>
    </row>
  </sheetData>
  <sheetProtection algorithmName="SHA-512" hashValue="lJR7FbrNELIjaHVs5H+1g7nUTm1Lm6utfUCpQDfOjY/pc6NR7dKL1nj4ecZtJSnDiZ2tyctmUorGco4tfaEdyA==" saltValue="pXWMKipfqasjtDeVP/0BaQ==" spinCount="100000" sheet="1" objects="1" scenarios="1"/>
  <mergeCells count="32">
    <mergeCell ref="A5:A6"/>
    <mergeCell ref="A10:A11"/>
    <mergeCell ref="C10:C11"/>
    <mergeCell ref="A43:C43"/>
    <mergeCell ref="A54:C54"/>
    <mergeCell ref="A59:C59"/>
    <mergeCell ref="A64:C64"/>
    <mergeCell ref="A21:C21"/>
    <mergeCell ref="A37:C37"/>
    <mergeCell ref="A53:C53"/>
    <mergeCell ref="A22:C22"/>
    <mergeCell ref="A27:C27"/>
    <mergeCell ref="A32:C32"/>
    <mergeCell ref="A38:C38"/>
    <mergeCell ref="A48:C48"/>
    <mergeCell ref="E64:G64"/>
    <mergeCell ref="E21:G21"/>
    <mergeCell ref="E53:G53"/>
    <mergeCell ref="E22:G22"/>
    <mergeCell ref="E27:G27"/>
    <mergeCell ref="E32:G32"/>
    <mergeCell ref="E37:G37"/>
    <mergeCell ref="E38:G38"/>
    <mergeCell ref="E43:G43"/>
    <mergeCell ref="E4:G4"/>
    <mergeCell ref="E3:F3"/>
    <mergeCell ref="E48:G48"/>
    <mergeCell ref="E54:G54"/>
    <mergeCell ref="E59:G59"/>
    <mergeCell ref="E5:E6"/>
    <mergeCell ref="E10:E11"/>
    <mergeCell ref="G10:G11"/>
  </mergeCells>
  <pageMargins left="0.7" right="0.7" top="0.75" bottom="0.75" header="0.3" footer="0.3"/>
  <pageSetup scale="39" orientation="landscape" horizontalDpi="90" verticalDpi="90" r:id="rId1"/>
  <headerFooter>
    <oddFooter>&amp;L_x000D_&amp;1#&amp;"Calibri"&amp;8&amp;K0000FF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10"/>
  <sheetViews>
    <sheetView zoomScale="60" zoomScaleNormal="60" workbookViewId="0">
      <selection activeCell="I6" sqref="I6"/>
    </sheetView>
  </sheetViews>
  <sheetFormatPr defaultColWidth="9.21875" defaultRowHeight="72" customHeight="1" x14ac:dyDescent="0.25"/>
  <cols>
    <col min="1" max="3" width="30.77734375" style="2" customWidth="1"/>
    <col min="4" max="4" width="9.21875" style="2"/>
    <col min="5" max="5" width="32.21875" style="2" customWidth="1"/>
    <col min="6" max="16384" width="9.21875" style="2"/>
  </cols>
  <sheetData>
    <row r="1" spans="1:7" ht="66.75" customHeight="1" x14ac:dyDescent="0.25">
      <c r="A1" s="307" t="s">
        <v>2</v>
      </c>
      <c r="B1" s="308"/>
      <c r="C1" s="308"/>
      <c r="D1" s="309"/>
      <c r="E1" s="309"/>
    </row>
    <row r="2" spans="1:7" ht="13.8" x14ac:dyDescent="0.25"/>
    <row r="3" spans="1:7" s="3" customFormat="1" ht="33.75" customHeight="1" x14ac:dyDescent="0.25">
      <c r="A3" s="310" t="s">
        <v>3</v>
      </c>
      <c r="B3" s="309"/>
      <c r="C3" s="309"/>
      <c r="D3" s="309"/>
      <c r="E3" s="309"/>
      <c r="F3" s="4"/>
    </row>
    <row r="4" spans="1:7" s="3" customFormat="1" ht="48.75" customHeight="1" thickBot="1" x14ac:dyDescent="0.3">
      <c r="A4" s="311" t="s">
        <v>4</v>
      </c>
      <c r="B4" s="311"/>
      <c r="C4" s="311"/>
    </row>
    <row r="5" spans="1:7" s="3" customFormat="1" ht="57.75" customHeight="1" x14ac:dyDescent="0.25">
      <c r="A5" s="312" t="s">
        <v>360</v>
      </c>
      <c r="B5" s="313"/>
      <c r="C5" s="313"/>
      <c r="D5" s="313"/>
      <c r="E5" s="314"/>
      <c r="G5" s="5"/>
    </row>
    <row r="6" spans="1:7" s="3" customFormat="1" ht="37.5" customHeight="1" x14ac:dyDescent="0.25">
      <c r="A6" s="315"/>
      <c r="B6" s="316"/>
      <c r="C6" s="316"/>
      <c r="D6" s="316"/>
      <c r="E6" s="317"/>
    </row>
    <row r="7" spans="1:7" s="6" customFormat="1" ht="84.75" customHeight="1" x14ac:dyDescent="0.25">
      <c r="A7" s="315"/>
      <c r="B7" s="316"/>
      <c r="C7" s="316"/>
      <c r="D7" s="316"/>
      <c r="E7" s="317"/>
    </row>
    <row r="8" spans="1:7" s="6" customFormat="1" ht="77.25" customHeight="1" x14ac:dyDescent="0.25">
      <c r="A8" s="315"/>
      <c r="B8" s="316"/>
      <c r="C8" s="316"/>
      <c r="D8" s="316"/>
      <c r="E8" s="317"/>
    </row>
    <row r="9" spans="1:7" s="3" customFormat="1" ht="22.5" customHeight="1" thickBot="1" x14ac:dyDescent="0.3">
      <c r="A9" s="304" t="s">
        <v>495</v>
      </c>
      <c r="B9" s="305"/>
      <c r="C9" s="305"/>
      <c r="D9" s="305"/>
      <c r="E9" s="306"/>
    </row>
    <row r="10" spans="1:7" s="3" customFormat="1" ht="72" customHeight="1" x14ac:dyDescent="0.25"/>
  </sheetData>
  <sheetProtection algorithmName="SHA-512" hashValue="u1JUeOjBQ8dGULhZ2GpGJcylPdBlwWyPXPxZVCrdRokaR2xJ/+7Jj7x7Hn/KeR5gK7p6ZOGUFXqBaa1A529cQQ==" saltValue="4SVWXjt5GLukUrxz20sOwQ==" spinCount="100000" sheet="1" objects="1" scenarios="1"/>
  <mergeCells count="5">
    <mergeCell ref="A9:E9"/>
    <mergeCell ref="A1:E1"/>
    <mergeCell ref="A3:E3"/>
    <mergeCell ref="A4:C4"/>
    <mergeCell ref="A5:E8"/>
  </mergeCells>
  <printOptions horizontalCentered="1" verticalCentered="1"/>
  <pageMargins left="0" right="0" top="0" bottom="0" header="0" footer="0"/>
  <pageSetup paperSize="9" orientation="landscape" r:id="rId1"/>
  <headerFooter>
    <oddFooter>&amp;L_x000D_&amp;1#&amp;"Calibri"&amp;8&amp;K0000FF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D9D94-1CFE-4E4B-BEC6-13E3948D3E70}">
  <dimension ref="A1:E9"/>
  <sheetViews>
    <sheetView zoomScale="85" zoomScaleNormal="85" workbookViewId="0">
      <selection activeCell="C42" sqref="C42"/>
    </sheetView>
  </sheetViews>
  <sheetFormatPr defaultRowHeight="14.4" x14ac:dyDescent="0.3"/>
  <cols>
    <col min="1" max="1" width="13.5546875" customWidth="1"/>
    <col min="2" max="2" width="34.5546875" customWidth="1"/>
    <col min="3" max="3" width="14.21875" bestFit="1" customWidth="1"/>
    <col min="4" max="4" width="42.109375" bestFit="1" customWidth="1"/>
    <col min="5" max="5" width="109.77734375" customWidth="1"/>
  </cols>
  <sheetData>
    <row r="1" spans="1:5" x14ac:dyDescent="0.3">
      <c r="A1" s="292" t="s">
        <v>469</v>
      </c>
      <c r="B1" s="293" t="s">
        <v>470</v>
      </c>
      <c r="C1" s="294" t="s">
        <v>471</v>
      </c>
      <c r="D1" s="295" t="s">
        <v>472</v>
      </c>
      <c r="E1" s="296" t="s">
        <v>473</v>
      </c>
    </row>
    <row r="2" spans="1:5" ht="15.6" x14ac:dyDescent="0.3">
      <c r="A2" s="297" t="s">
        <v>474</v>
      </c>
      <c r="B2" s="298" t="s">
        <v>480</v>
      </c>
      <c r="C2" s="298" t="s">
        <v>475</v>
      </c>
      <c r="D2" s="299" t="s">
        <v>481</v>
      </c>
      <c r="E2" s="300" t="s">
        <v>482</v>
      </c>
    </row>
    <row r="3" spans="1:5" ht="15.6" x14ac:dyDescent="0.3">
      <c r="A3" s="297" t="s">
        <v>476</v>
      </c>
      <c r="B3" s="298" t="s">
        <v>484</v>
      </c>
      <c r="C3" s="298" t="s">
        <v>475</v>
      </c>
      <c r="D3" s="299" t="s">
        <v>481</v>
      </c>
      <c r="E3" s="300" t="s">
        <v>483</v>
      </c>
    </row>
    <row r="4" spans="1:5" ht="15.6" x14ac:dyDescent="0.3">
      <c r="A4" s="297" t="s">
        <v>477</v>
      </c>
      <c r="B4" s="301" t="s">
        <v>485</v>
      </c>
      <c r="C4" s="298" t="s">
        <v>475</v>
      </c>
      <c r="D4" s="299" t="s">
        <v>481</v>
      </c>
      <c r="E4" s="300" t="s">
        <v>486</v>
      </c>
    </row>
    <row r="5" spans="1:5" ht="15.6" x14ac:dyDescent="0.3">
      <c r="A5" s="297" t="s">
        <v>477</v>
      </c>
      <c r="B5" s="298" t="s">
        <v>487</v>
      </c>
      <c r="C5" s="298" t="s">
        <v>475</v>
      </c>
      <c r="D5" s="299" t="s">
        <v>481</v>
      </c>
      <c r="E5" s="300" t="s">
        <v>486</v>
      </c>
    </row>
    <row r="6" spans="1:5" ht="15.6" x14ac:dyDescent="0.3">
      <c r="A6" s="297" t="s">
        <v>477</v>
      </c>
      <c r="B6" s="298" t="s">
        <v>488</v>
      </c>
      <c r="C6" s="298" t="s">
        <v>475</v>
      </c>
      <c r="D6" s="299" t="s">
        <v>481</v>
      </c>
      <c r="E6" s="300" t="s">
        <v>486</v>
      </c>
    </row>
    <row r="7" spans="1:5" ht="15.6" x14ac:dyDescent="0.3">
      <c r="A7" s="297" t="s">
        <v>477</v>
      </c>
      <c r="B7" s="298" t="s">
        <v>488</v>
      </c>
      <c r="C7" s="298" t="s">
        <v>475</v>
      </c>
      <c r="D7" s="299" t="s">
        <v>481</v>
      </c>
      <c r="E7" s="300" t="s">
        <v>486</v>
      </c>
    </row>
    <row r="8" spans="1:5" ht="15.6" x14ac:dyDescent="0.3">
      <c r="A8" s="298" t="s">
        <v>478</v>
      </c>
      <c r="B8" s="298" t="s">
        <v>487</v>
      </c>
      <c r="C8" s="298" t="s">
        <v>475</v>
      </c>
      <c r="D8" s="299" t="s">
        <v>481</v>
      </c>
      <c r="E8" s="302" t="s">
        <v>489</v>
      </c>
    </row>
    <row r="9" spans="1:5" ht="15.6" x14ac:dyDescent="0.3">
      <c r="A9" s="298" t="s">
        <v>479</v>
      </c>
      <c r="B9" s="298" t="s">
        <v>491</v>
      </c>
      <c r="C9" s="298" t="s">
        <v>475</v>
      </c>
      <c r="D9" s="299" t="s">
        <v>481</v>
      </c>
      <c r="E9" s="302" t="s">
        <v>490</v>
      </c>
    </row>
  </sheetData>
  <sheetProtection algorithmName="SHA-512" hashValue="hYnmmcLrVDkQ0JYtSusZhCVKrwaRl7QXJ+GsRzQX3cCKyhBY3Qq/I/BPrHsQaNPMrjU3P539ISUUN/msJgQE0Q==" saltValue="t+sTxia0tE/VysVoEwroG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15"/>
  <sheetViews>
    <sheetView tabSelected="1" zoomScale="70" zoomScaleNormal="70" zoomScaleSheetLayoutView="75" workbookViewId="0">
      <selection sqref="A1:G1"/>
    </sheetView>
  </sheetViews>
  <sheetFormatPr defaultColWidth="9.21875" defaultRowHeight="14.4" x14ac:dyDescent="0.3"/>
  <cols>
    <col min="1" max="1" width="18.5546875" style="7" customWidth="1"/>
    <col min="2" max="2" width="34.6640625" style="7" bestFit="1" customWidth="1"/>
    <col min="3" max="3" width="104" style="7" customWidth="1"/>
    <col min="4" max="4" width="8.44140625" style="7" customWidth="1"/>
    <col min="5" max="5" width="19" style="7" customWidth="1"/>
    <col min="6" max="6" width="28.21875" style="7" customWidth="1"/>
    <col min="7" max="7" width="80.77734375" style="7" customWidth="1"/>
    <col min="8" max="8" width="59.5546875" style="7" customWidth="1"/>
    <col min="9" max="16384" width="9.21875" style="7"/>
  </cols>
  <sheetData>
    <row r="1" spans="1:7" ht="16.2" thickBot="1" x14ac:dyDescent="0.35">
      <c r="A1" s="324" t="s">
        <v>22</v>
      </c>
      <c r="B1" s="324"/>
      <c r="C1" s="324"/>
      <c r="D1" s="324"/>
      <c r="E1" s="324"/>
      <c r="F1" s="324"/>
      <c r="G1" s="324"/>
    </row>
    <row r="2" spans="1:7" ht="16.2" thickBot="1" x14ac:dyDescent="0.35">
      <c r="A2" s="318" t="s">
        <v>200</v>
      </c>
      <c r="B2" s="319"/>
      <c r="C2" s="320"/>
      <c r="E2" s="321" t="s">
        <v>201</v>
      </c>
      <c r="F2" s="322"/>
      <c r="G2" s="323"/>
    </row>
    <row r="3" spans="1:7" x14ac:dyDescent="0.3">
      <c r="A3" s="57" t="s">
        <v>20</v>
      </c>
      <c r="B3" s="57" t="s">
        <v>21</v>
      </c>
      <c r="C3" s="58" t="s">
        <v>468</v>
      </c>
      <c r="E3" s="129" t="s">
        <v>20</v>
      </c>
      <c r="F3" s="129" t="s">
        <v>21</v>
      </c>
      <c r="G3" s="130" t="s">
        <v>468</v>
      </c>
    </row>
    <row r="4" spans="1:7" ht="269.39999999999998" customHeight="1" x14ac:dyDescent="0.3">
      <c r="A4" s="331" t="s">
        <v>147</v>
      </c>
      <c r="B4" s="333" t="s">
        <v>267</v>
      </c>
      <c r="C4" s="335" t="s">
        <v>329</v>
      </c>
      <c r="D4" s="8"/>
      <c r="E4" s="325" t="s">
        <v>60</v>
      </c>
      <c r="F4" s="327" t="s">
        <v>149</v>
      </c>
      <c r="G4" s="329" t="s">
        <v>328</v>
      </c>
    </row>
    <row r="5" spans="1:7" ht="91.95" customHeight="1" x14ac:dyDescent="0.3">
      <c r="A5" s="332"/>
      <c r="B5" s="334"/>
      <c r="C5" s="336"/>
      <c r="D5" s="8"/>
      <c r="E5" s="326"/>
      <c r="F5" s="328"/>
      <c r="G5" s="330"/>
    </row>
    <row r="6" spans="1:7" ht="165" customHeight="1" x14ac:dyDescent="0.3">
      <c r="A6" s="10" t="s">
        <v>147</v>
      </c>
      <c r="B6" s="56" t="s">
        <v>210</v>
      </c>
      <c r="C6" s="75" t="s">
        <v>326</v>
      </c>
      <c r="D6" s="8"/>
      <c r="E6" s="152" t="s">
        <v>6</v>
      </c>
      <c r="F6" s="48" t="s">
        <v>376</v>
      </c>
      <c r="G6" s="76" t="s">
        <v>385</v>
      </c>
    </row>
    <row r="7" spans="1:7" ht="43.2" x14ac:dyDescent="0.3">
      <c r="A7" s="10" t="s">
        <v>100</v>
      </c>
      <c r="B7" s="56" t="s">
        <v>101</v>
      </c>
      <c r="C7" s="160" t="s">
        <v>290</v>
      </c>
    </row>
    <row r="8" spans="1:7" ht="100.8" x14ac:dyDescent="0.3">
      <c r="A8" s="10" t="s">
        <v>100</v>
      </c>
      <c r="B8" s="56" t="s">
        <v>294</v>
      </c>
      <c r="C8" s="75" t="s">
        <v>327</v>
      </c>
    </row>
    <row r="9" spans="1:7" ht="82.5" customHeight="1" x14ac:dyDescent="0.3">
      <c r="A9" s="148" t="s">
        <v>148</v>
      </c>
      <c r="B9" s="138" t="s">
        <v>433</v>
      </c>
      <c r="C9" s="159" t="s">
        <v>445</v>
      </c>
      <c r="E9" s="149"/>
      <c r="F9" s="150"/>
      <c r="G9" s="82"/>
    </row>
    <row r="10" spans="1:7" ht="91.2" customHeight="1" x14ac:dyDescent="0.3">
      <c r="A10" s="9" t="s">
        <v>148</v>
      </c>
      <c r="B10" s="138" t="s">
        <v>231</v>
      </c>
      <c r="C10" s="159" t="s">
        <v>232</v>
      </c>
    </row>
    <row r="11" spans="1:7" ht="162" customHeight="1" x14ac:dyDescent="0.3">
      <c r="A11" s="148" t="s">
        <v>6</v>
      </c>
      <c r="B11" s="48" t="s">
        <v>64</v>
      </c>
      <c r="C11" s="76" t="s">
        <v>325</v>
      </c>
      <c r="D11" s="8"/>
      <c r="E11" s="83"/>
      <c r="F11" s="83"/>
      <c r="G11" s="83"/>
    </row>
    <row r="12" spans="1:7" s="83" customFormat="1" ht="103.05" customHeight="1" x14ac:dyDescent="0.3">
      <c r="A12" s="10" t="s">
        <v>6</v>
      </c>
      <c r="B12" s="166" t="s">
        <v>335</v>
      </c>
      <c r="C12" s="75" t="s">
        <v>356</v>
      </c>
      <c r="D12" s="82"/>
    </row>
    <row r="13" spans="1:7" ht="121.95" customHeight="1" x14ac:dyDescent="0.3">
      <c r="A13" s="9" t="s">
        <v>60</v>
      </c>
      <c r="B13" s="81" t="s">
        <v>388</v>
      </c>
      <c r="C13" s="75" t="s">
        <v>446</v>
      </c>
      <c r="E13" s="149"/>
      <c r="F13" s="150"/>
      <c r="G13" s="82"/>
    </row>
    <row r="14" spans="1:7" ht="49.95" customHeight="1" x14ac:dyDescent="0.3">
      <c r="A14" s="9" t="s">
        <v>240</v>
      </c>
      <c r="B14" s="48" t="s">
        <v>262</v>
      </c>
      <c r="C14" s="159" t="s">
        <v>354</v>
      </c>
    </row>
    <row r="15" spans="1:7" ht="144" x14ac:dyDescent="0.3">
      <c r="A15" s="9" t="s">
        <v>240</v>
      </c>
      <c r="B15" s="48" t="s">
        <v>343</v>
      </c>
      <c r="C15" s="159" t="s">
        <v>357</v>
      </c>
    </row>
  </sheetData>
  <sheetProtection algorithmName="SHA-512" hashValue="HRFewBVLXHI2seyoKzoUX5EkoPhwFrrlA5zT22kvCbXaqcq4PJVvBKcz8qW3CG5D85+yy0jK5gm8Q3JVE27kHg==" saltValue="Xw0QZpJDrBPQ0wy06OXasg==" spinCount="100000" sheet="1" objects="1" scenarios="1"/>
  <mergeCells count="9">
    <mergeCell ref="A2:C2"/>
    <mergeCell ref="E2:G2"/>
    <mergeCell ref="A1:G1"/>
    <mergeCell ref="E4:E5"/>
    <mergeCell ref="F4:F5"/>
    <mergeCell ref="G4:G5"/>
    <mergeCell ref="A4:A5"/>
    <mergeCell ref="B4:B5"/>
    <mergeCell ref="C4:C5"/>
  </mergeCells>
  <printOptions horizontalCentered="1" verticalCentered="1"/>
  <pageMargins left="0.7" right="0.7" top="0.75" bottom="0.75" header="0.3" footer="0.3"/>
  <pageSetup paperSize="9" scale="93" orientation="landscape" r:id="rId1"/>
  <headerFooter>
    <oddFooter>&amp;L_x000D_&amp;1#&amp;"Calibri"&amp;8&amp;K0000FF Internal</oddFooter>
  </headerFooter>
  <colBreaks count="1" manualBreakCount="1">
    <brk id="3" max="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48"/>
  <sheetViews>
    <sheetView showGridLines="0" zoomScale="70" zoomScaleNormal="70" zoomScaleSheetLayoutView="80" workbookViewId="0">
      <pane xSplit="1" ySplit="4" topLeftCell="B5" activePane="bottomRight" state="frozen"/>
      <selection pane="topRight" activeCell="B1" sqref="B1"/>
      <selection pane="bottomLeft" activeCell="A5" sqref="A5"/>
      <selection pane="bottomRight" activeCell="H14" sqref="H14"/>
    </sheetView>
  </sheetViews>
  <sheetFormatPr defaultColWidth="8.77734375" defaultRowHeight="14.4" x14ac:dyDescent="0.3"/>
  <cols>
    <col min="1" max="3" width="35" style="200" customWidth="1"/>
    <col min="4" max="4" width="37.6640625" style="200" hidden="1" customWidth="1"/>
    <col min="5" max="5" width="35" style="200" hidden="1" customWidth="1"/>
    <col min="6" max="6" width="35" style="200" customWidth="1"/>
    <col min="7" max="7" width="42.5546875" style="200" customWidth="1"/>
    <col min="8" max="8" width="35" style="200" customWidth="1"/>
    <col min="9" max="9" width="42.44140625" style="200" bestFit="1" customWidth="1"/>
    <col min="10" max="10" width="44.44140625" style="200" customWidth="1"/>
    <col min="11" max="11" width="39.5546875" style="200" customWidth="1"/>
    <col min="12" max="12" width="43.6640625" style="200" bestFit="1" customWidth="1"/>
    <col min="13" max="13" width="35" style="54" customWidth="1"/>
    <col min="14" max="14" width="42.44140625" style="54" bestFit="1" customWidth="1"/>
    <col min="15" max="16384" width="8.77734375" style="54"/>
  </cols>
  <sheetData>
    <row r="1" spans="1:14" ht="65.25" customHeight="1" x14ac:dyDescent="0.3">
      <c r="A1" s="368" t="s">
        <v>5</v>
      </c>
      <c r="B1" s="368"/>
      <c r="C1" s="368"/>
      <c r="D1" s="368"/>
      <c r="E1" s="368"/>
      <c r="F1" s="368"/>
      <c r="G1" s="368"/>
      <c r="H1" s="368"/>
      <c r="I1" s="368"/>
      <c r="J1" s="368"/>
      <c r="K1" s="204"/>
      <c r="L1" s="204"/>
      <c r="M1" s="123"/>
    </row>
    <row r="2" spans="1:14" ht="17.100000000000001" customHeight="1" x14ac:dyDescent="0.3">
      <c r="A2" s="208"/>
      <c r="B2" s="387" t="s">
        <v>200</v>
      </c>
      <c r="C2" s="387"/>
      <c r="D2" s="387"/>
      <c r="E2" s="387"/>
      <c r="F2" s="387"/>
      <c r="G2" s="387"/>
      <c r="H2" s="387"/>
      <c r="I2" s="387"/>
      <c r="J2" s="387"/>
      <c r="K2" s="387"/>
      <c r="L2" s="388"/>
      <c r="M2" s="383" t="s">
        <v>201</v>
      </c>
      <c r="N2" s="383"/>
    </row>
    <row r="3" spans="1:14" s="55" customFormat="1" x14ac:dyDescent="0.3">
      <c r="A3" s="289" t="s">
        <v>57</v>
      </c>
      <c r="B3" s="290" t="s">
        <v>147</v>
      </c>
      <c r="C3" s="290" t="s">
        <v>147</v>
      </c>
      <c r="D3" s="290" t="s">
        <v>240</v>
      </c>
      <c r="E3" s="290" t="s">
        <v>240</v>
      </c>
      <c r="F3" s="290" t="s">
        <v>60</v>
      </c>
      <c r="G3" s="290" t="s">
        <v>100</v>
      </c>
      <c r="H3" s="290" t="s">
        <v>100</v>
      </c>
      <c r="I3" s="290" t="s">
        <v>6</v>
      </c>
      <c r="J3" s="290" t="s">
        <v>6</v>
      </c>
      <c r="K3" s="290" t="s">
        <v>148</v>
      </c>
      <c r="L3" s="290" t="s">
        <v>148</v>
      </c>
      <c r="M3" s="128" t="s">
        <v>60</v>
      </c>
      <c r="N3" s="128" t="s">
        <v>6</v>
      </c>
    </row>
    <row r="4" spans="1:14" s="55" customFormat="1" x14ac:dyDescent="0.3">
      <c r="A4" s="291" t="s">
        <v>58</v>
      </c>
      <c r="B4" s="290" t="s">
        <v>267</v>
      </c>
      <c r="C4" s="290" t="s">
        <v>210</v>
      </c>
      <c r="D4" s="290" t="s">
        <v>263</v>
      </c>
      <c r="E4" s="290" t="s">
        <v>343</v>
      </c>
      <c r="F4" s="290" t="s">
        <v>388</v>
      </c>
      <c r="G4" s="290" t="s">
        <v>294</v>
      </c>
      <c r="H4" s="290" t="s">
        <v>101</v>
      </c>
      <c r="I4" s="290" t="s">
        <v>64</v>
      </c>
      <c r="J4" s="290" t="s">
        <v>335</v>
      </c>
      <c r="K4" s="290" t="s">
        <v>433</v>
      </c>
      <c r="L4" s="290" t="s">
        <v>211</v>
      </c>
      <c r="M4" s="128" t="s">
        <v>149</v>
      </c>
      <c r="N4" s="128" t="s">
        <v>376</v>
      </c>
    </row>
    <row r="5" spans="1:14" ht="19.05" customHeight="1" x14ac:dyDescent="0.3">
      <c r="A5" s="209" t="s">
        <v>56</v>
      </c>
      <c r="B5" s="126" t="s">
        <v>7</v>
      </c>
      <c r="C5" s="126" t="s">
        <v>7</v>
      </c>
      <c r="D5" s="126" t="s">
        <v>8</v>
      </c>
      <c r="E5" s="126" t="s">
        <v>8</v>
      </c>
      <c r="F5" s="125" t="s">
        <v>7</v>
      </c>
      <c r="G5" s="125" t="s">
        <v>7</v>
      </c>
      <c r="H5" s="125" t="s">
        <v>7</v>
      </c>
      <c r="I5" s="125" t="s">
        <v>8</v>
      </c>
      <c r="J5" s="125" t="s">
        <v>8</v>
      </c>
      <c r="K5" s="125" t="s">
        <v>8</v>
      </c>
      <c r="L5" s="125" t="s">
        <v>8</v>
      </c>
      <c r="M5" s="125" t="s">
        <v>7</v>
      </c>
      <c r="N5" s="125" t="s">
        <v>8</v>
      </c>
    </row>
    <row r="6" spans="1:14" x14ac:dyDescent="0.3">
      <c r="A6" s="210" t="s">
        <v>9</v>
      </c>
      <c r="B6" s="125" t="s">
        <v>44</v>
      </c>
      <c r="C6" s="125" t="s">
        <v>212</v>
      </c>
      <c r="D6" s="125" t="s">
        <v>44</v>
      </c>
      <c r="E6" s="125" t="s">
        <v>44</v>
      </c>
      <c r="F6" s="125" t="s">
        <v>53</v>
      </c>
      <c r="G6" s="125" t="s">
        <v>312</v>
      </c>
      <c r="H6" s="125" t="s">
        <v>44</v>
      </c>
      <c r="I6" s="126" t="s">
        <v>53</v>
      </c>
      <c r="J6" s="126" t="s">
        <v>53</v>
      </c>
      <c r="K6" s="125" t="s">
        <v>53</v>
      </c>
      <c r="L6" s="125" t="s">
        <v>53</v>
      </c>
      <c r="M6" s="125" t="s">
        <v>53</v>
      </c>
      <c r="N6" s="126" t="s">
        <v>53</v>
      </c>
    </row>
    <row r="7" spans="1:14" x14ac:dyDescent="0.3">
      <c r="A7" s="210" t="s">
        <v>10</v>
      </c>
      <c r="B7" s="125" t="s">
        <v>29</v>
      </c>
      <c r="C7" s="125" t="s">
        <v>29</v>
      </c>
      <c r="D7" s="125" t="s">
        <v>29</v>
      </c>
      <c r="E7" s="125" t="s">
        <v>29</v>
      </c>
      <c r="F7" s="125" t="s">
        <v>29</v>
      </c>
      <c r="G7" s="125" t="s">
        <v>29</v>
      </c>
      <c r="H7" s="125" t="s">
        <v>29</v>
      </c>
      <c r="I7" s="125" t="s">
        <v>29</v>
      </c>
      <c r="J7" s="125" t="s">
        <v>29</v>
      </c>
      <c r="K7" s="125" t="s">
        <v>29</v>
      </c>
      <c r="L7" s="125" t="s">
        <v>29</v>
      </c>
      <c r="M7" s="125" t="s">
        <v>29</v>
      </c>
      <c r="N7" s="125" t="s">
        <v>29</v>
      </c>
    </row>
    <row r="8" spans="1:14" x14ac:dyDescent="0.3">
      <c r="A8" s="209" t="s">
        <v>108</v>
      </c>
      <c r="B8" s="211" t="s">
        <v>54</v>
      </c>
      <c r="C8" s="211" t="s">
        <v>54</v>
      </c>
      <c r="D8" s="126" t="s">
        <v>55</v>
      </c>
      <c r="E8" s="126" t="s">
        <v>55</v>
      </c>
      <c r="F8" s="125" t="s">
        <v>55</v>
      </c>
      <c r="G8" s="125" t="s">
        <v>55</v>
      </c>
      <c r="H8" s="125" t="s">
        <v>55</v>
      </c>
      <c r="I8" s="125" t="s">
        <v>55</v>
      </c>
      <c r="J8" s="125" t="s">
        <v>55</v>
      </c>
      <c r="K8" s="125" t="s">
        <v>55</v>
      </c>
      <c r="L8" s="125" t="s">
        <v>55</v>
      </c>
      <c r="M8" s="125" t="s">
        <v>55</v>
      </c>
      <c r="N8" s="125" t="s">
        <v>55</v>
      </c>
    </row>
    <row r="9" spans="1:14" ht="73.95" customHeight="1" x14ac:dyDescent="0.3">
      <c r="A9" s="210" t="s">
        <v>121</v>
      </c>
      <c r="B9" s="125" t="s">
        <v>213</v>
      </c>
      <c r="C9" s="125" t="s">
        <v>213</v>
      </c>
      <c r="D9" s="126" t="s">
        <v>241</v>
      </c>
      <c r="E9" s="126" t="s">
        <v>348</v>
      </c>
      <c r="F9" s="212">
        <v>75000</v>
      </c>
      <c r="G9" s="213" t="s">
        <v>492</v>
      </c>
      <c r="H9" s="86">
        <v>100000</v>
      </c>
      <c r="I9" s="125" t="s">
        <v>68</v>
      </c>
      <c r="J9" s="125" t="s">
        <v>68</v>
      </c>
      <c r="K9" s="86">
        <v>100000</v>
      </c>
      <c r="L9" s="86">
        <v>100000</v>
      </c>
      <c r="M9" s="86" t="s">
        <v>152</v>
      </c>
      <c r="N9" s="125" t="s">
        <v>68</v>
      </c>
    </row>
    <row r="10" spans="1:14" s="151" customFormat="1" ht="37.950000000000003" customHeight="1" x14ac:dyDescent="0.3">
      <c r="A10" s="209" t="s">
        <v>255</v>
      </c>
      <c r="B10" s="126" t="s">
        <v>256</v>
      </c>
      <c r="C10" s="126" t="s">
        <v>256</v>
      </c>
      <c r="D10" s="126" t="s">
        <v>257</v>
      </c>
      <c r="E10" s="126" t="s">
        <v>257</v>
      </c>
      <c r="F10" s="214">
        <v>7200000</v>
      </c>
      <c r="G10" s="90" t="s">
        <v>258</v>
      </c>
      <c r="H10" s="90" t="s">
        <v>258</v>
      </c>
      <c r="I10" s="126" t="s">
        <v>259</v>
      </c>
      <c r="J10" s="126" t="s">
        <v>260</v>
      </c>
      <c r="K10" s="90">
        <v>10000000</v>
      </c>
      <c r="L10" s="90">
        <v>10000000</v>
      </c>
      <c r="M10" s="90" t="s">
        <v>261</v>
      </c>
      <c r="N10" s="126" t="s">
        <v>377</v>
      </c>
    </row>
    <row r="11" spans="1:14" ht="23.55" customHeight="1" x14ac:dyDescent="0.3">
      <c r="A11" s="209" t="s">
        <v>109</v>
      </c>
      <c r="B11" s="125" t="s">
        <v>129</v>
      </c>
      <c r="C11" s="125" t="s">
        <v>129</v>
      </c>
      <c r="D11" s="125" t="s">
        <v>242</v>
      </c>
      <c r="E11" s="125" t="s">
        <v>242</v>
      </c>
      <c r="F11" s="86" t="s">
        <v>151</v>
      </c>
      <c r="G11" s="86" t="s">
        <v>412</v>
      </c>
      <c r="H11" s="86" t="s">
        <v>139</v>
      </c>
      <c r="I11" s="125" t="s">
        <v>130</v>
      </c>
      <c r="J11" s="125" t="s">
        <v>141</v>
      </c>
      <c r="K11" s="86" t="s">
        <v>163</v>
      </c>
      <c r="L11" s="86" t="s">
        <v>163</v>
      </c>
      <c r="M11" s="86" t="s">
        <v>151</v>
      </c>
      <c r="N11" s="125" t="s">
        <v>130</v>
      </c>
    </row>
    <row r="12" spans="1:14" ht="70.5" customHeight="1" x14ac:dyDescent="0.3">
      <c r="A12" s="209" t="s">
        <v>98</v>
      </c>
      <c r="B12" s="126" t="s">
        <v>131</v>
      </c>
      <c r="C12" s="126" t="s">
        <v>214</v>
      </c>
      <c r="D12" s="126" t="s">
        <v>243</v>
      </c>
      <c r="E12" s="126" t="s">
        <v>243</v>
      </c>
      <c r="F12" s="87" t="s">
        <v>165</v>
      </c>
      <c r="G12" s="126" t="s">
        <v>140</v>
      </c>
      <c r="H12" s="126" t="s">
        <v>140</v>
      </c>
      <c r="I12" s="125" t="s">
        <v>132</v>
      </c>
      <c r="J12" s="125" t="s">
        <v>142</v>
      </c>
      <c r="K12" s="125" t="s">
        <v>133</v>
      </c>
      <c r="L12" s="125" t="s">
        <v>133</v>
      </c>
      <c r="M12" s="87" t="s">
        <v>150</v>
      </c>
      <c r="N12" s="125" t="s">
        <v>132</v>
      </c>
    </row>
    <row r="13" spans="1:14" ht="41.4" x14ac:dyDescent="0.3">
      <c r="A13" s="209" t="s">
        <v>11</v>
      </c>
      <c r="B13" s="127" t="s">
        <v>134</v>
      </c>
      <c r="C13" s="127" t="s">
        <v>134</v>
      </c>
      <c r="D13" s="127" t="s">
        <v>134</v>
      </c>
      <c r="E13" s="127" t="s">
        <v>134</v>
      </c>
      <c r="F13" s="125" t="s">
        <v>413</v>
      </c>
      <c r="G13" s="125" t="s">
        <v>134</v>
      </c>
      <c r="H13" s="125" t="s">
        <v>135</v>
      </c>
      <c r="I13" s="127" t="s">
        <v>134</v>
      </c>
      <c r="J13" s="127" t="s">
        <v>134</v>
      </c>
      <c r="K13" s="88" t="s">
        <v>134</v>
      </c>
      <c r="L13" s="88" t="s">
        <v>134</v>
      </c>
      <c r="M13" s="125" t="s">
        <v>135</v>
      </c>
      <c r="N13" s="127" t="s">
        <v>134</v>
      </c>
    </row>
    <row r="14" spans="1:14" ht="253.95" customHeight="1" x14ac:dyDescent="0.3">
      <c r="A14" s="209" t="s">
        <v>38</v>
      </c>
      <c r="B14" s="125" t="s">
        <v>115</v>
      </c>
      <c r="C14" s="125" t="s">
        <v>215</v>
      </c>
      <c r="D14" s="125" t="s">
        <v>244</v>
      </c>
      <c r="E14" s="125" t="s">
        <v>244</v>
      </c>
      <c r="F14" s="125" t="s">
        <v>414</v>
      </c>
      <c r="G14" s="125" t="s">
        <v>295</v>
      </c>
      <c r="H14" s="125" t="s">
        <v>136</v>
      </c>
      <c r="I14" s="125" t="s">
        <v>138</v>
      </c>
      <c r="J14" s="125" t="s">
        <v>415</v>
      </c>
      <c r="K14" s="126" t="s">
        <v>416</v>
      </c>
      <c r="L14" s="126" t="s">
        <v>417</v>
      </c>
      <c r="M14" s="125" t="s">
        <v>315</v>
      </c>
      <c r="N14" s="125" t="s">
        <v>138</v>
      </c>
    </row>
    <row r="15" spans="1:14" ht="28.95" customHeight="1" x14ac:dyDescent="0.3">
      <c r="A15" s="210" t="s">
        <v>45</v>
      </c>
      <c r="B15" s="125" t="s">
        <v>46</v>
      </c>
      <c r="C15" s="125" t="s">
        <v>143</v>
      </c>
      <c r="D15" s="125" t="s">
        <v>245</v>
      </c>
      <c r="E15" s="125" t="s">
        <v>349</v>
      </c>
      <c r="F15" s="125" t="s">
        <v>46</v>
      </c>
      <c r="G15" s="125" t="s">
        <v>418</v>
      </c>
      <c r="H15" s="125" t="s">
        <v>418</v>
      </c>
      <c r="I15" s="126" t="s">
        <v>144</v>
      </c>
      <c r="J15" s="126" t="s">
        <v>144</v>
      </c>
      <c r="K15" s="125" t="s">
        <v>418</v>
      </c>
      <c r="L15" s="125" t="s">
        <v>418</v>
      </c>
      <c r="M15" s="125" t="s">
        <v>143</v>
      </c>
      <c r="N15" s="126" t="s">
        <v>144</v>
      </c>
    </row>
    <row r="16" spans="1:14" ht="41.4" x14ac:dyDescent="0.3">
      <c r="A16" s="369" t="s">
        <v>47</v>
      </c>
      <c r="B16" s="377" t="s">
        <v>419</v>
      </c>
      <c r="C16" s="389" t="s">
        <v>216</v>
      </c>
      <c r="D16" s="352" t="s">
        <v>420</v>
      </c>
      <c r="E16" s="352" t="s">
        <v>350</v>
      </c>
      <c r="F16" s="375" t="s">
        <v>390</v>
      </c>
      <c r="G16" s="339" t="s">
        <v>296</v>
      </c>
      <c r="H16" s="376" t="s">
        <v>102</v>
      </c>
      <c r="I16" s="375" t="s">
        <v>137</v>
      </c>
      <c r="J16" s="215" t="s">
        <v>421</v>
      </c>
      <c r="K16" s="376" t="s">
        <v>161</v>
      </c>
      <c r="L16" s="216" t="s">
        <v>220</v>
      </c>
      <c r="M16" s="384" t="s">
        <v>209</v>
      </c>
      <c r="N16" s="375" t="s">
        <v>137</v>
      </c>
    </row>
    <row r="17" spans="1:14" ht="63" customHeight="1" x14ac:dyDescent="0.3">
      <c r="A17" s="369"/>
      <c r="B17" s="375"/>
      <c r="C17" s="390"/>
      <c r="D17" s="354"/>
      <c r="E17" s="354"/>
      <c r="F17" s="375"/>
      <c r="G17" s="339"/>
      <c r="H17" s="376"/>
      <c r="I17" s="375"/>
      <c r="J17" s="217"/>
      <c r="K17" s="376"/>
      <c r="L17" s="218"/>
      <c r="M17" s="385"/>
      <c r="N17" s="375"/>
    </row>
    <row r="18" spans="1:14" ht="74.25" customHeight="1" x14ac:dyDescent="0.3">
      <c r="A18" s="209" t="s">
        <v>110</v>
      </c>
      <c r="B18" s="126" t="s">
        <v>111</v>
      </c>
      <c r="C18" s="211" t="s">
        <v>316</v>
      </c>
      <c r="D18" s="126" t="s">
        <v>111</v>
      </c>
      <c r="E18" s="126" t="s">
        <v>111</v>
      </c>
      <c r="F18" s="125" t="s">
        <v>111</v>
      </c>
      <c r="G18" s="211" t="s">
        <v>297</v>
      </c>
      <c r="H18" s="125" t="s">
        <v>111</v>
      </c>
      <c r="I18" s="125" t="s">
        <v>111</v>
      </c>
      <c r="J18" s="211" t="s">
        <v>336</v>
      </c>
      <c r="K18" s="125" t="s">
        <v>111</v>
      </c>
      <c r="L18" s="125" t="s">
        <v>111</v>
      </c>
      <c r="M18" s="125" t="s">
        <v>111</v>
      </c>
      <c r="N18" s="125" t="s">
        <v>111</v>
      </c>
    </row>
    <row r="19" spans="1:14" ht="14.1" customHeight="1" x14ac:dyDescent="0.3">
      <c r="A19" s="210" t="s">
        <v>12</v>
      </c>
      <c r="B19" s="125" t="s">
        <v>13</v>
      </c>
      <c r="C19" s="125" t="s">
        <v>13</v>
      </c>
      <c r="D19" s="125" t="s">
        <v>13</v>
      </c>
      <c r="E19" s="125" t="s">
        <v>13</v>
      </c>
      <c r="F19" s="125" t="s">
        <v>13</v>
      </c>
      <c r="G19" s="125" t="s">
        <v>13</v>
      </c>
      <c r="H19" s="125" t="s">
        <v>13</v>
      </c>
      <c r="I19" s="125" t="s">
        <v>202</v>
      </c>
      <c r="J19" s="125" t="s">
        <v>13</v>
      </c>
      <c r="K19" s="125" t="s">
        <v>13</v>
      </c>
      <c r="L19" s="125" t="s">
        <v>13</v>
      </c>
      <c r="M19" s="125" t="s">
        <v>153</v>
      </c>
      <c r="N19" s="126" t="s">
        <v>153</v>
      </c>
    </row>
    <row r="20" spans="1:14" ht="27.6" x14ac:dyDescent="0.3">
      <c r="A20" s="210" t="s">
        <v>65</v>
      </c>
      <c r="B20" s="205" t="s">
        <v>155</v>
      </c>
      <c r="C20" s="205" t="s">
        <v>155</v>
      </c>
      <c r="D20" s="205" t="s">
        <v>246</v>
      </c>
      <c r="E20" s="205" t="s">
        <v>246</v>
      </c>
      <c r="F20" s="205" t="s">
        <v>155</v>
      </c>
      <c r="G20" s="219" t="s">
        <v>156</v>
      </c>
      <c r="H20" s="219" t="s">
        <v>156</v>
      </c>
      <c r="I20" s="205" t="s">
        <v>203</v>
      </c>
      <c r="J20" s="205" t="s">
        <v>155</v>
      </c>
      <c r="K20" s="219" t="s">
        <v>155</v>
      </c>
      <c r="L20" s="219" t="s">
        <v>155</v>
      </c>
      <c r="M20" s="89" t="s">
        <v>154</v>
      </c>
      <c r="N20" s="89" t="s">
        <v>378</v>
      </c>
    </row>
    <row r="21" spans="1:14" x14ac:dyDescent="0.3">
      <c r="A21" s="210" t="s">
        <v>14</v>
      </c>
      <c r="B21" s="125" t="s">
        <v>48</v>
      </c>
      <c r="C21" s="125" t="s">
        <v>48</v>
      </c>
      <c r="D21" s="125" t="s">
        <v>48</v>
      </c>
      <c r="E21" s="125" t="s">
        <v>48</v>
      </c>
      <c r="F21" s="220" t="s">
        <v>48</v>
      </c>
      <c r="G21" s="220" t="s">
        <v>48</v>
      </c>
      <c r="H21" s="220" t="s">
        <v>48</v>
      </c>
      <c r="I21" s="125" t="s">
        <v>48</v>
      </c>
      <c r="J21" s="125" t="s">
        <v>48</v>
      </c>
      <c r="K21" s="125" t="s">
        <v>48</v>
      </c>
      <c r="L21" s="125" t="s">
        <v>48</v>
      </c>
      <c r="M21" s="125" t="s">
        <v>48</v>
      </c>
      <c r="N21" s="125" t="s">
        <v>48</v>
      </c>
    </row>
    <row r="22" spans="1:14" ht="51" customHeight="1" x14ac:dyDescent="0.3">
      <c r="A22" s="370" t="s">
        <v>278</v>
      </c>
      <c r="B22" s="339" t="s">
        <v>277</v>
      </c>
      <c r="C22" s="359" t="s">
        <v>422</v>
      </c>
      <c r="D22" s="359" t="s">
        <v>247</v>
      </c>
      <c r="E22" s="359" t="s">
        <v>351</v>
      </c>
      <c r="F22" s="345" t="s">
        <v>391</v>
      </c>
      <c r="G22" s="342" t="s">
        <v>298</v>
      </c>
      <c r="H22" s="345" t="s">
        <v>279</v>
      </c>
      <c r="I22" s="373" t="s">
        <v>423</v>
      </c>
      <c r="J22" s="365" t="s">
        <v>337</v>
      </c>
      <c r="K22" s="391" t="s">
        <v>280</v>
      </c>
      <c r="L22" s="348" t="s">
        <v>281</v>
      </c>
      <c r="M22" s="342" t="s">
        <v>282</v>
      </c>
      <c r="N22" s="373" t="s">
        <v>379</v>
      </c>
    </row>
    <row r="23" spans="1:14" x14ac:dyDescent="0.3">
      <c r="A23" s="371"/>
      <c r="B23" s="339"/>
      <c r="C23" s="360"/>
      <c r="D23" s="360"/>
      <c r="E23" s="360"/>
      <c r="F23" s="346"/>
      <c r="G23" s="343"/>
      <c r="H23" s="346"/>
      <c r="I23" s="373"/>
      <c r="J23" s="366"/>
      <c r="K23" s="391"/>
      <c r="L23" s="349"/>
      <c r="M23" s="343"/>
      <c r="N23" s="373"/>
    </row>
    <row r="24" spans="1:14" x14ac:dyDescent="0.3">
      <c r="A24" s="371"/>
      <c r="B24" s="339"/>
      <c r="C24" s="360"/>
      <c r="D24" s="360"/>
      <c r="E24" s="360"/>
      <c r="F24" s="346"/>
      <c r="G24" s="343"/>
      <c r="H24" s="346"/>
      <c r="I24" s="373"/>
      <c r="J24" s="366"/>
      <c r="K24" s="391"/>
      <c r="L24" s="349"/>
      <c r="M24" s="343"/>
      <c r="N24" s="373"/>
    </row>
    <row r="25" spans="1:14" x14ac:dyDescent="0.3">
      <c r="A25" s="371"/>
      <c r="B25" s="339"/>
      <c r="C25" s="360"/>
      <c r="D25" s="360"/>
      <c r="E25" s="360"/>
      <c r="F25" s="346"/>
      <c r="G25" s="343"/>
      <c r="H25" s="346"/>
      <c r="I25" s="373"/>
      <c r="J25" s="366"/>
      <c r="K25" s="391"/>
      <c r="L25" s="349"/>
      <c r="M25" s="343"/>
      <c r="N25" s="373"/>
    </row>
    <row r="26" spans="1:14" ht="22.8" customHeight="1" x14ac:dyDescent="0.3">
      <c r="A26" s="372"/>
      <c r="B26" s="339"/>
      <c r="C26" s="361"/>
      <c r="D26" s="361"/>
      <c r="E26" s="361"/>
      <c r="F26" s="347"/>
      <c r="G26" s="344"/>
      <c r="H26" s="347"/>
      <c r="I26" s="373"/>
      <c r="J26" s="367"/>
      <c r="K26" s="391"/>
      <c r="L26" s="350"/>
      <c r="M26" s="344"/>
      <c r="N26" s="373"/>
    </row>
    <row r="27" spans="1:14" ht="25.5" customHeight="1" x14ac:dyDescent="0.3">
      <c r="A27" s="369" t="s">
        <v>66</v>
      </c>
      <c r="B27" s="376" t="s">
        <v>287</v>
      </c>
      <c r="C27" s="380" t="s">
        <v>217</v>
      </c>
      <c r="D27" s="221" t="s">
        <v>248</v>
      </c>
      <c r="E27" s="221" t="s">
        <v>355</v>
      </c>
      <c r="F27" s="378" t="s">
        <v>392</v>
      </c>
      <c r="G27" s="340" t="s">
        <v>299</v>
      </c>
      <c r="H27" s="358" t="s">
        <v>286</v>
      </c>
      <c r="I27" s="374" t="s">
        <v>424</v>
      </c>
      <c r="J27" s="380" t="s">
        <v>338</v>
      </c>
      <c r="K27" s="386" t="s">
        <v>285</v>
      </c>
      <c r="L27" s="222" t="s">
        <v>284</v>
      </c>
      <c r="M27" s="386" t="s">
        <v>283</v>
      </c>
      <c r="N27" s="376" t="s">
        <v>380</v>
      </c>
    </row>
    <row r="28" spans="1:14" ht="30.75" customHeight="1" x14ac:dyDescent="0.3">
      <c r="A28" s="369"/>
      <c r="B28" s="376"/>
      <c r="C28" s="381"/>
      <c r="D28" s="223"/>
      <c r="E28" s="223"/>
      <c r="F28" s="379"/>
      <c r="G28" s="341"/>
      <c r="H28" s="358"/>
      <c r="I28" s="374"/>
      <c r="J28" s="381"/>
      <c r="K28" s="375"/>
      <c r="L28" s="224"/>
      <c r="M28" s="386"/>
      <c r="N28" s="376"/>
    </row>
    <row r="29" spans="1:14" ht="66" customHeight="1" x14ac:dyDescent="0.3">
      <c r="A29" s="369"/>
      <c r="B29" s="376"/>
      <c r="C29" s="382"/>
      <c r="D29" s="225"/>
      <c r="E29" s="225"/>
      <c r="F29" s="378"/>
      <c r="G29" s="341"/>
      <c r="H29" s="358"/>
      <c r="I29" s="374"/>
      <c r="J29" s="382"/>
      <c r="K29" s="375"/>
      <c r="L29" s="226"/>
      <c r="M29" s="386"/>
      <c r="N29" s="376"/>
    </row>
    <row r="30" spans="1:14" ht="178.95" customHeight="1" x14ac:dyDescent="0.3">
      <c r="A30" s="210" t="s">
        <v>145</v>
      </c>
      <c r="B30" s="126" t="s">
        <v>425</v>
      </c>
      <c r="C30" s="126" t="s">
        <v>27</v>
      </c>
      <c r="D30" s="126" t="s">
        <v>27</v>
      </c>
      <c r="E30" s="126" t="s">
        <v>27</v>
      </c>
      <c r="F30" s="125" t="s">
        <v>393</v>
      </c>
      <c r="G30" s="219" t="s">
        <v>27</v>
      </c>
      <c r="H30" s="219" t="s">
        <v>27</v>
      </c>
      <c r="I30" s="126" t="s">
        <v>27</v>
      </c>
      <c r="J30" s="126" t="s">
        <v>27</v>
      </c>
      <c r="K30" s="125" t="s">
        <v>27</v>
      </c>
      <c r="L30" s="125" t="s">
        <v>27</v>
      </c>
      <c r="M30" s="126" t="s">
        <v>27</v>
      </c>
      <c r="N30" s="126" t="s">
        <v>27</v>
      </c>
    </row>
    <row r="31" spans="1:14" ht="58.05" customHeight="1" x14ac:dyDescent="0.3">
      <c r="A31" s="210" t="s">
        <v>49</v>
      </c>
      <c r="B31" s="125" t="s">
        <v>112</v>
      </c>
      <c r="C31" s="125" t="s">
        <v>112</v>
      </c>
      <c r="D31" s="125" t="s">
        <v>249</v>
      </c>
      <c r="E31" s="125" t="s">
        <v>352</v>
      </c>
      <c r="F31" s="125" t="s">
        <v>394</v>
      </c>
      <c r="G31" s="227" t="s">
        <v>493</v>
      </c>
      <c r="H31" s="125" t="s">
        <v>67</v>
      </c>
      <c r="I31" s="90">
        <v>300</v>
      </c>
      <c r="J31" s="90">
        <v>250</v>
      </c>
      <c r="K31" s="125" t="s">
        <v>114</v>
      </c>
      <c r="L31" s="125" t="s">
        <v>114</v>
      </c>
      <c r="M31" s="125" t="s">
        <v>157</v>
      </c>
      <c r="N31" s="90" t="s">
        <v>204</v>
      </c>
    </row>
    <row r="32" spans="1:14" ht="35.549999999999997" customHeight="1" x14ac:dyDescent="0.3">
      <c r="A32" s="209" t="s">
        <v>50</v>
      </c>
      <c r="B32" s="126" t="s">
        <v>113</v>
      </c>
      <c r="C32" s="126" t="s">
        <v>218</v>
      </c>
      <c r="D32" s="126" t="s">
        <v>250</v>
      </c>
      <c r="E32" s="126" t="s">
        <v>250</v>
      </c>
      <c r="F32" s="126" t="s">
        <v>395</v>
      </c>
      <c r="G32" s="126" t="s">
        <v>27</v>
      </c>
      <c r="H32" s="126" t="s">
        <v>27</v>
      </c>
      <c r="I32" s="90">
        <v>500000</v>
      </c>
      <c r="J32" s="90">
        <v>250000</v>
      </c>
      <c r="K32" s="126" t="s">
        <v>162</v>
      </c>
      <c r="L32" s="126" t="s">
        <v>162</v>
      </c>
      <c r="M32" s="126" t="s">
        <v>158</v>
      </c>
      <c r="N32" s="90" t="s">
        <v>205</v>
      </c>
    </row>
    <row r="33" spans="1:14" ht="114" customHeight="1" x14ac:dyDescent="0.3">
      <c r="A33" s="209" t="s">
        <v>265</v>
      </c>
      <c r="B33" s="126" t="s">
        <v>465</v>
      </c>
      <c r="C33" s="153" t="s">
        <v>466</v>
      </c>
      <c r="D33" s="126" t="s">
        <v>266</v>
      </c>
      <c r="E33" s="126" t="s">
        <v>266</v>
      </c>
      <c r="F33" s="126" t="s">
        <v>467</v>
      </c>
      <c r="G33" s="153" t="s">
        <v>466</v>
      </c>
      <c r="H33" s="153" t="s">
        <v>466</v>
      </c>
      <c r="I33" s="153" t="s">
        <v>466</v>
      </c>
      <c r="J33" s="153" t="s">
        <v>466</v>
      </c>
      <c r="K33" s="153" t="s">
        <v>466</v>
      </c>
      <c r="L33" s="153" t="s">
        <v>466</v>
      </c>
      <c r="M33" s="153" t="s">
        <v>466</v>
      </c>
      <c r="N33" s="153" t="s">
        <v>466</v>
      </c>
    </row>
    <row r="34" spans="1:14" ht="23.25" customHeight="1" x14ac:dyDescent="0.3">
      <c r="A34" s="209" t="s">
        <v>62</v>
      </c>
      <c r="B34" s="84" t="s">
        <v>264</v>
      </c>
      <c r="C34" s="84" t="s">
        <v>264</v>
      </c>
      <c r="D34" s="126" t="s">
        <v>27</v>
      </c>
      <c r="E34" s="126" t="s">
        <v>27</v>
      </c>
      <c r="F34" s="84" t="s">
        <v>73</v>
      </c>
      <c r="G34" s="228" t="s">
        <v>63</v>
      </c>
      <c r="H34" s="228" t="s">
        <v>63</v>
      </c>
      <c r="I34" s="137" t="s">
        <v>74</v>
      </c>
      <c r="J34" s="137" t="s">
        <v>74</v>
      </c>
      <c r="K34" s="137" t="s">
        <v>74</v>
      </c>
      <c r="L34" s="137" t="s">
        <v>74</v>
      </c>
      <c r="M34" s="84" t="s">
        <v>73</v>
      </c>
      <c r="N34" s="137" t="s">
        <v>74</v>
      </c>
    </row>
    <row r="35" spans="1:14" s="74" customFormat="1" ht="153" customHeight="1" x14ac:dyDescent="0.3">
      <c r="A35" s="229" t="s">
        <v>99</v>
      </c>
      <c r="B35" s="88" t="s">
        <v>27</v>
      </c>
      <c r="C35" s="88" t="s">
        <v>459</v>
      </c>
      <c r="D35" s="88" t="s">
        <v>27</v>
      </c>
      <c r="E35" s="88" t="s">
        <v>27</v>
      </c>
      <c r="F35" s="88" t="s">
        <v>460</v>
      </c>
      <c r="G35" s="88" t="s">
        <v>464</v>
      </c>
      <c r="H35" s="88" t="s">
        <v>27</v>
      </c>
      <c r="I35" s="88" t="s">
        <v>461</v>
      </c>
      <c r="J35" s="88" t="s">
        <v>461</v>
      </c>
      <c r="K35" s="88" t="s">
        <v>461</v>
      </c>
      <c r="L35" s="88" t="s">
        <v>461</v>
      </c>
      <c r="M35" s="88" t="s">
        <v>462</v>
      </c>
      <c r="N35" s="90" t="s">
        <v>463</v>
      </c>
    </row>
    <row r="36" spans="1:14" s="74" customFormat="1" ht="48" customHeight="1" x14ac:dyDescent="0.3">
      <c r="A36" s="229" t="s">
        <v>116</v>
      </c>
      <c r="B36" s="84" t="s">
        <v>288</v>
      </c>
      <c r="C36" s="88" t="s">
        <v>117</v>
      </c>
      <c r="D36" s="84" t="s">
        <v>251</v>
      </c>
      <c r="E36" s="84" t="s">
        <v>251</v>
      </c>
      <c r="F36" s="84" t="s">
        <v>396</v>
      </c>
      <c r="G36" s="88" t="s">
        <v>117</v>
      </c>
      <c r="H36" s="88" t="s">
        <v>117</v>
      </c>
      <c r="I36" s="90" t="s">
        <v>117</v>
      </c>
      <c r="J36" s="88" t="s">
        <v>117</v>
      </c>
      <c r="K36" s="88" t="s">
        <v>117</v>
      </c>
      <c r="L36" s="88" t="s">
        <v>221</v>
      </c>
      <c r="M36" s="88" t="s">
        <v>159</v>
      </c>
      <c r="N36" s="90" t="s">
        <v>117</v>
      </c>
    </row>
    <row r="37" spans="1:14" s="74" customFormat="1" ht="27.45" customHeight="1" x14ac:dyDescent="0.3">
      <c r="A37" s="229" t="s">
        <v>449</v>
      </c>
      <c r="B37" s="88" t="s">
        <v>55</v>
      </c>
      <c r="C37" s="88" t="s">
        <v>55</v>
      </c>
      <c r="D37" s="84"/>
      <c r="E37" s="84"/>
      <c r="F37" s="88" t="s">
        <v>456</v>
      </c>
      <c r="G37" s="88" t="s">
        <v>55</v>
      </c>
      <c r="H37" s="88" t="s">
        <v>55</v>
      </c>
      <c r="I37" s="88" t="s">
        <v>55</v>
      </c>
      <c r="J37" s="88" t="s">
        <v>55</v>
      </c>
      <c r="K37" s="84" t="s">
        <v>457</v>
      </c>
      <c r="L37" s="84" t="s">
        <v>457</v>
      </c>
      <c r="M37" s="84" t="s">
        <v>458</v>
      </c>
      <c r="N37" s="88" t="s">
        <v>55</v>
      </c>
    </row>
    <row r="38" spans="1:14" ht="69" customHeight="1" x14ac:dyDescent="0.3">
      <c r="A38" s="230" t="s">
        <v>451</v>
      </c>
      <c r="B38" s="88" t="s">
        <v>55</v>
      </c>
      <c r="C38" s="84" t="s">
        <v>455</v>
      </c>
      <c r="D38" s="88" t="s">
        <v>55</v>
      </c>
      <c r="E38" s="88" t="s">
        <v>55</v>
      </c>
      <c r="F38" s="88" t="s">
        <v>55</v>
      </c>
      <c r="G38" s="88" t="s">
        <v>453</v>
      </c>
      <c r="H38" s="88" t="s">
        <v>55</v>
      </c>
      <c r="I38" s="90" t="s">
        <v>454</v>
      </c>
      <c r="J38" s="90" t="s">
        <v>454</v>
      </c>
      <c r="K38" s="84" t="s">
        <v>450</v>
      </c>
      <c r="L38" s="88" t="s">
        <v>55</v>
      </c>
      <c r="M38" s="88" t="s">
        <v>55</v>
      </c>
      <c r="N38" s="84" t="s">
        <v>454</v>
      </c>
    </row>
    <row r="39" spans="1:14" ht="151.05000000000001" customHeight="1" x14ac:dyDescent="0.3">
      <c r="A39" s="230" t="s">
        <v>118</v>
      </c>
      <c r="B39" s="84" t="s">
        <v>146</v>
      </c>
      <c r="C39" s="84" t="s">
        <v>219</v>
      </c>
      <c r="D39" s="88" t="s">
        <v>252</v>
      </c>
      <c r="E39" s="88" t="s">
        <v>252</v>
      </c>
      <c r="F39" s="231" t="s">
        <v>119</v>
      </c>
      <c r="G39" s="232" t="s">
        <v>494</v>
      </c>
      <c r="H39" s="88" t="s">
        <v>120</v>
      </c>
      <c r="I39" s="90" t="s">
        <v>435</v>
      </c>
      <c r="J39" s="90" t="s">
        <v>119</v>
      </c>
      <c r="K39" s="88" t="s">
        <v>434</v>
      </c>
      <c r="L39" s="84" t="s">
        <v>164</v>
      </c>
      <c r="M39" s="84" t="s">
        <v>160</v>
      </c>
      <c r="N39" s="90" t="s">
        <v>166</v>
      </c>
    </row>
    <row r="40" spans="1:14" s="141" customFormat="1" ht="31.05" customHeight="1" x14ac:dyDescent="0.3">
      <c r="A40" s="233" t="s">
        <v>233</v>
      </c>
      <c r="B40" s="140" t="s">
        <v>27</v>
      </c>
      <c r="C40" s="140" t="s">
        <v>27</v>
      </c>
      <c r="D40" s="140" t="s">
        <v>27</v>
      </c>
      <c r="E40" s="140" t="s">
        <v>27</v>
      </c>
      <c r="F40" s="140" t="s">
        <v>27</v>
      </c>
      <c r="G40" s="140" t="s">
        <v>27</v>
      </c>
      <c r="H40" s="140" t="s">
        <v>27</v>
      </c>
      <c r="I40" s="140" t="s">
        <v>27</v>
      </c>
      <c r="J40" s="90" t="s">
        <v>27</v>
      </c>
      <c r="K40" s="234" t="s">
        <v>27</v>
      </c>
      <c r="L40" s="140" t="s">
        <v>27</v>
      </c>
      <c r="M40" s="140" t="s">
        <v>27</v>
      </c>
      <c r="N40" s="140" t="s">
        <v>27</v>
      </c>
    </row>
    <row r="41" spans="1:14" ht="50.55" customHeight="1" x14ac:dyDescent="0.3">
      <c r="A41" s="230" t="s">
        <v>317</v>
      </c>
      <c r="B41" s="90" t="s">
        <v>426</v>
      </c>
      <c r="C41" s="90" t="s">
        <v>426</v>
      </c>
      <c r="D41" s="90" t="s">
        <v>427</v>
      </c>
      <c r="E41" s="90" t="s">
        <v>427</v>
      </c>
      <c r="F41" s="90" t="s">
        <v>428</v>
      </c>
      <c r="G41" s="90" t="s">
        <v>429</v>
      </c>
      <c r="H41" s="90" t="s">
        <v>429</v>
      </c>
      <c r="I41" s="90" t="s">
        <v>430</v>
      </c>
      <c r="J41" s="90" t="s">
        <v>430</v>
      </c>
      <c r="K41" s="90" t="s">
        <v>431</v>
      </c>
      <c r="L41" s="90" t="s">
        <v>431</v>
      </c>
      <c r="M41" s="199" t="s">
        <v>386</v>
      </c>
      <c r="N41" s="85" t="s">
        <v>381</v>
      </c>
    </row>
    <row r="42" spans="1:14" ht="48" customHeight="1" x14ac:dyDescent="0.3">
      <c r="A42" s="230" t="s">
        <v>362</v>
      </c>
      <c r="B42" s="90" t="s">
        <v>382</v>
      </c>
      <c r="C42" s="90" t="s">
        <v>382</v>
      </c>
      <c r="D42" s="90" t="s">
        <v>432</v>
      </c>
      <c r="E42" s="90" t="s">
        <v>432</v>
      </c>
      <c r="F42" s="90" t="s">
        <v>397</v>
      </c>
      <c r="G42" s="90" t="s">
        <v>383</v>
      </c>
      <c r="H42" s="90" t="s">
        <v>383</v>
      </c>
      <c r="I42" s="90" t="s">
        <v>313</v>
      </c>
      <c r="J42" s="90" t="s">
        <v>313</v>
      </c>
      <c r="K42" s="90" t="s">
        <v>384</v>
      </c>
      <c r="L42" s="90" t="s">
        <v>384</v>
      </c>
      <c r="M42" s="90" t="s">
        <v>387</v>
      </c>
      <c r="N42" s="90" t="s">
        <v>313</v>
      </c>
    </row>
    <row r="43" spans="1:14" ht="15" customHeight="1" x14ac:dyDescent="0.3">
      <c r="A43" s="351" t="s">
        <v>51</v>
      </c>
      <c r="B43" s="337" t="s">
        <v>318</v>
      </c>
      <c r="C43" s="355" t="s">
        <v>319</v>
      </c>
      <c r="D43" s="355" t="s">
        <v>353</v>
      </c>
      <c r="E43" s="362" t="s">
        <v>358</v>
      </c>
      <c r="F43" s="337" t="s">
        <v>398</v>
      </c>
      <c r="G43" s="337" t="s">
        <v>300</v>
      </c>
      <c r="H43" s="337" t="s">
        <v>320</v>
      </c>
      <c r="I43" s="337" t="s">
        <v>321</v>
      </c>
      <c r="J43" s="338" t="s">
        <v>359</v>
      </c>
      <c r="K43" s="337" t="s">
        <v>452</v>
      </c>
      <c r="L43" s="352" t="s">
        <v>322</v>
      </c>
      <c r="M43" s="337" t="s">
        <v>323</v>
      </c>
      <c r="N43" s="337" t="s">
        <v>324</v>
      </c>
    </row>
    <row r="44" spans="1:14" x14ac:dyDescent="0.3">
      <c r="A44" s="351"/>
      <c r="B44" s="337"/>
      <c r="C44" s="356"/>
      <c r="D44" s="356"/>
      <c r="E44" s="363"/>
      <c r="F44" s="337"/>
      <c r="G44" s="337"/>
      <c r="H44" s="337"/>
      <c r="I44" s="337"/>
      <c r="J44" s="338"/>
      <c r="K44" s="337"/>
      <c r="L44" s="353"/>
      <c r="M44" s="337"/>
      <c r="N44" s="337"/>
    </row>
    <row r="45" spans="1:14" x14ac:dyDescent="0.3">
      <c r="A45" s="351"/>
      <c r="B45" s="337"/>
      <c r="C45" s="356"/>
      <c r="D45" s="356"/>
      <c r="E45" s="363"/>
      <c r="F45" s="337"/>
      <c r="G45" s="337"/>
      <c r="H45" s="337"/>
      <c r="I45" s="337"/>
      <c r="J45" s="338"/>
      <c r="K45" s="337"/>
      <c r="L45" s="353"/>
      <c r="M45" s="337"/>
      <c r="N45" s="337"/>
    </row>
    <row r="46" spans="1:14" ht="29.1" customHeight="1" x14ac:dyDescent="0.3">
      <c r="A46" s="351"/>
      <c r="B46" s="337"/>
      <c r="C46" s="356"/>
      <c r="D46" s="356"/>
      <c r="E46" s="363"/>
      <c r="F46" s="337"/>
      <c r="G46" s="337"/>
      <c r="H46" s="337"/>
      <c r="I46" s="337"/>
      <c r="J46" s="338"/>
      <c r="K46" s="337"/>
      <c r="L46" s="353"/>
      <c r="M46" s="337"/>
      <c r="N46" s="337"/>
    </row>
    <row r="47" spans="1:14" x14ac:dyDescent="0.3">
      <c r="A47" s="351"/>
      <c r="B47" s="337"/>
      <c r="C47" s="356"/>
      <c r="D47" s="356"/>
      <c r="E47" s="363"/>
      <c r="F47" s="337"/>
      <c r="G47" s="337"/>
      <c r="H47" s="337"/>
      <c r="I47" s="337"/>
      <c r="J47" s="338"/>
      <c r="K47" s="337"/>
      <c r="L47" s="353"/>
      <c r="M47" s="337"/>
      <c r="N47" s="337"/>
    </row>
    <row r="48" spans="1:14" ht="255" customHeight="1" x14ac:dyDescent="0.3">
      <c r="A48" s="351"/>
      <c r="B48" s="337"/>
      <c r="C48" s="357"/>
      <c r="D48" s="357"/>
      <c r="E48" s="364"/>
      <c r="F48" s="337"/>
      <c r="G48" s="337"/>
      <c r="H48" s="337"/>
      <c r="I48" s="337"/>
      <c r="J48" s="338"/>
      <c r="K48" s="337"/>
      <c r="L48" s="354"/>
      <c r="M48" s="337"/>
      <c r="N48" s="337"/>
    </row>
  </sheetData>
  <sheetProtection algorithmName="SHA-512" hashValue="jdZPdDfXCkKR7HZs9MuqXxnUWEVn9LoIiAzmlQg/aOTFfuL9Hh69tIfJIN0MVzj2fi4e8RAyi59sX+KMJPfGgg==" saltValue="qVqY1XzHAdmPnvIUbvF2HQ==" spinCount="100000" sheet="1" objects="1" scenarios="1"/>
  <mergeCells count="54">
    <mergeCell ref="K43:K48"/>
    <mergeCell ref="M2:N2"/>
    <mergeCell ref="M16:M17"/>
    <mergeCell ref="M27:M29"/>
    <mergeCell ref="B2:L2"/>
    <mergeCell ref="C16:C17"/>
    <mergeCell ref="C22:C26"/>
    <mergeCell ref="C27:C29"/>
    <mergeCell ref="N16:N17"/>
    <mergeCell ref="N22:N26"/>
    <mergeCell ref="N27:N29"/>
    <mergeCell ref="D22:D26"/>
    <mergeCell ref="D16:D17"/>
    <mergeCell ref="K16:K17"/>
    <mergeCell ref="K22:K26"/>
    <mergeCell ref="K27:K29"/>
    <mergeCell ref="A1:J1"/>
    <mergeCell ref="A16:A17"/>
    <mergeCell ref="A27:A29"/>
    <mergeCell ref="A22:A26"/>
    <mergeCell ref="I22:I26"/>
    <mergeCell ref="I27:I29"/>
    <mergeCell ref="I16:I17"/>
    <mergeCell ref="H16:H17"/>
    <mergeCell ref="B16:B17"/>
    <mergeCell ref="B22:B26"/>
    <mergeCell ref="B27:B29"/>
    <mergeCell ref="F16:F17"/>
    <mergeCell ref="F22:F26"/>
    <mergeCell ref="F27:F29"/>
    <mergeCell ref="J27:J29"/>
    <mergeCell ref="E16:E17"/>
    <mergeCell ref="N43:N48"/>
    <mergeCell ref="L22:L26"/>
    <mergeCell ref="A43:A48"/>
    <mergeCell ref="M43:M48"/>
    <mergeCell ref="L43:L48"/>
    <mergeCell ref="H43:H48"/>
    <mergeCell ref="I43:I48"/>
    <mergeCell ref="C43:C48"/>
    <mergeCell ref="D43:D48"/>
    <mergeCell ref="B43:B48"/>
    <mergeCell ref="G43:G48"/>
    <mergeCell ref="H27:H29"/>
    <mergeCell ref="E22:E26"/>
    <mergeCell ref="E43:E48"/>
    <mergeCell ref="M22:M26"/>
    <mergeCell ref="J22:J26"/>
    <mergeCell ref="F43:F48"/>
    <mergeCell ref="J43:J48"/>
    <mergeCell ref="G16:G17"/>
    <mergeCell ref="G27:G29"/>
    <mergeCell ref="G22:G26"/>
    <mergeCell ref="H22:H26"/>
  </mergeCells>
  <printOptions horizontalCentered="1" verticalCentered="1"/>
  <pageMargins left="0" right="0" top="0" bottom="0" header="0" footer="0"/>
  <pageSetup paperSize="9" scale="60" orientation="landscape" r:id="rId1"/>
  <headerFooter>
    <oddFooter>&amp;L_x000D_&amp;1#&amp;"Calibri"&amp;8&amp;K0000FF 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4DAC-97EE-40DB-8CA6-FBFEBB18E6DC}">
  <sheetPr codeName="Sheet5">
    <tabColor rgb="FFFFC000"/>
    <pageSetUpPr fitToPage="1"/>
  </sheetPr>
  <dimension ref="A1:L70"/>
  <sheetViews>
    <sheetView showGridLines="0" zoomScale="55" zoomScaleNormal="55" workbookViewId="0">
      <pane xSplit="1" ySplit="7" topLeftCell="B14" activePane="bottomRight" state="frozen"/>
      <selection pane="topRight" activeCell="B1" sqref="B1"/>
      <selection pane="bottomLeft" activeCell="A8" sqref="A8"/>
      <selection pane="bottomRight" activeCell="D16" sqref="D16"/>
    </sheetView>
  </sheetViews>
  <sheetFormatPr defaultRowHeight="14.4" x14ac:dyDescent="0.3"/>
  <cols>
    <col min="1" max="1" width="45.21875" customWidth="1"/>
    <col min="2" max="2" width="33.21875" customWidth="1"/>
    <col min="3" max="3" width="35.21875" customWidth="1"/>
    <col min="4" max="4" width="32.77734375" customWidth="1"/>
    <col min="5" max="5" width="33.5546875" customWidth="1"/>
    <col min="6" max="6" width="30.5546875" customWidth="1"/>
    <col min="7" max="7" width="32.21875" bestFit="1" customWidth="1"/>
    <col min="8" max="8" width="36" bestFit="1" customWidth="1"/>
    <col min="9" max="9" width="47.21875" customWidth="1"/>
    <col min="10" max="10" width="30.5546875" bestFit="1" customWidth="1"/>
    <col min="11" max="11" width="31" bestFit="1" customWidth="1"/>
  </cols>
  <sheetData>
    <row r="1" spans="1:12" ht="15.75" customHeight="1" x14ac:dyDescent="0.3">
      <c r="A1" s="396" t="s">
        <v>15</v>
      </c>
      <c r="B1" s="396"/>
      <c r="C1" s="396"/>
      <c r="D1" s="396"/>
      <c r="E1" s="396"/>
      <c r="F1" s="396"/>
      <c r="G1" s="396"/>
      <c r="H1" s="396"/>
      <c r="I1" s="396"/>
      <c r="J1" s="396"/>
      <c r="K1" s="396"/>
      <c r="L1" s="396"/>
    </row>
    <row r="2" spans="1:12" x14ac:dyDescent="0.3">
      <c r="A2" s="396"/>
      <c r="B2" s="396"/>
      <c r="C2" s="396"/>
      <c r="D2" s="396"/>
      <c r="E2" s="396"/>
      <c r="F2" s="396"/>
      <c r="G2" s="396"/>
      <c r="H2" s="396"/>
      <c r="I2" s="396"/>
      <c r="J2" s="396"/>
      <c r="K2" s="396"/>
      <c r="L2" s="396"/>
    </row>
    <row r="3" spans="1:12" ht="16.05" customHeight="1" x14ac:dyDescent="0.3">
      <c r="A3" s="11" t="s">
        <v>52</v>
      </c>
      <c r="B3" s="12"/>
      <c r="C3" s="12"/>
      <c r="D3" s="12"/>
      <c r="E3" s="11"/>
      <c r="F3" s="11"/>
      <c r="G3" s="12"/>
      <c r="H3" s="11"/>
      <c r="I3" s="11"/>
      <c r="J3" s="11"/>
      <c r="K3" s="11"/>
      <c r="L3" s="11"/>
    </row>
    <row r="4" spans="1:12" ht="15.6" x14ac:dyDescent="0.3">
      <c r="A4" s="111" t="s">
        <v>361</v>
      </c>
      <c r="B4" s="12"/>
      <c r="C4" s="12"/>
      <c r="D4" s="12"/>
      <c r="E4" s="11"/>
      <c r="F4" s="11"/>
      <c r="G4" s="12"/>
      <c r="H4" s="11"/>
      <c r="I4" s="11"/>
      <c r="J4" s="11"/>
      <c r="K4" s="11"/>
      <c r="L4" s="11"/>
    </row>
    <row r="5" spans="1:12" ht="17.25" customHeight="1" x14ac:dyDescent="0.3">
      <c r="A5" s="12" t="s">
        <v>23</v>
      </c>
      <c r="B5" s="12"/>
      <c r="C5" s="12"/>
      <c r="D5" s="12"/>
      <c r="E5" s="11"/>
      <c r="F5" s="11"/>
      <c r="G5" s="12"/>
      <c r="H5" s="11"/>
      <c r="I5" s="11"/>
      <c r="J5" s="11"/>
      <c r="K5" s="11"/>
      <c r="L5" s="11"/>
    </row>
    <row r="6" spans="1:12" ht="15.6" x14ac:dyDescent="0.3">
      <c r="A6" s="397"/>
      <c r="B6" s="168" t="s">
        <v>147</v>
      </c>
      <c r="C6" s="168" t="s">
        <v>147</v>
      </c>
      <c r="D6" s="168" t="s">
        <v>240</v>
      </c>
      <c r="E6" s="169" t="s">
        <v>60</v>
      </c>
      <c r="F6" s="169" t="s">
        <v>100</v>
      </c>
      <c r="G6" s="169" t="s">
        <v>100</v>
      </c>
      <c r="H6" s="169" t="s">
        <v>28</v>
      </c>
      <c r="I6" s="169" t="s">
        <v>28</v>
      </c>
      <c r="J6" s="169" t="s">
        <v>148</v>
      </c>
      <c r="K6" s="169" t="s">
        <v>148</v>
      </c>
      <c r="L6" s="13"/>
    </row>
    <row r="7" spans="1:12" ht="69" customHeight="1" x14ac:dyDescent="0.3">
      <c r="A7" s="397"/>
      <c r="B7" s="168" t="s">
        <v>334</v>
      </c>
      <c r="C7" s="168" t="s">
        <v>210</v>
      </c>
      <c r="D7" s="168" t="s">
        <v>262</v>
      </c>
      <c r="E7" s="169" t="s">
        <v>388</v>
      </c>
      <c r="F7" s="169" t="s">
        <v>294</v>
      </c>
      <c r="G7" s="169" t="s">
        <v>101</v>
      </c>
      <c r="H7" s="169" t="s">
        <v>64</v>
      </c>
      <c r="I7" s="169" t="s">
        <v>335</v>
      </c>
      <c r="J7" s="169" t="s">
        <v>433</v>
      </c>
      <c r="K7" s="169" t="s">
        <v>211</v>
      </c>
      <c r="L7" s="14"/>
    </row>
    <row r="8" spans="1:12" ht="43.5" customHeight="1" x14ac:dyDescent="0.3">
      <c r="A8" s="15" t="s">
        <v>19</v>
      </c>
      <c r="B8" s="16">
        <v>4.2500000000000003E-2</v>
      </c>
      <c r="C8" s="16">
        <v>4.2500000000000003E-2</v>
      </c>
      <c r="D8" s="167">
        <v>4.2500000000000003E-2</v>
      </c>
      <c r="E8" s="16">
        <v>4.2500000000000003E-2</v>
      </c>
      <c r="F8" s="16">
        <v>4.2500000000000003E-2</v>
      </c>
      <c r="G8" s="16">
        <v>4.2500000000000003E-2</v>
      </c>
      <c r="H8" s="16">
        <v>4.2500000000000003E-2</v>
      </c>
      <c r="I8" s="16">
        <v>4.2500000000000003E-2</v>
      </c>
      <c r="J8" s="16">
        <v>4.2500000000000003E-2</v>
      </c>
      <c r="K8" s="16">
        <v>4.2500000000000003E-2</v>
      </c>
      <c r="L8" s="17"/>
    </row>
    <row r="9" spans="1:12" ht="15.6" x14ac:dyDescent="0.3">
      <c r="A9" s="18" t="s">
        <v>16</v>
      </c>
      <c r="B9" s="49" t="s">
        <v>35</v>
      </c>
      <c r="C9" s="49" t="s">
        <v>35</v>
      </c>
      <c r="D9" s="143" t="s">
        <v>36</v>
      </c>
      <c r="E9" s="49" t="s">
        <v>35</v>
      </c>
      <c r="F9" s="49" t="s">
        <v>35</v>
      </c>
      <c r="G9" s="49" t="s">
        <v>35</v>
      </c>
      <c r="H9" s="49" t="s">
        <v>36</v>
      </c>
      <c r="I9" s="49" t="s">
        <v>36</v>
      </c>
      <c r="J9" s="49" t="s">
        <v>36</v>
      </c>
      <c r="K9" s="49" t="s">
        <v>36</v>
      </c>
      <c r="L9" s="19"/>
    </row>
    <row r="10" spans="1:12" ht="15.6" x14ac:dyDescent="0.3">
      <c r="A10" s="20" t="s">
        <v>29</v>
      </c>
      <c r="B10" s="35">
        <v>199887.4</v>
      </c>
      <c r="C10" s="35">
        <v>200000</v>
      </c>
      <c r="D10" s="35">
        <v>199478.34</v>
      </c>
      <c r="E10" s="35">
        <v>200000</v>
      </c>
      <c r="F10" s="35">
        <v>200000</v>
      </c>
      <c r="G10" s="35">
        <v>200000</v>
      </c>
      <c r="H10" s="35">
        <v>200000</v>
      </c>
      <c r="I10" s="35">
        <v>200000</v>
      </c>
      <c r="J10" s="35">
        <v>200000</v>
      </c>
      <c r="K10" s="35">
        <v>200000</v>
      </c>
      <c r="L10" s="19"/>
    </row>
    <row r="11" spans="1:12" ht="15.6" x14ac:dyDescent="0.3">
      <c r="A11" s="20" t="s">
        <v>24</v>
      </c>
      <c r="B11" s="35">
        <v>128000</v>
      </c>
      <c r="C11" s="35">
        <v>200000</v>
      </c>
      <c r="D11" s="35">
        <v>141000</v>
      </c>
      <c r="E11" s="37" t="s">
        <v>88</v>
      </c>
      <c r="F11" s="28">
        <v>202000</v>
      </c>
      <c r="G11" s="28" t="s">
        <v>88</v>
      </c>
      <c r="H11" s="35">
        <v>200000</v>
      </c>
      <c r="I11" s="35">
        <v>200000</v>
      </c>
      <c r="J11" s="37" t="s">
        <v>88</v>
      </c>
      <c r="K11" s="37" t="s">
        <v>88</v>
      </c>
      <c r="L11" s="19"/>
    </row>
    <row r="12" spans="1:12" ht="31.2" x14ac:dyDescent="0.3">
      <c r="A12" s="20" t="s">
        <v>17</v>
      </c>
      <c r="B12" s="21" t="s">
        <v>268</v>
      </c>
      <c r="C12" s="21" t="s">
        <v>222</v>
      </c>
      <c r="D12" s="145" t="s">
        <v>94</v>
      </c>
      <c r="E12" s="21" t="s">
        <v>399</v>
      </c>
      <c r="F12" s="77" t="s">
        <v>301</v>
      </c>
      <c r="G12" s="77" t="s">
        <v>302</v>
      </c>
      <c r="H12" s="21" t="s">
        <v>94</v>
      </c>
      <c r="I12" s="21" t="s">
        <v>303</v>
      </c>
      <c r="J12" s="21" t="s">
        <v>169</v>
      </c>
      <c r="K12" s="77" t="s">
        <v>229</v>
      </c>
      <c r="L12" s="19"/>
    </row>
    <row r="13" spans="1:12" ht="75.599999999999994" customHeight="1" x14ac:dyDescent="0.3">
      <c r="A13" s="23" t="s">
        <v>123</v>
      </c>
      <c r="B13" s="53">
        <v>2816</v>
      </c>
      <c r="C13" s="53" t="s">
        <v>366</v>
      </c>
      <c r="D13" s="53">
        <v>1128</v>
      </c>
      <c r="E13" s="24">
        <v>3000</v>
      </c>
      <c r="F13" s="24">
        <v>2800</v>
      </c>
      <c r="G13" s="53">
        <v>1000</v>
      </c>
      <c r="H13" s="53">
        <v>2482</v>
      </c>
      <c r="I13" s="91" t="s">
        <v>373</v>
      </c>
      <c r="J13" s="24">
        <v>2616</v>
      </c>
      <c r="K13" s="24">
        <v>1728</v>
      </c>
      <c r="L13" s="25"/>
    </row>
    <row r="14" spans="1:12" ht="109.05" customHeight="1" x14ac:dyDescent="0.3">
      <c r="A14" s="23" t="s">
        <v>122</v>
      </c>
      <c r="B14" s="35" t="s">
        <v>363</v>
      </c>
      <c r="C14" s="53" t="s">
        <v>365</v>
      </c>
      <c r="D14" s="146">
        <v>7473</v>
      </c>
      <c r="E14" s="164" t="s">
        <v>439</v>
      </c>
      <c r="F14" s="164" t="s">
        <v>372</v>
      </c>
      <c r="G14" s="35">
        <v>6800</v>
      </c>
      <c r="H14" s="35">
        <v>6533</v>
      </c>
      <c r="I14" s="91" t="s">
        <v>375</v>
      </c>
      <c r="J14" s="24">
        <f>7621-121</f>
        <v>7500</v>
      </c>
      <c r="K14" s="24">
        <v>7500</v>
      </c>
      <c r="L14" s="25"/>
    </row>
    <row r="15" spans="1:12" ht="118.95" customHeight="1" x14ac:dyDescent="0.3">
      <c r="A15" s="42" t="s">
        <v>127</v>
      </c>
      <c r="B15" s="50">
        <f>B13/B10</f>
        <v>1.4087931505437561E-2</v>
      </c>
      <c r="C15" s="50" t="s">
        <v>236</v>
      </c>
      <c r="D15" s="44">
        <f t="shared" ref="D15:H15" si="0">D13/D10</f>
        <v>5.654749282553685E-3</v>
      </c>
      <c r="E15" s="44">
        <f t="shared" si="0"/>
        <v>1.4999999999999999E-2</v>
      </c>
      <c r="F15" s="44">
        <f t="shared" si="0"/>
        <v>1.4E-2</v>
      </c>
      <c r="G15" s="50">
        <f t="shared" si="0"/>
        <v>5.0000000000000001E-3</v>
      </c>
      <c r="H15" s="44">
        <f t="shared" si="0"/>
        <v>1.2409999999999999E-2</v>
      </c>
      <c r="I15" s="92" t="s">
        <v>374</v>
      </c>
      <c r="J15" s="44">
        <f>J13/J10</f>
        <v>1.308E-2</v>
      </c>
      <c r="K15" s="44">
        <f>K13/K10</f>
        <v>8.6400000000000001E-3</v>
      </c>
      <c r="L15" s="25"/>
    </row>
    <row r="16" spans="1:12" ht="97.35" customHeight="1" x14ac:dyDescent="0.3">
      <c r="A16" s="42" t="s">
        <v>128</v>
      </c>
      <c r="B16" s="50" t="s">
        <v>364</v>
      </c>
      <c r="C16" s="50" t="s">
        <v>289</v>
      </c>
      <c r="D16" s="59">
        <f>D14/D10</f>
        <v>3.7462713996918161E-2</v>
      </c>
      <c r="E16" s="50" t="s">
        <v>401</v>
      </c>
      <c r="F16" s="50" t="s">
        <v>305</v>
      </c>
      <c r="G16" s="50">
        <f>G14/G10</f>
        <v>3.4000000000000002E-2</v>
      </c>
      <c r="H16" s="50">
        <f t="shared" ref="H16:K16" si="1">H14/H10</f>
        <v>3.2665E-2</v>
      </c>
      <c r="I16" s="50" t="s">
        <v>342</v>
      </c>
      <c r="J16" s="59">
        <f t="shared" ref="J16" si="2">J14/J10</f>
        <v>3.7499999999999999E-2</v>
      </c>
      <c r="K16" s="59">
        <f t="shared" si="1"/>
        <v>3.7499999999999999E-2</v>
      </c>
      <c r="L16" s="25"/>
    </row>
    <row r="17" spans="1:12" ht="51" customHeight="1" x14ac:dyDescent="0.3">
      <c r="A17" s="23" t="s">
        <v>106</v>
      </c>
      <c r="B17" s="35">
        <v>159909</v>
      </c>
      <c r="C17" s="35">
        <v>160000</v>
      </c>
      <c r="D17" s="35">
        <v>159182</v>
      </c>
      <c r="E17" s="24">
        <v>160000</v>
      </c>
      <c r="F17" s="24">
        <v>160000</v>
      </c>
      <c r="G17" s="24">
        <v>160000</v>
      </c>
      <c r="H17" s="35">
        <v>160000</v>
      </c>
      <c r="I17" s="35">
        <v>160000</v>
      </c>
      <c r="J17" s="35">
        <v>160000</v>
      </c>
      <c r="K17" s="35">
        <v>160000</v>
      </c>
      <c r="L17" s="25"/>
    </row>
    <row r="18" spans="1:12" ht="70.349999999999994" customHeight="1" x14ac:dyDescent="0.3">
      <c r="A18" s="42" t="s">
        <v>107</v>
      </c>
      <c r="B18" s="51">
        <f t="shared" ref="B18" si="3">B17/B10</f>
        <v>0.79999539740874115</v>
      </c>
      <c r="C18" s="51">
        <v>0.8</v>
      </c>
      <c r="D18" s="43">
        <f t="shared" ref="D18:E18" si="4">D17/D10</f>
        <v>0.79799140097115306</v>
      </c>
      <c r="E18" s="43">
        <f t="shared" si="4"/>
        <v>0.8</v>
      </c>
      <c r="F18" s="43">
        <f>F17/F10</f>
        <v>0.8</v>
      </c>
      <c r="G18" s="51">
        <f t="shared" ref="G18:K18" si="5">G17/G10</f>
        <v>0.8</v>
      </c>
      <c r="H18" s="43">
        <f t="shared" si="5"/>
        <v>0.8</v>
      </c>
      <c r="I18" s="43">
        <f t="shared" si="5"/>
        <v>0.8</v>
      </c>
      <c r="J18" s="43">
        <f t="shared" si="5"/>
        <v>0.8</v>
      </c>
      <c r="K18" s="43">
        <f t="shared" si="5"/>
        <v>0.8</v>
      </c>
      <c r="L18" s="25"/>
    </row>
    <row r="19" spans="1:12" ht="79.8" customHeight="1" x14ac:dyDescent="0.3">
      <c r="A19" s="34" t="s">
        <v>25</v>
      </c>
      <c r="B19" s="156" t="s">
        <v>269</v>
      </c>
      <c r="C19" s="119" t="s">
        <v>223</v>
      </c>
      <c r="D19" s="41" t="s">
        <v>77</v>
      </c>
      <c r="E19" s="206" t="s">
        <v>269</v>
      </c>
      <c r="F19" s="41" t="s">
        <v>306</v>
      </c>
      <c r="G19" s="78" t="s">
        <v>104</v>
      </c>
      <c r="H19" s="41" t="s">
        <v>83</v>
      </c>
      <c r="I19" s="41" t="s">
        <v>125</v>
      </c>
      <c r="J19" s="41" t="s">
        <v>89</v>
      </c>
      <c r="K19" s="41" t="s">
        <v>230</v>
      </c>
      <c r="L19" s="30"/>
    </row>
    <row r="20" spans="1:12" ht="53.55" customHeight="1" x14ac:dyDescent="0.3">
      <c r="A20" s="36" t="s">
        <v>30</v>
      </c>
      <c r="B20" s="28">
        <v>201886</v>
      </c>
      <c r="C20" s="28">
        <v>202000</v>
      </c>
      <c r="D20" s="28">
        <v>201473</v>
      </c>
      <c r="E20" s="28">
        <v>210000</v>
      </c>
      <c r="F20" s="28">
        <v>202000</v>
      </c>
      <c r="G20" s="28">
        <v>202000</v>
      </c>
      <c r="H20" s="28">
        <v>210000</v>
      </c>
      <c r="I20" s="28">
        <v>210000</v>
      </c>
      <c r="J20" s="28">
        <v>210000</v>
      </c>
      <c r="K20" s="28">
        <v>210000</v>
      </c>
      <c r="L20" s="25"/>
    </row>
    <row r="21" spans="1:12" ht="54" customHeight="1" x14ac:dyDescent="0.3">
      <c r="A21" s="32" t="s">
        <v>32</v>
      </c>
      <c r="B21" s="33">
        <f t="shared" ref="B21:K21" si="6">B20/B10</f>
        <v>1.0099986292282555</v>
      </c>
      <c r="C21" s="33">
        <f t="shared" si="6"/>
        <v>1.01</v>
      </c>
      <c r="D21" s="33">
        <f t="shared" si="6"/>
        <v>1.0099993813864703</v>
      </c>
      <c r="E21" s="40">
        <f t="shared" si="6"/>
        <v>1.05</v>
      </c>
      <c r="F21" s="33">
        <f t="shared" si="6"/>
        <v>1.01</v>
      </c>
      <c r="G21" s="33">
        <f t="shared" si="6"/>
        <v>1.01</v>
      </c>
      <c r="H21" s="40">
        <f t="shared" si="6"/>
        <v>1.05</v>
      </c>
      <c r="I21" s="40">
        <f t="shared" si="6"/>
        <v>1.05</v>
      </c>
      <c r="J21" s="40">
        <f t="shared" si="6"/>
        <v>1.05</v>
      </c>
      <c r="K21" s="40">
        <f t="shared" si="6"/>
        <v>1.05</v>
      </c>
      <c r="L21" s="25"/>
    </row>
    <row r="22" spans="1:12" ht="15.6" x14ac:dyDescent="0.3">
      <c r="A22" s="72" t="s">
        <v>86</v>
      </c>
      <c r="B22" s="60"/>
      <c r="C22" s="60"/>
      <c r="D22" s="60"/>
      <c r="E22" s="61"/>
      <c r="F22" s="60"/>
      <c r="G22" s="60"/>
      <c r="H22" s="60"/>
      <c r="I22" s="60"/>
      <c r="J22" s="60"/>
      <c r="K22" s="60"/>
      <c r="L22" s="25"/>
    </row>
    <row r="23" spans="1:12" ht="15.6" x14ac:dyDescent="0.3">
      <c r="A23" s="394" t="s">
        <v>38</v>
      </c>
      <c r="B23" s="395"/>
      <c r="C23" s="395"/>
      <c r="D23" s="395"/>
      <c r="E23" s="395"/>
      <c r="F23" s="395"/>
      <c r="G23" s="395"/>
      <c r="H23" s="395"/>
      <c r="I23" s="395"/>
      <c r="J23" s="395"/>
      <c r="K23" s="395"/>
      <c r="L23" s="25"/>
    </row>
    <row r="24" spans="1:12" ht="19.95" customHeight="1" x14ac:dyDescent="0.3">
      <c r="A24" s="45" t="s">
        <v>39</v>
      </c>
      <c r="B24" s="47">
        <v>214359</v>
      </c>
      <c r="C24" s="47">
        <v>160000</v>
      </c>
      <c r="D24" s="47">
        <v>212863</v>
      </c>
      <c r="E24" s="29">
        <v>210000</v>
      </c>
      <c r="F24" s="46">
        <v>160000</v>
      </c>
      <c r="G24" s="47">
        <v>202000</v>
      </c>
      <c r="H24" s="47">
        <v>210000</v>
      </c>
      <c r="I24" s="46">
        <v>160000</v>
      </c>
      <c r="J24" s="46">
        <v>160000</v>
      </c>
      <c r="K24" s="46">
        <v>210000</v>
      </c>
      <c r="L24" s="25"/>
    </row>
    <row r="25" spans="1:12" ht="15.6" x14ac:dyDescent="0.3">
      <c r="A25" s="27" t="s">
        <v>40</v>
      </c>
      <c r="B25" s="28">
        <v>221514</v>
      </c>
      <c r="C25" s="28">
        <v>170260</v>
      </c>
      <c r="D25" s="28">
        <v>218847</v>
      </c>
      <c r="E25" s="29">
        <v>224000</v>
      </c>
      <c r="F25" s="29">
        <v>170600</v>
      </c>
      <c r="G25" s="28">
        <v>228660</v>
      </c>
      <c r="H25" s="29">
        <v>293078</v>
      </c>
      <c r="I25" s="29">
        <v>165529</v>
      </c>
      <c r="J25" s="29">
        <v>192000</v>
      </c>
      <c r="K25" s="46">
        <v>216000</v>
      </c>
      <c r="L25" s="25"/>
    </row>
    <row r="26" spans="1:12" ht="15.6" x14ac:dyDescent="0.3">
      <c r="A26" s="32" t="s">
        <v>33</v>
      </c>
      <c r="B26" s="33">
        <f>B24/B10</f>
        <v>1.0723987605021628</v>
      </c>
      <c r="C26" s="33">
        <f>C24/C10</f>
        <v>0.8</v>
      </c>
      <c r="D26" s="33">
        <f>D24/D10</f>
        <v>1.0670983125285682</v>
      </c>
      <c r="E26" s="33">
        <f t="shared" ref="E26" si="7">E24/E10</f>
        <v>1.05</v>
      </c>
      <c r="F26" s="33">
        <f>F24/F10</f>
        <v>0.8</v>
      </c>
      <c r="G26" s="33">
        <f>G24/G10</f>
        <v>1.01</v>
      </c>
      <c r="H26" s="33">
        <f t="shared" ref="H26:K26" si="8">H24/H10</f>
        <v>1.05</v>
      </c>
      <c r="I26" s="33">
        <f t="shared" si="8"/>
        <v>0.8</v>
      </c>
      <c r="J26" s="33">
        <f t="shared" si="8"/>
        <v>0.8</v>
      </c>
      <c r="K26" s="33">
        <f t="shared" si="8"/>
        <v>1.05</v>
      </c>
      <c r="L26" s="25"/>
    </row>
    <row r="27" spans="1:12" ht="15.6" x14ac:dyDescent="0.3">
      <c r="A27" s="32" t="s">
        <v>37</v>
      </c>
      <c r="B27" s="33">
        <f>B25/B10</f>
        <v>1.1081939131731164</v>
      </c>
      <c r="C27" s="33">
        <f>C25/C10</f>
        <v>0.85129999999999995</v>
      </c>
      <c r="D27" s="33">
        <f>D25/D10</f>
        <v>1.0970965569494915</v>
      </c>
      <c r="E27" s="33">
        <f t="shared" ref="E27" si="9">E25/E10</f>
        <v>1.1200000000000001</v>
      </c>
      <c r="F27" s="33">
        <f>F25/F10</f>
        <v>0.85299999999999998</v>
      </c>
      <c r="G27" s="33">
        <f>G25/G10</f>
        <v>1.1433</v>
      </c>
      <c r="H27" s="33">
        <f t="shared" ref="H27:K27" si="10">H25/H10</f>
        <v>1.46539</v>
      </c>
      <c r="I27" s="33">
        <f t="shared" si="10"/>
        <v>0.82764499999999996</v>
      </c>
      <c r="J27" s="33">
        <f t="shared" si="10"/>
        <v>0.96</v>
      </c>
      <c r="K27" s="33">
        <f t="shared" si="10"/>
        <v>1.08</v>
      </c>
      <c r="L27" s="25"/>
    </row>
    <row r="28" spans="1:12" ht="15.75" customHeight="1" x14ac:dyDescent="0.3">
      <c r="A28" s="392" t="s">
        <v>75</v>
      </c>
      <c r="B28" s="393"/>
      <c r="C28" s="393"/>
      <c r="D28" s="393"/>
      <c r="E28" s="393"/>
      <c r="F28" s="393"/>
      <c r="G28" s="393"/>
      <c r="H28" s="393"/>
      <c r="I28" s="393"/>
      <c r="J28" s="393"/>
      <c r="K28" s="393"/>
      <c r="L28" s="25"/>
    </row>
    <row r="29" spans="1:12" ht="33.6" customHeight="1" x14ac:dyDescent="0.3">
      <c r="A29" s="45" t="s">
        <v>41</v>
      </c>
      <c r="B29" s="46">
        <f>33*B13</f>
        <v>92928</v>
      </c>
      <c r="C29" s="46">
        <f>(2*2000)+(13*2559)+(19*2739)</f>
        <v>89308</v>
      </c>
      <c r="D29" s="46">
        <f>31*D13</f>
        <v>34968</v>
      </c>
      <c r="E29" s="29">
        <v>99000</v>
      </c>
      <c r="F29" s="46">
        <v>95200</v>
      </c>
      <c r="G29" s="46">
        <v>33000</v>
      </c>
      <c r="H29" s="46">
        <v>76930</v>
      </c>
      <c r="I29" s="46">
        <v>80006</v>
      </c>
      <c r="J29" s="46">
        <v>83712</v>
      </c>
      <c r="K29" s="46">
        <v>53568</v>
      </c>
      <c r="L29" s="25"/>
    </row>
    <row r="30" spans="1:12" ht="22.5" customHeight="1" x14ac:dyDescent="0.3">
      <c r="A30" s="20" t="s">
        <v>69</v>
      </c>
      <c r="B30" s="53">
        <v>214359</v>
      </c>
      <c r="C30" s="53">
        <v>160000</v>
      </c>
      <c r="D30" s="47">
        <v>212863</v>
      </c>
      <c r="E30" s="29">
        <v>210000</v>
      </c>
      <c r="F30" s="29">
        <v>160000</v>
      </c>
      <c r="G30" s="53">
        <v>160000</v>
      </c>
      <c r="H30" s="26">
        <v>160000</v>
      </c>
      <c r="I30" s="26">
        <v>160000</v>
      </c>
      <c r="J30" s="26">
        <v>160000</v>
      </c>
      <c r="K30" s="26">
        <v>160000</v>
      </c>
      <c r="L30" s="25"/>
    </row>
    <row r="31" spans="1:12" ht="15.6" x14ac:dyDescent="0.3">
      <c r="A31" s="34" t="s">
        <v>34</v>
      </c>
      <c r="B31" s="33">
        <f t="shared" ref="B31:K31" si="11">B29/B10</f>
        <v>0.46490173967943954</v>
      </c>
      <c r="C31" s="33">
        <f t="shared" si="11"/>
        <v>0.44653999999999999</v>
      </c>
      <c r="D31" s="33">
        <f t="shared" si="11"/>
        <v>0.17529722775916423</v>
      </c>
      <c r="E31" s="33">
        <f t="shared" si="11"/>
        <v>0.495</v>
      </c>
      <c r="F31" s="33">
        <f t="shared" si="11"/>
        <v>0.47599999999999998</v>
      </c>
      <c r="G31" s="33">
        <f t="shared" si="11"/>
        <v>0.16500000000000001</v>
      </c>
      <c r="H31" s="33">
        <f t="shared" si="11"/>
        <v>0.38464999999999999</v>
      </c>
      <c r="I31" s="33">
        <f t="shared" si="11"/>
        <v>0.40003</v>
      </c>
      <c r="J31" s="33">
        <f t="shared" si="11"/>
        <v>0.41855999999999999</v>
      </c>
      <c r="K31" s="33">
        <f t="shared" si="11"/>
        <v>0.26784000000000002</v>
      </c>
      <c r="L31" s="25"/>
    </row>
    <row r="32" spans="1:12" ht="15.6" x14ac:dyDescent="0.3">
      <c r="A32" s="34" t="s">
        <v>70</v>
      </c>
      <c r="B32" s="33">
        <f t="shared" ref="B32:K32" si="12">(B30+B29)/B10</f>
        <v>1.5373005001816022</v>
      </c>
      <c r="C32" s="33">
        <f t="shared" si="12"/>
        <v>1.24654</v>
      </c>
      <c r="D32" s="33">
        <f t="shared" si="12"/>
        <v>1.2423955402877325</v>
      </c>
      <c r="E32" s="33">
        <f t="shared" si="12"/>
        <v>1.5449999999999999</v>
      </c>
      <c r="F32" s="33">
        <f t="shared" si="12"/>
        <v>1.276</v>
      </c>
      <c r="G32" s="33">
        <f t="shared" si="12"/>
        <v>0.96499999999999997</v>
      </c>
      <c r="H32" s="33">
        <f t="shared" si="12"/>
        <v>1.18465</v>
      </c>
      <c r="I32" s="33">
        <f t="shared" si="12"/>
        <v>1.2000299999999999</v>
      </c>
      <c r="J32" s="33">
        <f t="shared" si="12"/>
        <v>1.2185600000000001</v>
      </c>
      <c r="K32" s="33">
        <f t="shared" si="12"/>
        <v>1.0678399999999999</v>
      </c>
      <c r="L32" s="70"/>
    </row>
    <row r="33" spans="1:12" ht="15.75" customHeight="1" x14ac:dyDescent="0.3">
      <c r="A33" s="392" t="s">
        <v>76</v>
      </c>
      <c r="B33" s="393"/>
      <c r="C33" s="393"/>
      <c r="D33" s="393"/>
      <c r="E33" s="393"/>
      <c r="F33" s="393"/>
      <c r="G33" s="393"/>
      <c r="H33" s="393"/>
      <c r="I33" s="393"/>
      <c r="J33" s="393"/>
      <c r="K33" s="393"/>
      <c r="L33" s="25"/>
    </row>
    <row r="34" spans="1:12" ht="31.2" x14ac:dyDescent="0.3">
      <c r="A34" s="15" t="s">
        <v>72</v>
      </c>
      <c r="B34" s="35">
        <f>33*6656</f>
        <v>219648</v>
      </c>
      <c r="C34" s="46">
        <f>(2*4700)+(13*6879)+(19*7499)</f>
        <v>241308</v>
      </c>
      <c r="D34" s="52">
        <f>31*D14</f>
        <v>231663</v>
      </c>
      <c r="E34" s="29">
        <f>386244-154544</f>
        <v>231700</v>
      </c>
      <c r="F34" s="46">
        <v>249200</v>
      </c>
      <c r="G34" s="46">
        <v>224400</v>
      </c>
      <c r="H34" s="46">
        <v>202517</v>
      </c>
      <c r="I34" s="46">
        <v>231000</v>
      </c>
      <c r="J34" s="46">
        <f>400141-160141</f>
        <v>240000</v>
      </c>
      <c r="K34" s="46">
        <f>381087-148587</f>
        <v>232500</v>
      </c>
      <c r="L34" s="25"/>
    </row>
    <row r="35" spans="1:12" ht="15.6" x14ac:dyDescent="0.3">
      <c r="A35" s="20" t="s">
        <v>42</v>
      </c>
      <c r="B35" s="35">
        <v>221514</v>
      </c>
      <c r="C35" s="35">
        <v>169760</v>
      </c>
      <c r="D35" s="28">
        <v>218847</v>
      </c>
      <c r="E35" s="29">
        <v>216000</v>
      </c>
      <c r="F35" s="29">
        <v>170600</v>
      </c>
      <c r="G35" s="35">
        <v>206960</v>
      </c>
      <c r="H35" s="26">
        <v>291729</v>
      </c>
      <c r="I35" s="26">
        <v>165529</v>
      </c>
      <c r="J35" s="29">
        <v>192000</v>
      </c>
      <c r="K35" s="29">
        <v>212000</v>
      </c>
      <c r="L35" s="25"/>
    </row>
    <row r="36" spans="1:12" ht="15.6" x14ac:dyDescent="0.3">
      <c r="A36" s="34" t="s">
        <v>43</v>
      </c>
      <c r="B36" s="33">
        <f t="shared" ref="B36:K36" si="13">B34/B10</f>
        <v>1.0988586574241299</v>
      </c>
      <c r="C36" s="33">
        <f t="shared" si="13"/>
        <v>1.2065399999999999</v>
      </c>
      <c r="D36" s="33">
        <f>D34/D10</f>
        <v>1.161344133904463</v>
      </c>
      <c r="E36" s="33">
        <f t="shared" ref="E36:F36" si="14">E34/E10</f>
        <v>1.1585000000000001</v>
      </c>
      <c r="F36" s="33">
        <f t="shared" si="14"/>
        <v>1.246</v>
      </c>
      <c r="G36" s="33">
        <f t="shared" si="13"/>
        <v>1.1220000000000001</v>
      </c>
      <c r="H36" s="33">
        <f>H34/H10</f>
        <v>1.0125850000000001</v>
      </c>
      <c r="I36" s="33">
        <f t="shared" si="13"/>
        <v>1.155</v>
      </c>
      <c r="J36" s="33">
        <f t="shared" si="13"/>
        <v>1.2</v>
      </c>
      <c r="K36" s="33">
        <f t="shared" si="13"/>
        <v>1.1625000000000001</v>
      </c>
      <c r="L36" s="25"/>
    </row>
    <row r="37" spans="1:12" ht="15.6" x14ac:dyDescent="0.3">
      <c r="A37" s="62" t="s">
        <v>71</v>
      </c>
      <c r="B37" s="33">
        <f t="shared" ref="B37:K37" si="15">(B34+B35)/B10</f>
        <v>2.2070525705972464</v>
      </c>
      <c r="C37" s="33">
        <f t="shared" si="15"/>
        <v>2.0553400000000002</v>
      </c>
      <c r="D37" s="33">
        <f t="shared" si="15"/>
        <v>2.2584406908539543</v>
      </c>
      <c r="E37" s="33">
        <f t="shared" si="15"/>
        <v>2.2385000000000002</v>
      </c>
      <c r="F37" s="33">
        <f t="shared" si="15"/>
        <v>2.0990000000000002</v>
      </c>
      <c r="G37" s="33">
        <f t="shared" si="15"/>
        <v>2.1568000000000001</v>
      </c>
      <c r="H37" s="33">
        <f t="shared" si="15"/>
        <v>2.4712299999999998</v>
      </c>
      <c r="I37" s="33">
        <f t="shared" si="15"/>
        <v>1.982645</v>
      </c>
      <c r="J37" s="33">
        <f t="shared" si="15"/>
        <v>2.16</v>
      </c>
      <c r="K37" s="33">
        <f t="shared" si="15"/>
        <v>2.2225000000000001</v>
      </c>
      <c r="L37" s="71"/>
    </row>
    <row r="38" spans="1:12" ht="15.6" x14ac:dyDescent="0.3">
      <c r="A38" s="72" t="s">
        <v>87</v>
      </c>
      <c r="B38" s="60"/>
      <c r="C38" s="60"/>
      <c r="D38" s="60"/>
      <c r="E38" s="61"/>
      <c r="F38" s="60"/>
      <c r="G38" s="60"/>
      <c r="H38" s="60"/>
      <c r="I38" s="60"/>
      <c r="J38" s="60"/>
      <c r="K38" s="60"/>
      <c r="L38" s="25"/>
    </row>
    <row r="39" spans="1:12" ht="15.6" x14ac:dyDescent="0.3">
      <c r="A39" s="394" t="s">
        <v>38</v>
      </c>
      <c r="B39" s="395"/>
      <c r="C39" s="395"/>
      <c r="D39" s="395"/>
      <c r="E39" s="395"/>
      <c r="F39" s="395"/>
      <c r="G39" s="395"/>
      <c r="H39" s="395"/>
      <c r="I39" s="395"/>
      <c r="J39" s="395"/>
      <c r="K39" s="395"/>
      <c r="L39" s="25"/>
    </row>
    <row r="40" spans="1:12" ht="15.6" x14ac:dyDescent="0.3">
      <c r="A40" s="45" t="s">
        <v>39</v>
      </c>
      <c r="B40" s="47">
        <v>225333</v>
      </c>
      <c r="C40" s="47">
        <v>160000</v>
      </c>
      <c r="D40" s="47">
        <v>223754</v>
      </c>
      <c r="E40" s="29">
        <v>210000</v>
      </c>
      <c r="F40" s="46">
        <v>160000</v>
      </c>
      <c r="G40" s="47">
        <v>202000</v>
      </c>
      <c r="H40" s="47">
        <v>210000</v>
      </c>
      <c r="I40" s="47">
        <v>160000</v>
      </c>
      <c r="J40" s="46">
        <v>160000</v>
      </c>
      <c r="K40" s="46">
        <v>210000</v>
      </c>
      <c r="L40" s="25"/>
    </row>
    <row r="41" spans="1:12" ht="15.6" x14ac:dyDescent="0.3">
      <c r="A41" s="27" t="s">
        <v>40</v>
      </c>
      <c r="B41" s="28">
        <v>237066</v>
      </c>
      <c r="C41" s="28">
        <v>170260</v>
      </c>
      <c r="D41" s="28">
        <v>229738</v>
      </c>
      <c r="E41" s="29">
        <v>231000</v>
      </c>
      <c r="F41" s="29">
        <v>170600</v>
      </c>
      <c r="G41" s="28">
        <v>228660</v>
      </c>
      <c r="H41" s="29">
        <v>426027</v>
      </c>
      <c r="I41" s="29">
        <v>200000</v>
      </c>
      <c r="J41" s="29">
        <v>282000</v>
      </c>
      <c r="K41" s="29">
        <v>220000</v>
      </c>
      <c r="L41" s="25"/>
    </row>
    <row r="42" spans="1:12" ht="15.6" x14ac:dyDescent="0.3">
      <c r="A42" s="32" t="s">
        <v>33</v>
      </c>
      <c r="B42" s="33">
        <f t="shared" ref="B42:K42" si="16">B40/B10</f>
        <v>1.1272996697140489</v>
      </c>
      <c r="C42" s="33">
        <f t="shared" si="16"/>
        <v>0.8</v>
      </c>
      <c r="D42" s="33">
        <f t="shared" si="16"/>
        <v>1.1216957189437209</v>
      </c>
      <c r="E42" s="33">
        <f t="shared" si="16"/>
        <v>1.05</v>
      </c>
      <c r="F42" s="33">
        <f t="shared" si="16"/>
        <v>0.8</v>
      </c>
      <c r="G42" s="33">
        <f t="shared" si="16"/>
        <v>1.01</v>
      </c>
      <c r="H42" s="33">
        <f t="shared" si="16"/>
        <v>1.05</v>
      </c>
      <c r="I42" s="33">
        <f t="shared" si="16"/>
        <v>0.8</v>
      </c>
      <c r="J42" s="33">
        <f t="shared" si="16"/>
        <v>0.8</v>
      </c>
      <c r="K42" s="33">
        <f t="shared" si="16"/>
        <v>1.05</v>
      </c>
      <c r="L42" s="25"/>
    </row>
    <row r="43" spans="1:12" ht="15.6" x14ac:dyDescent="0.3">
      <c r="A43" s="32" t="s">
        <v>37</v>
      </c>
      <c r="B43" s="33">
        <f t="shared" ref="B43:K43" si="17">B41/B10</f>
        <v>1.1859977167145104</v>
      </c>
      <c r="C43" s="33">
        <f t="shared" si="17"/>
        <v>0.85129999999999995</v>
      </c>
      <c r="D43" s="33">
        <f t="shared" si="17"/>
        <v>1.1516939633646439</v>
      </c>
      <c r="E43" s="33">
        <f t="shared" si="17"/>
        <v>1.155</v>
      </c>
      <c r="F43" s="33">
        <f t="shared" si="17"/>
        <v>0.85299999999999998</v>
      </c>
      <c r="G43" s="33">
        <f t="shared" si="17"/>
        <v>1.1433</v>
      </c>
      <c r="H43" s="33">
        <f t="shared" si="17"/>
        <v>2.1301350000000001</v>
      </c>
      <c r="I43" s="33">
        <f t="shared" si="17"/>
        <v>1</v>
      </c>
      <c r="J43" s="33">
        <f t="shared" si="17"/>
        <v>1.41</v>
      </c>
      <c r="K43" s="33">
        <f t="shared" si="17"/>
        <v>1.1000000000000001</v>
      </c>
      <c r="L43" s="25"/>
    </row>
    <row r="44" spans="1:12" ht="15.75" customHeight="1" x14ac:dyDescent="0.3">
      <c r="A44" s="392" t="s">
        <v>75</v>
      </c>
      <c r="B44" s="393"/>
      <c r="C44" s="393"/>
      <c r="D44" s="393"/>
      <c r="E44" s="393"/>
      <c r="F44" s="393"/>
      <c r="G44" s="393"/>
      <c r="H44" s="393"/>
      <c r="I44" s="393"/>
      <c r="J44" s="393"/>
      <c r="K44" s="393"/>
      <c r="L44" s="25"/>
    </row>
    <row r="45" spans="1:12" ht="15.6" customHeight="1" x14ac:dyDescent="0.3">
      <c r="A45" s="45" t="s">
        <v>41</v>
      </c>
      <c r="B45" s="46">
        <f>53*B13</f>
        <v>149248</v>
      </c>
      <c r="C45" s="46">
        <f>(2*2000)+(13*2559)+(39*2739)</f>
        <v>144088</v>
      </c>
      <c r="D45" s="46">
        <f>51*D13</f>
        <v>57528</v>
      </c>
      <c r="E45" s="29">
        <v>159000</v>
      </c>
      <c r="F45" s="46">
        <v>151200</v>
      </c>
      <c r="G45" s="46">
        <v>53000</v>
      </c>
      <c r="H45" s="46">
        <f>51*H13</f>
        <v>126582</v>
      </c>
      <c r="I45" s="46">
        <v>128006</v>
      </c>
      <c r="J45" s="46">
        <v>136032</v>
      </c>
      <c r="K45" s="46">
        <v>88128</v>
      </c>
      <c r="L45" s="25"/>
    </row>
    <row r="46" spans="1:12" ht="15.6" x14ac:dyDescent="0.3">
      <c r="A46" s="20" t="s">
        <v>69</v>
      </c>
      <c r="B46" s="53">
        <v>225333</v>
      </c>
      <c r="C46" s="53">
        <v>160000</v>
      </c>
      <c r="D46" s="47">
        <v>223754</v>
      </c>
      <c r="E46" s="29">
        <v>210000</v>
      </c>
      <c r="F46" s="29">
        <v>160000</v>
      </c>
      <c r="G46" s="53">
        <v>160000</v>
      </c>
      <c r="H46" s="26">
        <v>160000</v>
      </c>
      <c r="I46" s="26">
        <v>160000</v>
      </c>
      <c r="J46" s="26">
        <v>160000</v>
      </c>
      <c r="K46" s="26">
        <v>160000</v>
      </c>
      <c r="L46" s="25"/>
    </row>
    <row r="47" spans="1:12" ht="15.6" x14ac:dyDescent="0.3">
      <c r="A47" s="34" t="s">
        <v>34</v>
      </c>
      <c r="B47" s="33">
        <f t="shared" ref="B47:K47" si="18">B45/B10</f>
        <v>0.74666036978819073</v>
      </c>
      <c r="C47" s="33">
        <f t="shared" si="18"/>
        <v>0.72043999999999997</v>
      </c>
      <c r="D47" s="33">
        <f t="shared" si="18"/>
        <v>0.28839221341023791</v>
      </c>
      <c r="E47" s="33">
        <f t="shared" si="18"/>
        <v>0.79500000000000004</v>
      </c>
      <c r="F47" s="33">
        <f t="shared" si="18"/>
        <v>0.75600000000000001</v>
      </c>
      <c r="G47" s="33">
        <f t="shared" si="18"/>
        <v>0.26500000000000001</v>
      </c>
      <c r="H47" s="33">
        <f t="shared" si="18"/>
        <v>0.63290999999999997</v>
      </c>
      <c r="I47" s="33">
        <f t="shared" si="18"/>
        <v>0.64002999999999999</v>
      </c>
      <c r="J47" s="33">
        <f t="shared" si="18"/>
        <v>0.68015999999999999</v>
      </c>
      <c r="K47" s="33">
        <f t="shared" si="18"/>
        <v>0.44063999999999998</v>
      </c>
      <c r="L47" s="25"/>
    </row>
    <row r="48" spans="1:12" ht="15.6" x14ac:dyDescent="0.3">
      <c r="A48" s="34" t="s">
        <v>70</v>
      </c>
      <c r="B48" s="33">
        <f>(B46+B45)/B10</f>
        <v>1.8739600395022398</v>
      </c>
      <c r="C48" s="33">
        <f>(C46+C45)/C10</f>
        <v>1.52044</v>
      </c>
      <c r="D48" s="33">
        <f>(D46+D45)/D10</f>
        <v>1.4100879323539588</v>
      </c>
      <c r="E48" s="33">
        <f t="shared" ref="E48" si="19">(E46+E45)/E10</f>
        <v>1.845</v>
      </c>
      <c r="F48" s="33">
        <f>(F46+F45)/F10</f>
        <v>1.556</v>
      </c>
      <c r="G48" s="33">
        <f>(G46+G45)/G10</f>
        <v>1.0649999999999999</v>
      </c>
      <c r="H48" s="33">
        <f t="shared" ref="H48:K48" si="20">(H46+H45)/H10</f>
        <v>1.4329099999999999</v>
      </c>
      <c r="I48" s="33">
        <f t="shared" si="20"/>
        <v>1.4400299999999999</v>
      </c>
      <c r="J48" s="33">
        <f t="shared" si="20"/>
        <v>1.4801599999999999</v>
      </c>
      <c r="K48" s="33">
        <f t="shared" si="20"/>
        <v>1.24064</v>
      </c>
      <c r="L48" s="70"/>
    </row>
    <row r="49" spans="1:12" ht="15.6" x14ac:dyDescent="0.3">
      <c r="A49" s="392" t="s">
        <v>76</v>
      </c>
      <c r="B49" s="393"/>
      <c r="C49" s="393"/>
      <c r="D49" s="393"/>
      <c r="E49" s="393"/>
      <c r="F49" s="393"/>
      <c r="G49" s="393"/>
      <c r="H49" s="393"/>
      <c r="I49" s="393"/>
      <c r="J49" s="393"/>
      <c r="K49" s="393"/>
      <c r="L49" s="25"/>
    </row>
    <row r="50" spans="1:12" ht="31.2" x14ac:dyDescent="0.3">
      <c r="A50" s="15" t="s">
        <v>72</v>
      </c>
      <c r="B50" s="52">
        <f>(52*6656)+7296</f>
        <v>353408</v>
      </c>
      <c r="C50" s="46">
        <f>(2*4700)+(13*6879)+(39*7499)</f>
        <v>391288</v>
      </c>
      <c r="D50" s="52">
        <f>51*D14</f>
        <v>381123</v>
      </c>
      <c r="E50" s="29">
        <f>904503-518803</f>
        <v>385700</v>
      </c>
      <c r="F50" s="46">
        <v>397200</v>
      </c>
      <c r="G50" s="52">
        <v>360400</v>
      </c>
      <c r="H50" s="46">
        <v>333173</v>
      </c>
      <c r="I50" s="46">
        <f>900490-531490</f>
        <v>369000</v>
      </c>
      <c r="J50" s="46">
        <f>927486-537486</f>
        <v>390000</v>
      </c>
      <c r="K50" s="46">
        <f>893073-510573</f>
        <v>382500</v>
      </c>
      <c r="L50" s="25"/>
    </row>
    <row r="51" spans="1:12" ht="15.6" x14ac:dyDescent="0.3">
      <c r="A51" s="20" t="s">
        <v>42</v>
      </c>
      <c r="B51" s="35">
        <v>237066</v>
      </c>
      <c r="C51" s="35">
        <v>169760</v>
      </c>
      <c r="D51" s="28">
        <v>229738</v>
      </c>
      <c r="E51" s="29">
        <v>224700</v>
      </c>
      <c r="F51" s="29">
        <v>170600</v>
      </c>
      <c r="G51" s="35">
        <v>206960</v>
      </c>
      <c r="H51" s="26">
        <v>424269</v>
      </c>
      <c r="I51" s="26">
        <v>200000</v>
      </c>
      <c r="J51" s="29">
        <v>282000</v>
      </c>
      <c r="K51" s="29">
        <v>218000</v>
      </c>
      <c r="L51" s="25"/>
    </row>
    <row r="52" spans="1:12" ht="15.6" x14ac:dyDescent="0.3">
      <c r="A52" s="34" t="s">
        <v>43</v>
      </c>
      <c r="B52" s="33">
        <f t="shared" ref="B52:K52" si="21">B50/B10</f>
        <v>1.768035403932414</v>
      </c>
      <c r="C52" s="33">
        <f t="shared" si="21"/>
        <v>1.95644</v>
      </c>
      <c r="D52" s="33">
        <f t="shared" si="21"/>
        <v>1.9105984138428262</v>
      </c>
      <c r="E52" s="33">
        <f t="shared" si="21"/>
        <v>1.9285000000000001</v>
      </c>
      <c r="F52" s="33">
        <f t="shared" si="21"/>
        <v>1.986</v>
      </c>
      <c r="G52" s="33">
        <f t="shared" si="21"/>
        <v>1.802</v>
      </c>
      <c r="H52" s="33">
        <f t="shared" si="21"/>
        <v>1.6658649999999999</v>
      </c>
      <c r="I52" s="33">
        <f t="shared" si="21"/>
        <v>1.845</v>
      </c>
      <c r="J52" s="33">
        <f t="shared" si="21"/>
        <v>1.95</v>
      </c>
      <c r="K52" s="33">
        <f t="shared" si="21"/>
        <v>1.9125000000000001</v>
      </c>
      <c r="L52" s="25"/>
    </row>
    <row r="53" spans="1:12" ht="15.6" x14ac:dyDescent="0.3">
      <c r="A53" s="62" t="s">
        <v>71</v>
      </c>
      <c r="B53" s="33">
        <f>(B50+B51)/B10</f>
        <v>2.9540331206469244</v>
      </c>
      <c r="C53" s="33">
        <f>(C50+C51)/C10</f>
        <v>2.80524</v>
      </c>
      <c r="D53" s="33">
        <f>(D50+D51)/D10</f>
        <v>3.0622923772074704</v>
      </c>
      <c r="E53" s="33">
        <f t="shared" ref="E53" si="22">(E50+E51)/E10</f>
        <v>3.052</v>
      </c>
      <c r="F53" s="33">
        <f>(F50+F51)/F10</f>
        <v>2.839</v>
      </c>
      <c r="G53" s="33">
        <f>(G50+G51)/G10</f>
        <v>2.8368000000000002</v>
      </c>
      <c r="H53" s="33">
        <f t="shared" ref="H53:K53" si="23">(H50+H51)/H10</f>
        <v>3.78721</v>
      </c>
      <c r="I53" s="33">
        <f t="shared" si="23"/>
        <v>2.8450000000000002</v>
      </c>
      <c r="J53" s="33">
        <f t="shared" si="23"/>
        <v>3.36</v>
      </c>
      <c r="K53" s="33">
        <f t="shared" si="23"/>
        <v>3.0024999999999999</v>
      </c>
      <c r="L53" s="71"/>
    </row>
    <row r="54" spans="1:12" ht="15.6" x14ac:dyDescent="0.3">
      <c r="A54" s="73" t="s">
        <v>82</v>
      </c>
      <c r="B54" s="39"/>
      <c r="C54" s="39"/>
      <c r="D54" s="39"/>
      <c r="E54" s="63"/>
      <c r="F54" s="39"/>
      <c r="G54" s="39"/>
      <c r="H54" s="39"/>
      <c r="I54" s="39"/>
      <c r="J54" s="39"/>
      <c r="K54" s="39"/>
      <c r="L54" s="25"/>
    </row>
    <row r="55" spans="1:12" ht="15.6" x14ac:dyDescent="0.3">
      <c r="A55" s="394" t="s">
        <v>38</v>
      </c>
      <c r="B55" s="395"/>
      <c r="C55" s="395"/>
      <c r="D55" s="395"/>
      <c r="E55" s="395"/>
      <c r="F55" s="395"/>
      <c r="G55" s="395"/>
      <c r="H55" s="395"/>
      <c r="I55" s="395"/>
      <c r="J55" s="395"/>
      <c r="K55" s="395"/>
      <c r="L55" s="25"/>
    </row>
    <row r="56" spans="1:12" ht="14.4" customHeight="1" x14ac:dyDescent="0.3">
      <c r="A56" s="45" t="s">
        <v>39</v>
      </c>
      <c r="B56" s="46">
        <v>236886</v>
      </c>
      <c r="C56" s="47">
        <v>160000</v>
      </c>
      <c r="D56" s="46">
        <v>235224</v>
      </c>
      <c r="E56" s="29">
        <v>210000</v>
      </c>
      <c r="F56" s="46">
        <v>160000</v>
      </c>
      <c r="G56" s="47">
        <v>202000</v>
      </c>
      <c r="H56" s="47">
        <v>210000</v>
      </c>
      <c r="I56" s="47">
        <v>160000</v>
      </c>
      <c r="J56" s="46">
        <v>160000</v>
      </c>
      <c r="K56" s="46">
        <v>210000</v>
      </c>
      <c r="L56" s="25"/>
    </row>
    <row r="57" spans="1:12" ht="15.6" x14ac:dyDescent="0.3">
      <c r="A57" s="27" t="s">
        <v>40</v>
      </c>
      <c r="B57" s="29">
        <v>256115</v>
      </c>
      <c r="C57" s="28">
        <v>170260</v>
      </c>
      <c r="D57" s="29">
        <v>241208</v>
      </c>
      <c r="E57" s="29">
        <v>237000</v>
      </c>
      <c r="F57" s="29">
        <v>170600</v>
      </c>
      <c r="G57" s="28">
        <v>228660</v>
      </c>
      <c r="H57" s="29">
        <v>709851</v>
      </c>
      <c r="I57" s="29">
        <v>200000</v>
      </c>
      <c r="J57" s="29">
        <v>474000</v>
      </c>
      <c r="K57" s="29">
        <v>228000</v>
      </c>
      <c r="L57" s="25"/>
    </row>
    <row r="58" spans="1:12" ht="15.6" x14ac:dyDescent="0.3">
      <c r="A58" s="32" t="s">
        <v>33</v>
      </c>
      <c r="B58" s="33">
        <f t="shared" ref="B58:K58" si="24">B56/B10</f>
        <v>1.1850972097290775</v>
      </c>
      <c r="C58" s="33">
        <f t="shared" si="24"/>
        <v>0.8</v>
      </c>
      <c r="D58" s="33">
        <f t="shared" si="24"/>
        <v>1.1791956961342269</v>
      </c>
      <c r="E58" s="33">
        <f t="shared" si="24"/>
        <v>1.05</v>
      </c>
      <c r="F58" s="33">
        <f t="shared" si="24"/>
        <v>0.8</v>
      </c>
      <c r="G58" s="33">
        <f t="shared" si="24"/>
        <v>1.01</v>
      </c>
      <c r="H58" s="33">
        <f t="shared" si="24"/>
        <v>1.05</v>
      </c>
      <c r="I58" s="33">
        <f t="shared" si="24"/>
        <v>0.8</v>
      </c>
      <c r="J58" s="33">
        <f t="shared" si="24"/>
        <v>0.8</v>
      </c>
      <c r="K58" s="33">
        <f t="shared" si="24"/>
        <v>1.05</v>
      </c>
      <c r="L58" s="25"/>
    </row>
    <row r="59" spans="1:12" ht="15.6" x14ac:dyDescent="0.3">
      <c r="A59" s="64" t="s">
        <v>37</v>
      </c>
      <c r="B59" s="33">
        <f t="shared" ref="B59:K59" si="25">B57/B10</f>
        <v>1.2812963698562292</v>
      </c>
      <c r="C59" s="33">
        <f t="shared" si="25"/>
        <v>0.85129999999999995</v>
      </c>
      <c r="D59" s="33">
        <f t="shared" si="25"/>
        <v>1.2091939405551499</v>
      </c>
      <c r="E59" s="33">
        <f t="shared" si="25"/>
        <v>1.1850000000000001</v>
      </c>
      <c r="F59" s="33">
        <f t="shared" si="25"/>
        <v>0.85299999999999998</v>
      </c>
      <c r="G59" s="33">
        <f t="shared" si="25"/>
        <v>1.1433</v>
      </c>
      <c r="H59" s="33">
        <f t="shared" si="25"/>
        <v>3.549255</v>
      </c>
      <c r="I59" s="33">
        <f t="shared" si="25"/>
        <v>1</v>
      </c>
      <c r="J59" s="33">
        <f t="shared" si="25"/>
        <v>2.37</v>
      </c>
      <c r="K59" s="33">
        <f t="shared" si="25"/>
        <v>1.1399999999999999</v>
      </c>
      <c r="L59" s="25"/>
    </row>
    <row r="60" spans="1:12" ht="15.6" x14ac:dyDescent="0.3">
      <c r="A60" s="392" t="s">
        <v>75</v>
      </c>
      <c r="B60" s="393"/>
      <c r="C60" s="393"/>
      <c r="D60" s="393"/>
      <c r="E60" s="393"/>
      <c r="F60" s="393"/>
      <c r="G60" s="393"/>
      <c r="H60" s="393"/>
      <c r="I60" s="393"/>
      <c r="J60" s="393"/>
      <c r="K60" s="393"/>
      <c r="L60" s="25"/>
    </row>
    <row r="61" spans="1:12" ht="30" customHeight="1" x14ac:dyDescent="0.3">
      <c r="A61" s="45" t="s">
        <v>41</v>
      </c>
      <c r="B61" s="46">
        <f>73*B13</f>
        <v>205568</v>
      </c>
      <c r="C61" s="46">
        <f>(2*2000)+(13*2559)+(59*2739)</f>
        <v>198868</v>
      </c>
      <c r="D61" s="67">
        <f>71*D13</f>
        <v>80088</v>
      </c>
      <c r="E61" s="67">
        <v>219000</v>
      </c>
      <c r="F61" s="67">
        <v>207200</v>
      </c>
      <c r="G61" s="46">
        <v>73000</v>
      </c>
      <c r="H61" s="46">
        <v>176194</v>
      </c>
      <c r="I61" s="46">
        <v>176006</v>
      </c>
      <c r="J61" s="46">
        <v>188352</v>
      </c>
      <c r="K61" s="46">
        <v>122688</v>
      </c>
      <c r="L61" s="25"/>
    </row>
    <row r="62" spans="1:12" ht="15.6" x14ac:dyDescent="0.3">
      <c r="A62" s="20" t="s">
        <v>69</v>
      </c>
      <c r="B62" s="65">
        <v>236886</v>
      </c>
      <c r="C62" s="53">
        <v>160000</v>
      </c>
      <c r="D62" s="46">
        <v>235224</v>
      </c>
      <c r="E62" s="29">
        <v>210000</v>
      </c>
      <c r="F62" s="46">
        <v>160000</v>
      </c>
      <c r="G62" s="65">
        <v>160000</v>
      </c>
      <c r="H62" s="66">
        <v>160000</v>
      </c>
      <c r="I62" s="26">
        <v>160000</v>
      </c>
      <c r="J62" s="46">
        <v>160000</v>
      </c>
      <c r="K62" s="46">
        <v>160000</v>
      </c>
      <c r="L62" s="25"/>
    </row>
    <row r="63" spans="1:12" ht="15.6" x14ac:dyDescent="0.3">
      <c r="A63" s="34" t="s">
        <v>34</v>
      </c>
      <c r="B63" s="33">
        <f t="shared" ref="B63:K63" si="26">B61/B10</f>
        <v>1.028418999896942</v>
      </c>
      <c r="C63" s="33">
        <f t="shared" si="26"/>
        <v>0.99434</v>
      </c>
      <c r="D63" s="33">
        <f t="shared" si="26"/>
        <v>0.40148719906131164</v>
      </c>
      <c r="E63" s="33">
        <f t="shared" si="26"/>
        <v>1.095</v>
      </c>
      <c r="F63" s="33">
        <f t="shared" si="26"/>
        <v>1.036</v>
      </c>
      <c r="G63" s="33">
        <f t="shared" si="26"/>
        <v>0.36499999999999999</v>
      </c>
      <c r="H63" s="33">
        <f t="shared" si="26"/>
        <v>0.88097000000000003</v>
      </c>
      <c r="I63" s="33">
        <f t="shared" si="26"/>
        <v>0.88002999999999998</v>
      </c>
      <c r="J63" s="33">
        <f t="shared" si="26"/>
        <v>0.94176000000000004</v>
      </c>
      <c r="K63" s="33">
        <f t="shared" si="26"/>
        <v>0.61343999999999999</v>
      </c>
      <c r="L63" s="25"/>
    </row>
    <row r="64" spans="1:12" ht="15.6" x14ac:dyDescent="0.3">
      <c r="A64" s="34" t="s">
        <v>70</v>
      </c>
      <c r="B64" s="33">
        <f>(B61+B62)/B10</f>
        <v>2.2135162096260195</v>
      </c>
      <c r="C64" s="33">
        <f>(C61+C62)/C10</f>
        <v>1.79434</v>
      </c>
      <c r="D64" s="33">
        <f>(D61+D62)/D10</f>
        <v>1.5806828951955385</v>
      </c>
      <c r="E64" s="33">
        <f t="shared" ref="E64" si="27">(E61+E62)/E10</f>
        <v>2.145</v>
      </c>
      <c r="F64" s="33">
        <f>(F61+F62)/F10</f>
        <v>1.8360000000000001</v>
      </c>
      <c r="G64" s="33">
        <f>(G61+G62)/G10</f>
        <v>1.165</v>
      </c>
      <c r="H64" s="33">
        <f t="shared" ref="H64:K64" si="28">(H61+H62)/H10</f>
        <v>1.6809700000000001</v>
      </c>
      <c r="I64" s="33">
        <f t="shared" si="28"/>
        <v>1.6800299999999999</v>
      </c>
      <c r="J64" s="33">
        <f t="shared" si="28"/>
        <v>1.74176</v>
      </c>
      <c r="K64" s="33">
        <f t="shared" si="28"/>
        <v>1.41344</v>
      </c>
      <c r="L64" s="70"/>
    </row>
    <row r="65" spans="1:12" ht="15.75" customHeight="1" x14ac:dyDescent="0.3">
      <c r="A65" s="392" t="s">
        <v>76</v>
      </c>
      <c r="B65" s="393"/>
      <c r="C65" s="393"/>
      <c r="D65" s="393"/>
      <c r="E65" s="393"/>
      <c r="F65" s="393"/>
      <c r="G65" s="393"/>
      <c r="H65" s="393"/>
      <c r="I65" s="393"/>
      <c r="J65" s="393"/>
      <c r="K65" s="393"/>
      <c r="L65" s="25"/>
    </row>
    <row r="66" spans="1:12" ht="31.2" x14ac:dyDescent="0.3">
      <c r="A66" s="15" t="s">
        <v>72</v>
      </c>
      <c r="B66" s="52">
        <f>(52*6656)+(21*7296)</f>
        <v>499328</v>
      </c>
      <c r="C66" s="46">
        <f>(2*4700)+(13*6879)+(59*7499)</f>
        <v>541268</v>
      </c>
      <c r="D66" s="52">
        <f>71*D14</f>
        <v>530583</v>
      </c>
      <c r="E66" s="29">
        <f>1840535-1300835</f>
        <v>539700</v>
      </c>
      <c r="F66" s="46">
        <v>545200</v>
      </c>
      <c r="G66" s="52">
        <v>496400</v>
      </c>
      <c r="H66" s="46">
        <v>463829</v>
      </c>
      <c r="I66" s="46">
        <f>1814327-1307327</f>
        <v>507000</v>
      </c>
      <c r="J66" s="46">
        <f>1879931-1339931</f>
        <v>540000</v>
      </c>
      <c r="K66" s="46">
        <f>1817777-1285277</f>
        <v>532500</v>
      </c>
      <c r="L66" s="25"/>
    </row>
    <row r="67" spans="1:12" ht="15.6" x14ac:dyDescent="0.3">
      <c r="A67" s="20" t="s">
        <v>42</v>
      </c>
      <c r="B67" s="35">
        <v>256115</v>
      </c>
      <c r="C67" s="35">
        <v>169760</v>
      </c>
      <c r="D67" s="29">
        <v>241208</v>
      </c>
      <c r="E67" s="29">
        <v>231600</v>
      </c>
      <c r="F67" s="29">
        <v>170600</v>
      </c>
      <c r="G67" s="35">
        <v>206960</v>
      </c>
      <c r="H67" s="22">
        <v>706804</v>
      </c>
      <c r="I67" s="26">
        <v>200000</v>
      </c>
      <c r="J67" s="29">
        <v>474000</v>
      </c>
      <c r="K67" s="29">
        <v>224000</v>
      </c>
      <c r="L67" s="25"/>
    </row>
    <row r="68" spans="1:12" ht="15.6" x14ac:dyDescent="0.3">
      <c r="A68" s="34" t="s">
        <v>43</v>
      </c>
      <c r="B68" s="33">
        <f t="shared" ref="B68:K68" si="29">B66/B10</f>
        <v>2.4980464001232696</v>
      </c>
      <c r="C68" s="33">
        <f t="shared" si="29"/>
        <v>2.70634</v>
      </c>
      <c r="D68" s="33">
        <f t="shared" si="29"/>
        <v>2.6598526937811897</v>
      </c>
      <c r="E68" s="33">
        <f t="shared" si="29"/>
        <v>2.6985000000000001</v>
      </c>
      <c r="F68" s="33">
        <f t="shared" si="29"/>
        <v>2.726</v>
      </c>
      <c r="G68" s="33">
        <f t="shared" si="29"/>
        <v>2.4820000000000002</v>
      </c>
      <c r="H68" s="33">
        <f t="shared" si="29"/>
        <v>2.3191449999999998</v>
      </c>
      <c r="I68" s="33">
        <f t="shared" si="29"/>
        <v>2.5350000000000001</v>
      </c>
      <c r="J68" s="33">
        <f t="shared" si="29"/>
        <v>2.7</v>
      </c>
      <c r="K68" s="33">
        <f t="shared" si="29"/>
        <v>2.6625000000000001</v>
      </c>
      <c r="L68" s="11"/>
    </row>
    <row r="69" spans="1:12" ht="15.6" x14ac:dyDescent="0.3">
      <c r="A69" s="34" t="s">
        <v>71</v>
      </c>
      <c r="B69" s="33">
        <f>(B67+B66)/B10</f>
        <v>3.7793427699794986</v>
      </c>
      <c r="C69" s="33">
        <f>(C67+C66)/C10</f>
        <v>3.5551400000000002</v>
      </c>
      <c r="D69" s="33">
        <f>(D67+D66)/D10</f>
        <v>3.8690466343363394</v>
      </c>
      <c r="E69" s="33">
        <f t="shared" ref="E69" si="30">(E67+E66)/E10</f>
        <v>3.8565</v>
      </c>
      <c r="F69" s="33">
        <f>(F67+F66)/F10</f>
        <v>3.5790000000000002</v>
      </c>
      <c r="G69" s="33">
        <f>(G67+G66)/G10</f>
        <v>3.5167999999999999</v>
      </c>
      <c r="H69" s="33">
        <f t="shared" ref="H69:K69" si="31">(H67+H66)/H10</f>
        <v>5.8531649999999997</v>
      </c>
      <c r="I69" s="33">
        <f t="shared" si="31"/>
        <v>3.5350000000000001</v>
      </c>
      <c r="J69" s="33">
        <f t="shared" si="31"/>
        <v>5.07</v>
      </c>
      <c r="K69" s="33">
        <f t="shared" si="31"/>
        <v>3.7825000000000002</v>
      </c>
      <c r="L69" s="71"/>
    </row>
    <row r="70" spans="1:12" ht="15.6" x14ac:dyDescent="0.3">
      <c r="A70" s="11"/>
      <c r="B70" s="11"/>
      <c r="C70" s="11"/>
      <c r="D70" s="11"/>
      <c r="E70" s="11" t="s">
        <v>61</v>
      </c>
      <c r="F70" s="11"/>
      <c r="G70" s="11"/>
      <c r="H70" s="11"/>
      <c r="I70" s="11"/>
      <c r="J70" s="11"/>
      <c r="K70" s="11"/>
      <c r="L70" s="11"/>
    </row>
  </sheetData>
  <sheetProtection algorithmName="SHA-512" hashValue="1Suwefwofdy3zePyyBwYBNtm6Q7M9B9zOwvr99kUVPYU38nUVkbvm0CCBuC8nG8kfU704nXqkWU3HdoDlMNW/w==" saltValue="UK+4tPkeQkMgaYSs+2EyBg==" spinCount="100000" sheet="1" objects="1" scenarios="1"/>
  <mergeCells count="11">
    <mergeCell ref="A39:K39"/>
    <mergeCell ref="A1:L2"/>
    <mergeCell ref="A6:A7"/>
    <mergeCell ref="A23:K23"/>
    <mergeCell ref="A28:K28"/>
    <mergeCell ref="A33:K33"/>
    <mergeCell ref="A44:K44"/>
    <mergeCell ref="A49:K49"/>
    <mergeCell ref="A55:K55"/>
    <mergeCell ref="A60:K60"/>
    <mergeCell ref="A65:K65"/>
  </mergeCells>
  <conditionalFormatting sqref="B26:K26">
    <cfRule type="top10" dxfId="131" priority="683" rank="1"/>
  </conditionalFormatting>
  <conditionalFormatting sqref="B27:K27">
    <cfRule type="top10" dxfId="130" priority="685" rank="1"/>
  </conditionalFormatting>
  <conditionalFormatting sqref="B31:K31">
    <cfRule type="top10" dxfId="129" priority="687" rank="1"/>
  </conditionalFormatting>
  <conditionalFormatting sqref="B32:K32">
    <cfRule type="top10" dxfId="128" priority="689" rank="1"/>
  </conditionalFormatting>
  <conditionalFormatting sqref="B36:K36">
    <cfRule type="top10" dxfId="127" priority="691" rank="1"/>
  </conditionalFormatting>
  <conditionalFormatting sqref="B37:K37">
    <cfRule type="top10" dxfId="126" priority="693" rank="1"/>
  </conditionalFormatting>
  <conditionalFormatting sqref="B42:K42">
    <cfRule type="top10" dxfId="125" priority="695" rank="1"/>
  </conditionalFormatting>
  <conditionalFormatting sqref="B43:K43">
    <cfRule type="top10" dxfId="124" priority="697" rank="1"/>
  </conditionalFormatting>
  <conditionalFormatting sqref="B47:K47">
    <cfRule type="top10" dxfId="123" priority="699" rank="1"/>
  </conditionalFormatting>
  <conditionalFormatting sqref="B48:K48">
    <cfRule type="top10" dxfId="122" priority="701" rank="1"/>
  </conditionalFormatting>
  <conditionalFormatting sqref="B52:K52">
    <cfRule type="top10" dxfId="121" priority="703" rank="1"/>
  </conditionalFormatting>
  <conditionalFormatting sqref="B53:K53">
    <cfRule type="top10" dxfId="120" priority="705" rank="1"/>
  </conditionalFormatting>
  <conditionalFormatting sqref="B58:K58">
    <cfRule type="top10" dxfId="119" priority="707" rank="1"/>
  </conditionalFormatting>
  <conditionalFormatting sqref="B59:K59">
    <cfRule type="top10" dxfId="118" priority="709" rank="1"/>
  </conditionalFormatting>
  <conditionalFormatting sqref="B63:K63">
    <cfRule type="top10" dxfId="117" priority="711" rank="1"/>
  </conditionalFormatting>
  <conditionalFormatting sqref="B64:K64">
    <cfRule type="top10" dxfId="116" priority="713" rank="1"/>
  </conditionalFormatting>
  <conditionalFormatting sqref="B68:K68">
    <cfRule type="top10" dxfId="115" priority="715" rank="1"/>
  </conditionalFormatting>
  <conditionalFormatting sqref="B69:K69">
    <cfRule type="top10" dxfId="114" priority="717" rank="1"/>
  </conditionalFormatting>
  <pageMargins left="0.7" right="0.7" top="0.75" bottom="0.75" header="0.3" footer="0.3"/>
  <pageSetup scale="39" orientation="landscape" horizontalDpi="90" verticalDpi="90" r:id="rId1"/>
  <headerFooter>
    <oddFooter>&amp;L_x000D_&amp;1#&amp;"Calibri"&amp;8&amp;K0000FF Internal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0000"/>
    <pageSetUpPr fitToPage="1"/>
  </sheetPr>
  <dimension ref="A1:M70"/>
  <sheetViews>
    <sheetView showGridLines="0" zoomScale="55" zoomScaleNormal="55" workbookViewId="0">
      <pane xSplit="1" ySplit="7" topLeftCell="B8" activePane="bottomRight" state="frozen"/>
      <selection pane="topRight" activeCell="B1" sqref="B1"/>
      <selection pane="bottomLeft" activeCell="A8" sqref="A8"/>
      <selection pane="bottomRight" activeCell="B7" sqref="B7"/>
    </sheetView>
  </sheetViews>
  <sheetFormatPr defaultRowHeight="14.4" x14ac:dyDescent="0.3"/>
  <cols>
    <col min="1" max="1" width="39.44140625" customWidth="1"/>
    <col min="2" max="2" width="33.21875" customWidth="1"/>
    <col min="3" max="3" width="32.77734375" bestFit="1" customWidth="1"/>
    <col min="4" max="5" width="32.77734375" customWidth="1"/>
    <col min="6" max="6" width="30.5546875" bestFit="1" customWidth="1"/>
    <col min="7" max="7" width="30.5546875" customWidth="1"/>
    <col min="8" max="8" width="32.21875" bestFit="1" customWidth="1"/>
    <col min="9" max="9" width="36" bestFit="1" customWidth="1"/>
    <col min="10" max="10" width="50.21875" bestFit="1" customWidth="1"/>
    <col min="11" max="11" width="30.5546875" bestFit="1" customWidth="1"/>
    <col min="12" max="12" width="31" bestFit="1" customWidth="1"/>
  </cols>
  <sheetData>
    <row r="1" spans="1:13" ht="15.75" customHeight="1" x14ac:dyDescent="0.3">
      <c r="A1" s="396" t="s">
        <v>15</v>
      </c>
      <c r="B1" s="396"/>
      <c r="C1" s="396"/>
      <c r="D1" s="396"/>
      <c r="E1" s="396"/>
      <c r="F1" s="396"/>
      <c r="G1" s="396"/>
      <c r="H1" s="396"/>
      <c r="I1" s="396"/>
      <c r="J1" s="396"/>
      <c r="K1" s="396"/>
      <c r="L1" s="396"/>
      <c r="M1" s="396"/>
    </row>
    <row r="2" spans="1:13" x14ac:dyDescent="0.3">
      <c r="A2" s="396"/>
      <c r="B2" s="396"/>
      <c r="C2" s="396"/>
      <c r="D2" s="396"/>
      <c r="E2" s="396"/>
      <c r="F2" s="396"/>
      <c r="G2" s="396"/>
      <c r="H2" s="396"/>
      <c r="I2" s="396"/>
      <c r="J2" s="396"/>
      <c r="K2" s="396"/>
      <c r="L2" s="396"/>
      <c r="M2" s="396"/>
    </row>
    <row r="3" spans="1:13" ht="15.6" x14ac:dyDescent="0.3">
      <c r="A3" s="11" t="s">
        <v>52</v>
      </c>
      <c r="B3" s="12"/>
      <c r="C3" s="12"/>
      <c r="D3" s="12"/>
      <c r="E3" s="12"/>
      <c r="F3" s="11"/>
      <c r="G3" s="11"/>
      <c r="H3" s="12"/>
      <c r="I3" s="11"/>
      <c r="J3" s="11"/>
      <c r="K3" s="11"/>
      <c r="L3" s="11"/>
      <c r="M3" s="11"/>
    </row>
    <row r="4" spans="1:13" ht="15.6" x14ac:dyDescent="0.3">
      <c r="A4" s="111" t="s">
        <v>272</v>
      </c>
      <c r="B4" s="12"/>
      <c r="C4" s="12"/>
      <c r="D4" s="12"/>
      <c r="E4" s="12"/>
      <c r="F4" s="11"/>
      <c r="G4" s="11"/>
      <c r="H4" s="12"/>
      <c r="I4" s="11"/>
      <c r="J4" s="11"/>
      <c r="K4" s="11"/>
      <c r="L4" s="11"/>
      <c r="M4" s="11"/>
    </row>
    <row r="5" spans="1:13" ht="17.25" customHeight="1" x14ac:dyDescent="0.3">
      <c r="A5" s="12" t="s">
        <v>23</v>
      </c>
      <c r="B5" s="12"/>
      <c r="C5" s="12"/>
      <c r="D5" s="12"/>
      <c r="E5" s="12"/>
      <c r="F5" s="11"/>
      <c r="G5" s="11"/>
      <c r="H5" s="12"/>
      <c r="I5" s="11"/>
      <c r="J5" s="11"/>
      <c r="K5" s="11"/>
      <c r="L5" s="11"/>
      <c r="M5" s="11"/>
    </row>
    <row r="6" spans="1:13" ht="15.6" x14ac:dyDescent="0.3">
      <c r="A6" s="397"/>
      <c r="B6" s="168" t="s">
        <v>147</v>
      </c>
      <c r="C6" s="168" t="s">
        <v>147</v>
      </c>
      <c r="D6" s="168" t="s">
        <v>240</v>
      </c>
      <c r="E6" s="168" t="s">
        <v>240</v>
      </c>
      <c r="F6" s="169" t="s">
        <v>60</v>
      </c>
      <c r="G6" s="169" t="s">
        <v>100</v>
      </c>
      <c r="H6" s="169" t="s">
        <v>100</v>
      </c>
      <c r="I6" s="169" t="s">
        <v>28</v>
      </c>
      <c r="J6" s="169" t="s">
        <v>28</v>
      </c>
      <c r="K6" s="169" t="s">
        <v>148</v>
      </c>
      <c r="L6" s="169" t="s">
        <v>148</v>
      </c>
      <c r="M6" s="13"/>
    </row>
    <row r="7" spans="1:13" ht="69" customHeight="1" x14ac:dyDescent="0.3">
      <c r="A7" s="397"/>
      <c r="B7" s="168" t="s">
        <v>334</v>
      </c>
      <c r="C7" s="168" t="s">
        <v>210</v>
      </c>
      <c r="D7" s="168" t="s">
        <v>262</v>
      </c>
      <c r="E7" s="168" t="s">
        <v>343</v>
      </c>
      <c r="F7" s="169" t="s">
        <v>388</v>
      </c>
      <c r="G7" s="169" t="s">
        <v>294</v>
      </c>
      <c r="H7" s="169" t="s">
        <v>101</v>
      </c>
      <c r="I7" s="169" t="s">
        <v>64</v>
      </c>
      <c r="J7" s="169" t="s">
        <v>335</v>
      </c>
      <c r="K7" s="169" t="s">
        <v>433</v>
      </c>
      <c r="L7" s="169" t="s">
        <v>211</v>
      </c>
      <c r="M7" s="14"/>
    </row>
    <row r="8" spans="1:13" ht="43.5" customHeight="1" x14ac:dyDescent="0.3">
      <c r="A8" s="15" t="s">
        <v>19</v>
      </c>
      <c r="B8" s="16">
        <v>4.2500000000000003E-2</v>
      </c>
      <c r="C8" s="16">
        <v>4.2500000000000003E-2</v>
      </c>
      <c r="D8" s="167">
        <v>4.2500000000000003E-2</v>
      </c>
      <c r="E8" s="167">
        <v>4.2500000000000003E-2</v>
      </c>
      <c r="F8" s="16">
        <v>4.2500000000000003E-2</v>
      </c>
      <c r="G8" s="16">
        <v>4.2500000000000003E-2</v>
      </c>
      <c r="H8" s="16">
        <v>4.2500000000000003E-2</v>
      </c>
      <c r="I8" s="16">
        <v>4.2500000000000003E-2</v>
      </c>
      <c r="J8" s="16">
        <v>4.2500000000000003E-2</v>
      </c>
      <c r="K8" s="16">
        <v>4.2500000000000003E-2</v>
      </c>
      <c r="L8" s="16">
        <v>4.2500000000000003E-2</v>
      </c>
      <c r="M8" s="17"/>
    </row>
    <row r="9" spans="1:13" ht="15.6" x14ac:dyDescent="0.3">
      <c r="A9" s="18" t="s">
        <v>16</v>
      </c>
      <c r="B9" s="49" t="s">
        <v>35</v>
      </c>
      <c r="C9" s="49" t="s">
        <v>35</v>
      </c>
      <c r="D9" s="143" t="s">
        <v>36</v>
      </c>
      <c r="E9" s="143" t="s">
        <v>36</v>
      </c>
      <c r="F9" s="49" t="s">
        <v>35</v>
      </c>
      <c r="G9" s="49" t="s">
        <v>35</v>
      </c>
      <c r="H9" s="49" t="s">
        <v>35</v>
      </c>
      <c r="I9" s="49" t="s">
        <v>36</v>
      </c>
      <c r="J9" s="49" t="s">
        <v>36</v>
      </c>
      <c r="K9" s="49" t="s">
        <v>36</v>
      </c>
      <c r="L9" s="49" t="s">
        <v>36</v>
      </c>
      <c r="M9" s="19"/>
    </row>
    <row r="10" spans="1:13" ht="15.6" x14ac:dyDescent="0.3">
      <c r="A10" s="20" t="s">
        <v>29</v>
      </c>
      <c r="B10" s="35">
        <v>499622</v>
      </c>
      <c r="C10" s="35">
        <v>500000</v>
      </c>
      <c r="D10" s="35">
        <v>499974.93</v>
      </c>
      <c r="E10" s="35">
        <v>498760</v>
      </c>
      <c r="F10" s="35">
        <v>500000</v>
      </c>
      <c r="G10" s="35">
        <v>500000</v>
      </c>
      <c r="H10" s="35">
        <v>500000</v>
      </c>
      <c r="I10" s="35">
        <v>500000</v>
      </c>
      <c r="J10" s="35">
        <v>500000</v>
      </c>
      <c r="K10" s="35">
        <v>500000</v>
      </c>
      <c r="L10" s="35">
        <v>500000</v>
      </c>
      <c r="M10" s="19"/>
    </row>
    <row r="11" spans="1:13" ht="15.6" x14ac:dyDescent="0.3">
      <c r="A11" s="20" t="s">
        <v>24</v>
      </c>
      <c r="B11" s="35">
        <v>322000</v>
      </c>
      <c r="C11" s="35">
        <v>500000</v>
      </c>
      <c r="D11" s="35">
        <v>357000</v>
      </c>
      <c r="E11" s="35">
        <v>296000</v>
      </c>
      <c r="F11" s="37" t="s">
        <v>88</v>
      </c>
      <c r="G11" s="28">
        <v>505000</v>
      </c>
      <c r="H11" s="28" t="s">
        <v>88</v>
      </c>
      <c r="I11" s="35">
        <v>500000</v>
      </c>
      <c r="J11" s="35">
        <v>500000</v>
      </c>
      <c r="K11" s="37" t="s">
        <v>88</v>
      </c>
      <c r="L11" s="37" t="s">
        <v>88</v>
      </c>
      <c r="M11" s="19"/>
    </row>
    <row r="12" spans="1:13" ht="31.2" x14ac:dyDescent="0.3">
      <c r="A12" s="20" t="s">
        <v>17</v>
      </c>
      <c r="B12" s="21" t="s">
        <v>268</v>
      </c>
      <c r="C12" s="21" t="s">
        <v>222</v>
      </c>
      <c r="D12" s="145" t="s">
        <v>94</v>
      </c>
      <c r="E12" s="145" t="s">
        <v>94</v>
      </c>
      <c r="F12" s="21" t="s">
        <v>399</v>
      </c>
      <c r="G12" s="77" t="s">
        <v>301</v>
      </c>
      <c r="H12" s="77" t="s">
        <v>302</v>
      </c>
      <c r="I12" s="21" t="s">
        <v>94</v>
      </c>
      <c r="J12" s="21" t="s">
        <v>303</v>
      </c>
      <c r="K12" s="21" t="s">
        <v>169</v>
      </c>
      <c r="L12" s="77" t="s">
        <v>229</v>
      </c>
      <c r="M12" s="19"/>
    </row>
    <row r="13" spans="1:13" ht="96.45" customHeight="1" x14ac:dyDescent="0.3">
      <c r="A13" s="23" t="s">
        <v>123</v>
      </c>
      <c r="B13" s="53">
        <v>7084</v>
      </c>
      <c r="C13" s="53" t="s">
        <v>234</v>
      </c>
      <c r="D13" s="53">
        <v>2856</v>
      </c>
      <c r="E13" s="53">
        <v>5328</v>
      </c>
      <c r="F13" s="24">
        <v>7500</v>
      </c>
      <c r="G13" s="24">
        <v>7000</v>
      </c>
      <c r="H13" s="53">
        <v>2500</v>
      </c>
      <c r="I13" s="53">
        <v>6204</v>
      </c>
      <c r="J13" s="91" t="s">
        <v>339</v>
      </c>
      <c r="K13" s="24">
        <v>6540</v>
      </c>
      <c r="L13" s="24">
        <v>4320</v>
      </c>
      <c r="M13" s="25"/>
    </row>
    <row r="14" spans="1:13" ht="128.55000000000001" customHeight="1" x14ac:dyDescent="0.3">
      <c r="A14" s="23" t="s">
        <v>122</v>
      </c>
      <c r="B14" s="35" t="s">
        <v>274</v>
      </c>
      <c r="C14" s="139" t="s">
        <v>235</v>
      </c>
      <c r="D14" s="146">
        <v>18921</v>
      </c>
      <c r="E14" s="146">
        <v>17760</v>
      </c>
      <c r="F14" s="164" t="s">
        <v>436</v>
      </c>
      <c r="G14" s="164" t="s">
        <v>304</v>
      </c>
      <c r="H14" s="35">
        <v>17000</v>
      </c>
      <c r="I14" s="35">
        <v>16332</v>
      </c>
      <c r="J14" s="91" t="s">
        <v>340</v>
      </c>
      <c r="K14" s="24">
        <v>18750</v>
      </c>
      <c r="L14" s="24">
        <v>18750</v>
      </c>
      <c r="M14" s="25"/>
    </row>
    <row r="15" spans="1:13" ht="90.6" customHeight="1" x14ac:dyDescent="0.3">
      <c r="A15" s="42" t="s">
        <v>127</v>
      </c>
      <c r="B15" s="50">
        <f>B13/B10</f>
        <v>1.4178719111648407E-2</v>
      </c>
      <c r="C15" s="50" t="s">
        <v>236</v>
      </c>
      <c r="D15" s="44">
        <f t="shared" ref="D15:I15" si="0">D13/D10</f>
        <v>5.7122864140408004E-3</v>
      </c>
      <c r="E15" s="44">
        <f t="shared" ref="E15" si="1">E13/E10</f>
        <v>1.0682492581602374E-2</v>
      </c>
      <c r="F15" s="44">
        <f t="shared" si="0"/>
        <v>1.4999999999999999E-2</v>
      </c>
      <c r="G15" s="44">
        <f t="shared" si="0"/>
        <v>1.4E-2</v>
      </c>
      <c r="H15" s="50">
        <f t="shared" si="0"/>
        <v>5.0000000000000001E-3</v>
      </c>
      <c r="I15" s="44">
        <f t="shared" si="0"/>
        <v>1.2408000000000001E-2</v>
      </c>
      <c r="J15" s="92" t="s">
        <v>341</v>
      </c>
      <c r="K15" s="44">
        <f>K13/K10</f>
        <v>1.308E-2</v>
      </c>
      <c r="L15" s="44">
        <f>L13/L10</f>
        <v>8.6400000000000001E-3</v>
      </c>
      <c r="M15" s="25"/>
    </row>
    <row r="16" spans="1:13" ht="115.95" customHeight="1" x14ac:dyDescent="0.3">
      <c r="A16" s="42" t="s">
        <v>128</v>
      </c>
      <c r="B16" s="50" t="s">
        <v>330</v>
      </c>
      <c r="C16" s="50" t="s">
        <v>292</v>
      </c>
      <c r="D16" s="59">
        <f>D14/D10</f>
        <v>3.78438974930203E-2</v>
      </c>
      <c r="E16" s="50">
        <f>E14/E10</f>
        <v>3.5608308605341248E-2</v>
      </c>
      <c r="F16" s="50" t="s">
        <v>400</v>
      </c>
      <c r="G16" s="50" t="s">
        <v>305</v>
      </c>
      <c r="H16" s="50">
        <f>H14/H10</f>
        <v>3.4000000000000002E-2</v>
      </c>
      <c r="I16" s="50">
        <f t="shared" ref="I16:L16" si="2">I14/I10</f>
        <v>3.2663999999999999E-2</v>
      </c>
      <c r="J16" s="50" t="s">
        <v>342</v>
      </c>
      <c r="K16" s="50">
        <f t="shared" ref="K16" si="3">K14/K10</f>
        <v>3.7499999999999999E-2</v>
      </c>
      <c r="L16" s="50">
        <f t="shared" si="2"/>
        <v>3.7499999999999999E-2</v>
      </c>
      <c r="M16" s="25"/>
    </row>
    <row r="17" spans="1:13" ht="51" customHeight="1" x14ac:dyDescent="0.3">
      <c r="A17" s="23" t="s">
        <v>106</v>
      </c>
      <c r="B17" s="35">
        <v>399697</v>
      </c>
      <c r="C17" s="35">
        <v>400000</v>
      </c>
      <c r="D17" s="35">
        <v>399979</v>
      </c>
      <c r="E17" s="35">
        <v>399008</v>
      </c>
      <c r="F17" s="24">
        <v>400000</v>
      </c>
      <c r="G17" s="24">
        <v>400000</v>
      </c>
      <c r="H17" s="35">
        <v>400000</v>
      </c>
      <c r="I17" s="35">
        <v>400000</v>
      </c>
      <c r="J17" s="35">
        <v>400000</v>
      </c>
      <c r="K17" s="24">
        <v>400000</v>
      </c>
      <c r="L17" s="24">
        <v>400000</v>
      </c>
      <c r="M17" s="25"/>
    </row>
    <row r="18" spans="1:13" ht="70.349999999999994" customHeight="1" x14ac:dyDescent="0.3">
      <c r="A18" s="42" t="s">
        <v>107</v>
      </c>
      <c r="B18" s="51">
        <f t="shared" ref="B18" si="4">B17/B10</f>
        <v>0.79999879909211369</v>
      </c>
      <c r="C18" s="51">
        <v>0.8</v>
      </c>
      <c r="D18" s="43">
        <f t="shared" ref="D18:E18" si="5">D17/D10</f>
        <v>0.79999811190533099</v>
      </c>
      <c r="E18" s="43">
        <f t="shared" si="5"/>
        <v>0.8</v>
      </c>
      <c r="F18" s="43">
        <f t="shared" ref="F18" si="6">F17/F10</f>
        <v>0.8</v>
      </c>
      <c r="G18" s="43">
        <f>G17/G10</f>
        <v>0.8</v>
      </c>
      <c r="H18" s="51">
        <f t="shared" ref="H18:L18" si="7">H17/H10</f>
        <v>0.8</v>
      </c>
      <c r="I18" s="43">
        <f t="shared" si="7"/>
        <v>0.8</v>
      </c>
      <c r="J18" s="43">
        <f t="shared" si="7"/>
        <v>0.8</v>
      </c>
      <c r="K18" s="43">
        <f t="shared" ref="K18" si="8">K17/K10</f>
        <v>0.8</v>
      </c>
      <c r="L18" s="43">
        <f t="shared" si="7"/>
        <v>0.8</v>
      </c>
      <c r="M18" s="25"/>
    </row>
    <row r="19" spans="1:13" ht="79.8" customHeight="1" x14ac:dyDescent="0.3">
      <c r="A19" s="34" t="s">
        <v>25</v>
      </c>
      <c r="B19" s="156" t="s">
        <v>269</v>
      </c>
      <c r="C19" s="119" t="s">
        <v>223</v>
      </c>
      <c r="D19" s="41" t="s">
        <v>77</v>
      </c>
      <c r="E19" s="41" t="s">
        <v>77</v>
      </c>
      <c r="F19" s="156" t="s">
        <v>269</v>
      </c>
      <c r="G19" s="41" t="s">
        <v>306</v>
      </c>
      <c r="H19" s="78" t="s">
        <v>104</v>
      </c>
      <c r="I19" s="41" t="s">
        <v>83</v>
      </c>
      <c r="J19" s="41" t="s">
        <v>125</v>
      </c>
      <c r="K19" s="41" t="s">
        <v>89</v>
      </c>
      <c r="L19" s="41" t="s">
        <v>230</v>
      </c>
      <c r="M19" s="30"/>
    </row>
    <row r="20" spans="1:13" ht="53.55" customHeight="1" x14ac:dyDescent="0.3">
      <c r="A20" s="36" t="s">
        <v>30</v>
      </c>
      <c r="B20" s="28">
        <v>504617</v>
      </c>
      <c r="C20" s="28">
        <v>505000</v>
      </c>
      <c r="D20" s="28">
        <v>504974</v>
      </c>
      <c r="E20" s="28">
        <v>503747</v>
      </c>
      <c r="F20" s="28">
        <v>525000</v>
      </c>
      <c r="G20" s="28">
        <v>505000</v>
      </c>
      <c r="H20" s="28">
        <v>505000</v>
      </c>
      <c r="I20" s="28">
        <v>525000</v>
      </c>
      <c r="J20" s="28">
        <v>525000</v>
      </c>
      <c r="K20" s="28">
        <v>525000</v>
      </c>
      <c r="L20" s="28">
        <v>525000</v>
      </c>
      <c r="M20" s="25"/>
    </row>
    <row r="21" spans="1:13" ht="54" customHeight="1" x14ac:dyDescent="0.3">
      <c r="A21" s="32" t="s">
        <v>32</v>
      </c>
      <c r="B21" s="33">
        <f t="shared" ref="B21" si="9">B20/B10</f>
        <v>1.0099975581539644</v>
      </c>
      <c r="C21" s="33">
        <f t="shared" ref="C21:L21" si="10">C20/C10</f>
        <v>1.01</v>
      </c>
      <c r="D21" s="33">
        <f t="shared" si="10"/>
        <v>1.0099986413318764</v>
      </c>
      <c r="E21" s="33">
        <f t="shared" si="10"/>
        <v>1.0099987970166011</v>
      </c>
      <c r="F21" s="40">
        <f t="shared" ref="F21" si="11">F20/F10</f>
        <v>1.05</v>
      </c>
      <c r="G21" s="33">
        <f t="shared" si="10"/>
        <v>1.01</v>
      </c>
      <c r="H21" s="33">
        <f t="shared" si="10"/>
        <v>1.01</v>
      </c>
      <c r="I21" s="40">
        <f t="shared" si="10"/>
        <v>1.05</v>
      </c>
      <c r="J21" s="40">
        <f t="shared" si="10"/>
        <v>1.05</v>
      </c>
      <c r="K21" s="40">
        <f t="shared" ref="K21" si="12">K20/K10</f>
        <v>1.05</v>
      </c>
      <c r="L21" s="40">
        <f t="shared" si="10"/>
        <v>1.05</v>
      </c>
      <c r="M21" s="25"/>
    </row>
    <row r="22" spans="1:13" ht="15.6" x14ac:dyDescent="0.3">
      <c r="A22" s="72" t="s">
        <v>86</v>
      </c>
      <c r="B22" s="60"/>
      <c r="C22" s="60"/>
      <c r="D22" s="60"/>
      <c r="E22" s="60"/>
      <c r="F22" s="61"/>
      <c r="G22" s="60"/>
      <c r="H22" s="60"/>
      <c r="I22" s="60"/>
      <c r="J22" s="60"/>
      <c r="K22" s="60"/>
      <c r="L22" s="60"/>
      <c r="M22" s="25"/>
    </row>
    <row r="23" spans="1:13" ht="15.6" x14ac:dyDescent="0.3">
      <c r="A23" s="394" t="s">
        <v>38</v>
      </c>
      <c r="B23" s="395"/>
      <c r="C23" s="395"/>
      <c r="D23" s="395"/>
      <c r="E23" s="395"/>
      <c r="F23" s="395"/>
      <c r="G23" s="395"/>
      <c r="H23" s="395"/>
      <c r="I23" s="395"/>
      <c r="J23" s="395"/>
      <c r="K23" s="395"/>
      <c r="L23" s="395"/>
      <c r="M23" s="25"/>
    </row>
    <row r="24" spans="1:13" ht="36" customHeight="1" x14ac:dyDescent="0.3">
      <c r="A24" s="45" t="s">
        <v>39</v>
      </c>
      <c r="B24" s="47">
        <v>535794</v>
      </c>
      <c r="C24" s="47">
        <v>400000</v>
      </c>
      <c r="D24" s="47">
        <v>533523</v>
      </c>
      <c r="E24" s="47">
        <v>532226</v>
      </c>
      <c r="F24" s="29">
        <v>525000</v>
      </c>
      <c r="G24" s="46">
        <v>400000</v>
      </c>
      <c r="H24" s="47">
        <v>505000</v>
      </c>
      <c r="I24" s="47">
        <v>525000</v>
      </c>
      <c r="J24" s="46">
        <v>400000</v>
      </c>
      <c r="K24" s="46">
        <v>400000</v>
      </c>
      <c r="L24" s="46">
        <v>525000</v>
      </c>
      <c r="M24" s="25"/>
    </row>
    <row r="25" spans="1:13" ht="15.6" x14ac:dyDescent="0.3">
      <c r="A25" s="27" t="s">
        <v>40</v>
      </c>
      <c r="B25" s="28">
        <v>553680</v>
      </c>
      <c r="C25" s="28">
        <v>425650</v>
      </c>
      <c r="D25" s="28">
        <v>548522</v>
      </c>
      <c r="E25" s="28">
        <v>547188</v>
      </c>
      <c r="F25" s="29">
        <v>560000</v>
      </c>
      <c r="G25" s="29">
        <v>426500</v>
      </c>
      <c r="H25" s="28">
        <v>571650</v>
      </c>
      <c r="I25" s="29">
        <v>732694</v>
      </c>
      <c r="J25" s="29">
        <v>413822</v>
      </c>
      <c r="K25" s="29">
        <v>480000</v>
      </c>
      <c r="L25" s="29">
        <v>540000</v>
      </c>
      <c r="M25" s="25"/>
    </row>
    <row r="26" spans="1:13" ht="15.6" x14ac:dyDescent="0.3">
      <c r="A26" s="32" t="s">
        <v>33</v>
      </c>
      <c r="B26" s="33">
        <f>B24/B10</f>
        <v>1.0723987334424825</v>
      </c>
      <c r="C26" s="33">
        <f>C24/C10</f>
        <v>0.8</v>
      </c>
      <c r="D26" s="33">
        <f>D24/D10</f>
        <v>1.0670995043691491</v>
      </c>
      <c r="E26" s="33">
        <f>E24/E10</f>
        <v>1.0670984040420242</v>
      </c>
      <c r="F26" s="40">
        <f t="shared" ref="F26" si="13">F24/F10</f>
        <v>1.05</v>
      </c>
      <c r="G26" s="33">
        <f>G24/G10</f>
        <v>0.8</v>
      </c>
      <c r="H26" s="33">
        <f>H24/H10</f>
        <v>1.01</v>
      </c>
      <c r="I26" s="33">
        <f t="shared" ref="I26:L26" si="14">I24/I10</f>
        <v>1.05</v>
      </c>
      <c r="J26" s="33">
        <f t="shared" ref="J26" si="15">J24/J10</f>
        <v>0.8</v>
      </c>
      <c r="K26" s="33">
        <f t="shared" ref="K26" si="16">K24/K10</f>
        <v>0.8</v>
      </c>
      <c r="L26" s="33">
        <f t="shared" si="14"/>
        <v>1.05</v>
      </c>
      <c r="M26" s="25"/>
    </row>
    <row r="27" spans="1:13" ht="15.6" x14ac:dyDescent="0.3">
      <c r="A27" s="32" t="s">
        <v>37</v>
      </c>
      <c r="B27" s="33">
        <f>B25/B10</f>
        <v>1.1081977975349364</v>
      </c>
      <c r="C27" s="33">
        <f>C25/C10</f>
        <v>0.85129999999999995</v>
      </c>
      <c r="D27" s="33">
        <f>D25/D10</f>
        <v>1.0970990085442884</v>
      </c>
      <c r="E27" s="33">
        <f>E25/E10</f>
        <v>1.0970968000641592</v>
      </c>
      <c r="F27" s="33">
        <f t="shared" ref="F27" si="17">F25/F10</f>
        <v>1.1200000000000001</v>
      </c>
      <c r="G27" s="33">
        <f>G25/G10</f>
        <v>0.85299999999999998</v>
      </c>
      <c r="H27" s="33">
        <f>H25/H10</f>
        <v>1.1433</v>
      </c>
      <c r="I27" s="33">
        <f t="shared" ref="I27:L27" si="18">I25/I10</f>
        <v>1.4653879999999999</v>
      </c>
      <c r="J27" s="33">
        <f t="shared" ref="J27" si="19">J25/J10</f>
        <v>0.82764400000000005</v>
      </c>
      <c r="K27" s="33">
        <f t="shared" ref="K27" si="20">K25/K10</f>
        <v>0.96</v>
      </c>
      <c r="L27" s="33">
        <f t="shared" si="18"/>
        <v>1.08</v>
      </c>
      <c r="M27" s="25"/>
    </row>
    <row r="28" spans="1:13" ht="15.75" customHeight="1" x14ac:dyDescent="0.3">
      <c r="A28" s="392" t="s">
        <v>75</v>
      </c>
      <c r="B28" s="393"/>
      <c r="C28" s="393"/>
      <c r="D28" s="393"/>
      <c r="E28" s="393"/>
      <c r="F28" s="393"/>
      <c r="G28" s="393"/>
      <c r="H28" s="393"/>
      <c r="I28" s="393"/>
      <c r="J28" s="393"/>
      <c r="K28" s="393"/>
      <c r="L28" s="393"/>
      <c r="M28" s="25"/>
    </row>
    <row r="29" spans="1:13" ht="33.6" customHeight="1" x14ac:dyDescent="0.3">
      <c r="A29" s="45" t="s">
        <v>41</v>
      </c>
      <c r="B29" s="46">
        <f>33*B13</f>
        <v>233772</v>
      </c>
      <c r="C29" s="46">
        <v>223318</v>
      </c>
      <c r="D29" s="46">
        <v>88536</v>
      </c>
      <c r="E29" s="29">
        <v>165168</v>
      </c>
      <c r="F29" s="29">
        <v>247500</v>
      </c>
      <c r="G29" s="46">
        <v>238000</v>
      </c>
      <c r="H29" s="46">
        <v>82500</v>
      </c>
      <c r="I29" s="46">
        <f>31*I13</f>
        <v>192324</v>
      </c>
      <c r="J29" s="46">
        <v>200016</v>
      </c>
      <c r="K29" s="46">
        <v>209280</v>
      </c>
      <c r="L29" s="46">
        <v>133920</v>
      </c>
      <c r="M29" s="25"/>
    </row>
    <row r="30" spans="1:13" ht="22.5" customHeight="1" x14ac:dyDescent="0.3">
      <c r="A30" s="20" t="s">
        <v>69</v>
      </c>
      <c r="B30" s="53">
        <v>535794</v>
      </c>
      <c r="C30" s="53">
        <v>400000</v>
      </c>
      <c r="D30" s="53">
        <v>533523</v>
      </c>
      <c r="E30" s="53">
        <v>532226</v>
      </c>
      <c r="F30" s="29">
        <v>525000</v>
      </c>
      <c r="G30" s="29">
        <v>400000</v>
      </c>
      <c r="H30" s="53">
        <v>400000</v>
      </c>
      <c r="I30" s="26">
        <v>400000</v>
      </c>
      <c r="J30" s="26">
        <v>400000</v>
      </c>
      <c r="K30" s="26">
        <v>400000</v>
      </c>
      <c r="L30" s="26">
        <v>400000</v>
      </c>
      <c r="M30" s="25"/>
    </row>
    <row r="31" spans="1:13" ht="15.6" x14ac:dyDescent="0.3">
      <c r="A31" s="34" t="s">
        <v>34</v>
      </c>
      <c r="B31" s="120">
        <f t="shared" ref="B31" si="21">B29/B10</f>
        <v>0.46789773068439738</v>
      </c>
      <c r="C31" s="120">
        <f t="shared" ref="C31:L31" si="22">C29/C10</f>
        <v>0.44663599999999998</v>
      </c>
      <c r="D31" s="120">
        <f t="shared" ref="D31:E31" si="23">D29/D10</f>
        <v>0.1770808788352648</v>
      </c>
      <c r="E31" s="120">
        <f t="shared" si="23"/>
        <v>0.3311572700296736</v>
      </c>
      <c r="F31" s="120">
        <f t="shared" ref="F31:G31" si="24">F29/F10</f>
        <v>0.495</v>
      </c>
      <c r="G31" s="120">
        <f t="shared" si="24"/>
        <v>0.47599999999999998</v>
      </c>
      <c r="H31" s="120">
        <f t="shared" si="22"/>
        <v>0.16500000000000001</v>
      </c>
      <c r="I31" s="120">
        <f t="shared" si="22"/>
        <v>0.38464799999999999</v>
      </c>
      <c r="J31" s="120">
        <f t="shared" ref="J31" si="25">J29/J10</f>
        <v>0.400032</v>
      </c>
      <c r="K31" s="120">
        <f t="shared" ref="K31" si="26">K29/K10</f>
        <v>0.41855999999999999</v>
      </c>
      <c r="L31" s="120">
        <f t="shared" si="22"/>
        <v>0.26784000000000002</v>
      </c>
      <c r="M31" s="25"/>
    </row>
    <row r="32" spans="1:13" ht="15.6" x14ac:dyDescent="0.3">
      <c r="A32" s="34" t="s">
        <v>70</v>
      </c>
      <c r="B32" s="120">
        <f t="shared" ref="B32" si="27">(B30+B29)/B10</f>
        <v>1.5402964641268799</v>
      </c>
      <c r="C32" s="120">
        <f t="shared" ref="C32:L32" si="28">(C30+C29)/C10</f>
        <v>1.2466360000000001</v>
      </c>
      <c r="D32" s="120">
        <f t="shared" ref="D32:E32" si="29">(D30+D29)/D10</f>
        <v>1.2441803832044138</v>
      </c>
      <c r="E32" s="120">
        <f t="shared" si="29"/>
        <v>1.3982556740716978</v>
      </c>
      <c r="F32" s="33">
        <f t="shared" ref="F32:G32" si="30">(F30+F29)/F10</f>
        <v>1.5449999999999999</v>
      </c>
      <c r="G32" s="120">
        <f t="shared" si="30"/>
        <v>1.276</v>
      </c>
      <c r="H32" s="120">
        <f t="shared" si="28"/>
        <v>0.96499999999999997</v>
      </c>
      <c r="I32" s="120">
        <f t="shared" si="28"/>
        <v>1.1846479999999999</v>
      </c>
      <c r="J32" s="120">
        <f t="shared" ref="J32" si="31">(J30+J29)/J10</f>
        <v>1.200032</v>
      </c>
      <c r="K32" s="120">
        <f t="shared" ref="K32" si="32">(K30+K29)/K10</f>
        <v>1.2185600000000001</v>
      </c>
      <c r="L32" s="120">
        <f t="shared" si="28"/>
        <v>1.0678399999999999</v>
      </c>
      <c r="M32" s="70"/>
    </row>
    <row r="33" spans="1:13" ht="15.75" customHeight="1" x14ac:dyDescent="0.3">
      <c r="A33" s="392" t="s">
        <v>76</v>
      </c>
      <c r="B33" s="393"/>
      <c r="C33" s="393"/>
      <c r="D33" s="393"/>
      <c r="E33" s="393"/>
      <c r="F33" s="393"/>
      <c r="G33" s="393"/>
      <c r="H33" s="393"/>
      <c r="I33" s="393"/>
      <c r="J33" s="393"/>
      <c r="K33" s="393"/>
      <c r="L33" s="393"/>
      <c r="M33" s="25"/>
    </row>
    <row r="34" spans="1:13" ht="31.2" x14ac:dyDescent="0.3">
      <c r="A34" s="15" t="s">
        <v>72</v>
      </c>
      <c r="B34" s="35">
        <f>33*16744</f>
        <v>552552</v>
      </c>
      <c r="C34" s="52">
        <v>603318</v>
      </c>
      <c r="D34" s="52">
        <f>$D$14*(D29/D13)</f>
        <v>586551</v>
      </c>
      <c r="E34" s="52">
        <v>550560</v>
      </c>
      <c r="F34" s="29">
        <f>965612-386362</f>
        <v>579250</v>
      </c>
      <c r="G34" s="46">
        <v>623000</v>
      </c>
      <c r="H34" s="46">
        <v>561000</v>
      </c>
      <c r="I34" s="46">
        <f>31*I14</f>
        <v>506292</v>
      </c>
      <c r="J34" s="46">
        <v>577500</v>
      </c>
      <c r="K34" s="46">
        <v>600000</v>
      </c>
      <c r="L34" s="46">
        <v>581250</v>
      </c>
      <c r="M34" s="25"/>
    </row>
    <row r="35" spans="1:13" ht="15.6" x14ac:dyDescent="0.3">
      <c r="A35" s="20" t="s">
        <v>42</v>
      </c>
      <c r="B35" s="35">
        <v>553680</v>
      </c>
      <c r="C35" s="35">
        <v>424400</v>
      </c>
      <c r="D35" s="35">
        <v>548522</v>
      </c>
      <c r="E35" s="35">
        <v>547188</v>
      </c>
      <c r="F35" s="29">
        <v>540000</v>
      </c>
      <c r="G35" s="29">
        <v>426500</v>
      </c>
      <c r="H35" s="35">
        <v>517400</v>
      </c>
      <c r="I35" s="26">
        <v>729323</v>
      </c>
      <c r="J35" s="26">
        <v>413822</v>
      </c>
      <c r="K35" s="29">
        <v>480000</v>
      </c>
      <c r="L35" s="29">
        <v>530000</v>
      </c>
      <c r="M35" s="25"/>
    </row>
    <row r="36" spans="1:13" ht="15.6" x14ac:dyDescent="0.3">
      <c r="A36" s="34" t="s">
        <v>43</v>
      </c>
      <c r="B36" s="33">
        <f t="shared" ref="B36" si="33">B34/B10</f>
        <v>1.1059400907085757</v>
      </c>
      <c r="C36" s="33">
        <f t="shared" ref="C36:L36" si="34">C34/C10</f>
        <v>1.206636</v>
      </c>
      <c r="D36" s="33">
        <f>D34/D10</f>
        <v>1.1731608222836294</v>
      </c>
      <c r="E36" s="33">
        <f>E34/E10</f>
        <v>1.1038575667655786</v>
      </c>
      <c r="F36" s="33">
        <f t="shared" ref="F36:G36" si="35">F34/F10</f>
        <v>1.1585000000000001</v>
      </c>
      <c r="G36" s="33">
        <f t="shared" si="35"/>
        <v>1.246</v>
      </c>
      <c r="H36" s="33">
        <f t="shared" si="34"/>
        <v>1.1220000000000001</v>
      </c>
      <c r="I36" s="33">
        <f t="shared" si="34"/>
        <v>1.0125839999999999</v>
      </c>
      <c r="J36" s="33">
        <f t="shared" ref="J36" si="36">J34/J10</f>
        <v>1.155</v>
      </c>
      <c r="K36" s="33">
        <f t="shared" ref="K36" si="37">K34/K10</f>
        <v>1.2</v>
      </c>
      <c r="L36" s="33">
        <f t="shared" si="34"/>
        <v>1.1625000000000001</v>
      </c>
      <c r="M36" s="25"/>
    </row>
    <row r="37" spans="1:13" ht="15.6" x14ac:dyDescent="0.3">
      <c r="A37" s="62" t="s">
        <v>71</v>
      </c>
      <c r="B37" s="33">
        <f t="shared" ref="B37" si="38">(B34+B35)/B10</f>
        <v>2.2141378882435121</v>
      </c>
      <c r="C37" s="33">
        <f t="shared" ref="C37:L37" si="39">(C34+C35)/C10</f>
        <v>2.0554359999999998</v>
      </c>
      <c r="D37" s="33">
        <f t="shared" si="39"/>
        <v>2.2702598308279178</v>
      </c>
      <c r="E37" s="33">
        <f t="shared" ref="E37" si="40">(E34+E35)/E10</f>
        <v>2.2009543668297376</v>
      </c>
      <c r="F37" s="33">
        <f t="shared" ref="F37:G37" si="41">(F34+F35)/F10</f>
        <v>2.2385000000000002</v>
      </c>
      <c r="G37" s="33">
        <f t="shared" si="41"/>
        <v>2.0990000000000002</v>
      </c>
      <c r="H37" s="33">
        <f t="shared" si="39"/>
        <v>2.1568000000000001</v>
      </c>
      <c r="I37" s="33">
        <f t="shared" si="39"/>
        <v>2.4712299999999998</v>
      </c>
      <c r="J37" s="33">
        <f t="shared" ref="J37" si="42">(J34+J35)/J10</f>
        <v>1.9826440000000001</v>
      </c>
      <c r="K37" s="33">
        <f t="shared" ref="K37" si="43">(K34+K35)/K10</f>
        <v>2.16</v>
      </c>
      <c r="L37" s="33">
        <f t="shared" si="39"/>
        <v>2.2225000000000001</v>
      </c>
      <c r="M37" s="71"/>
    </row>
    <row r="38" spans="1:13" ht="15.6" x14ac:dyDescent="0.3">
      <c r="A38" s="72" t="s">
        <v>87</v>
      </c>
      <c r="B38" s="60"/>
      <c r="C38" s="60"/>
      <c r="D38" s="60"/>
      <c r="E38" s="60"/>
      <c r="F38" s="61"/>
      <c r="G38" s="60"/>
      <c r="H38" s="60"/>
      <c r="I38" s="60"/>
      <c r="J38" s="60"/>
      <c r="K38" s="60"/>
      <c r="L38" s="60"/>
      <c r="M38" s="25"/>
    </row>
    <row r="39" spans="1:13" ht="15.6" x14ac:dyDescent="0.3">
      <c r="A39" s="394" t="s">
        <v>38</v>
      </c>
      <c r="B39" s="395"/>
      <c r="C39" s="395"/>
      <c r="D39" s="395"/>
      <c r="E39" s="395"/>
      <c r="F39" s="395"/>
      <c r="G39" s="395"/>
      <c r="H39" s="395"/>
      <c r="I39" s="395"/>
      <c r="J39" s="395"/>
      <c r="K39" s="395"/>
      <c r="L39" s="395"/>
      <c r="M39" s="25"/>
    </row>
    <row r="40" spans="1:13" ht="15.6" x14ac:dyDescent="0.3">
      <c r="A40" s="45" t="s">
        <v>39</v>
      </c>
      <c r="B40" s="47">
        <v>563223</v>
      </c>
      <c r="C40" s="47">
        <v>400000</v>
      </c>
      <c r="D40" s="47">
        <v>560821</v>
      </c>
      <c r="E40" s="47">
        <v>559459</v>
      </c>
      <c r="F40" s="29">
        <v>525000</v>
      </c>
      <c r="G40" s="46">
        <v>400000</v>
      </c>
      <c r="H40" s="47">
        <v>505000</v>
      </c>
      <c r="I40" s="47">
        <v>525000</v>
      </c>
      <c r="J40" s="47">
        <v>400000</v>
      </c>
      <c r="K40" s="46">
        <v>400000</v>
      </c>
      <c r="L40" s="46">
        <v>525000</v>
      </c>
      <c r="M40" s="25"/>
    </row>
    <row r="41" spans="1:13" ht="15.6" x14ac:dyDescent="0.3">
      <c r="A41" s="27" t="s">
        <v>40</v>
      </c>
      <c r="B41" s="28">
        <v>592550</v>
      </c>
      <c r="C41" s="28">
        <v>425650</v>
      </c>
      <c r="D41" s="28">
        <v>575820</v>
      </c>
      <c r="E41" s="28">
        <v>574421</v>
      </c>
      <c r="F41" s="29">
        <v>577500</v>
      </c>
      <c r="G41" s="29">
        <v>426500</v>
      </c>
      <c r="H41" s="28">
        <v>571650</v>
      </c>
      <c r="I41" s="29">
        <v>1065067</v>
      </c>
      <c r="J41" s="29">
        <v>500000</v>
      </c>
      <c r="K41" s="29">
        <v>705000</v>
      </c>
      <c r="L41" s="29">
        <v>550000</v>
      </c>
      <c r="M41" s="25"/>
    </row>
    <row r="42" spans="1:13" ht="15.6" x14ac:dyDescent="0.3">
      <c r="A42" s="32" t="s">
        <v>33</v>
      </c>
      <c r="B42" s="40">
        <f t="shared" ref="B42:L42" si="44">B40/B10</f>
        <v>1.1272982374675256</v>
      </c>
      <c r="C42" s="33">
        <f t="shared" ref="C42:D42" si="45">C40/C10</f>
        <v>0.8</v>
      </c>
      <c r="D42" s="33">
        <f t="shared" si="45"/>
        <v>1.1216982419498513</v>
      </c>
      <c r="E42" s="33">
        <f t="shared" ref="E42" si="46">E40/E10</f>
        <v>1.1216998155425455</v>
      </c>
      <c r="F42" s="33">
        <f t="shared" ref="F42:G42" si="47">F40/F10</f>
        <v>1.05</v>
      </c>
      <c r="G42" s="33">
        <f t="shared" si="47"/>
        <v>0.8</v>
      </c>
      <c r="H42" s="33">
        <f t="shared" si="44"/>
        <v>1.01</v>
      </c>
      <c r="I42" s="33">
        <f t="shared" si="44"/>
        <v>1.05</v>
      </c>
      <c r="J42" s="33">
        <f t="shared" ref="J42" si="48">J40/J10</f>
        <v>0.8</v>
      </c>
      <c r="K42" s="33">
        <f t="shared" ref="K42" si="49">K40/K10</f>
        <v>0.8</v>
      </c>
      <c r="L42" s="33">
        <f t="shared" si="44"/>
        <v>1.05</v>
      </c>
      <c r="M42" s="25"/>
    </row>
    <row r="43" spans="1:13" ht="15.6" x14ac:dyDescent="0.3">
      <c r="A43" s="32" t="s">
        <v>37</v>
      </c>
      <c r="B43" s="33">
        <f t="shared" ref="B43:L43" si="50">B41/B10</f>
        <v>1.1859966134397604</v>
      </c>
      <c r="C43" s="33">
        <f t="shared" ref="C43:D43" si="51">C41/C10</f>
        <v>0.85129999999999995</v>
      </c>
      <c r="D43" s="33">
        <f t="shared" si="51"/>
        <v>1.1516977461249907</v>
      </c>
      <c r="E43" s="33">
        <f t="shared" ref="E43" si="52">E41/E10</f>
        <v>1.1516982115646803</v>
      </c>
      <c r="F43" s="33">
        <f t="shared" ref="F43:G43" si="53">F41/F10</f>
        <v>1.155</v>
      </c>
      <c r="G43" s="33">
        <f t="shared" si="53"/>
        <v>0.85299999999999998</v>
      </c>
      <c r="H43" s="33">
        <f t="shared" si="50"/>
        <v>1.1433</v>
      </c>
      <c r="I43" s="33">
        <f t="shared" si="50"/>
        <v>2.130134</v>
      </c>
      <c r="J43" s="33">
        <f t="shared" ref="J43" si="54">J41/J10</f>
        <v>1</v>
      </c>
      <c r="K43" s="33">
        <f t="shared" ref="K43" si="55">K41/K10</f>
        <v>1.41</v>
      </c>
      <c r="L43" s="33">
        <f t="shared" si="50"/>
        <v>1.1000000000000001</v>
      </c>
      <c r="M43" s="25"/>
    </row>
    <row r="44" spans="1:13" ht="15.75" customHeight="1" x14ac:dyDescent="0.3">
      <c r="A44" s="392" t="s">
        <v>75</v>
      </c>
      <c r="B44" s="393"/>
      <c r="C44" s="393"/>
      <c r="D44" s="393"/>
      <c r="E44" s="393"/>
      <c r="F44" s="393"/>
      <c r="G44" s="393"/>
      <c r="H44" s="393"/>
      <c r="I44" s="393"/>
      <c r="J44" s="393"/>
      <c r="K44" s="393"/>
      <c r="L44" s="393"/>
      <c r="M44" s="25"/>
    </row>
    <row r="45" spans="1:13" ht="15.6" customHeight="1" x14ac:dyDescent="0.3">
      <c r="A45" s="45" t="s">
        <v>41</v>
      </c>
      <c r="B45" s="46">
        <f>53*B13</f>
        <v>375452</v>
      </c>
      <c r="C45" s="46">
        <v>360298</v>
      </c>
      <c r="D45" s="46">
        <v>145656</v>
      </c>
      <c r="E45" s="46">
        <v>271728</v>
      </c>
      <c r="F45" s="29">
        <v>397500</v>
      </c>
      <c r="G45" s="46">
        <v>378000</v>
      </c>
      <c r="H45" s="46">
        <v>132500</v>
      </c>
      <c r="I45" s="46">
        <f>51*I13</f>
        <v>316404</v>
      </c>
      <c r="J45" s="46">
        <v>320016</v>
      </c>
      <c r="K45" s="46">
        <v>340080</v>
      </c>
      <c r="L45" s="46">
        <v>220320</v>
      </c>
      <c r="M45" s="25"/>
    </row>
    <row r="46" spans="1:13" ht="15.6" x14ac:dyDescent="0.3">
      <c r="A46" s="20" t="s">
        <v>69</v>
      </c>
      <c r="B46" s="53">
        <v>563223</v>
      </c>
      <c r="C46" s="53">
        <v>400000</v>
      </c>
      <c r="D46" s="53">
        <v>560821</v>
      </c>
      <c r="E46" s="53">
        <v>559459</v>
      </c>
      <c r="F46" s="29">
        <v>525000</v>
      </c>
      <c r="G46" s="29">
        <v>400000</v>
      </c>
      <c r="H46" s="53">
        <v>400000</v>
      </c>
      <c r="I46" s="26">
        <v>400000</v>
      </c>
      <c r="J46" s="26">
        <v>400000</v>
      </c>
      <c r="K46" s="26">
        <v>400000</v>
      </c>
      <c r="L46" s="26">
        <v>400000</v>
      </c>
      <c r="M46" s="25"/>
    </row>
    <row r="47" spans="1:13" ht="15.6" x14ac:dyDescent="0.3">
      <c r="A47" s="34" t="s">
        <v>34</v>
      </c>
      <c r="B47" s="33">
        <f t="shared" ref="B47:L47" si="56">B45/B10</f>
        <v>0.75147211291736549</v>
      </c>
      <c r="C47" s="33">
        <f t="shared" ref="C47:D47" si="57">C45/C10</f>
        <v>0.72059600000000001</v>
      </c>
      <c r="D47" s="33">
        <f t="shared" si="57"/>
        <v>0.29132660711608083</v>
      </c>
      <c r="E47" s="33">
        <f t="shared" ref="E47" si="58">E45/E10</f>
        <v>0.54480712166172107</v>
      </c>
      <c r="F47" s="33">
        <f t="shared" ref="F47:G47" si="59">F45/F10</f>
        <v>0.79500000000000004</v>
      </c>
      <c r="G47" s="33">
        <f t="shared" si="59"/>
        <v>0.75600000000000001</v>
      </c>
      <c r="H47" s="33">
        <f t="shared" si="56"/>
        <v>0.26500000000000001</v>
      </c>
      <c r="I47" s="33">
        <f t="shared" si="56"/>
        <v>0.63280800000000004</v>
      </c>
      <c r="J47" s="33">
        <f t="shared" ref="J47" si="60">J45/J10</f>
        <v>0.64003200000000005</v>
      </c>
      <c r="K47" s="33">
        <f t="shared" ref="K47" si="61">K45/K10</f>
        <v>0.68015999999999999</v>
      </c>
      <c r="L47" s="33">
        <f t="shared" si="56"/>
        <v>0.44063999999999998</v>
      </c>
      <c r="M47" s="25"/>
    </row>
    <row r="48" spans="1:13" ht="15.6" x14ac:dyDescent="0.3">
      <c r="A48" s="34" t="s">
        <v>70</v>
      </c>
      <c r="B48" s="33">
        <f>(B46+B45)/B10</f>
        <v>1.8787703503848909</v>
      </c>
      <c r="C48" s="33">
        <f>(C46+C45)/C10</f>
        <v>1.5205960000000001</v>
      </c>
      <c r="D48" s="33">
        <f>(D46+D45)/D10</f>
        <v>1.4130248490659323</v>
      </c>
      <c r="E48" s="33">
        <f>(E46+E45)/E10</f>
        <v>1.6665069372042667</v>
      </c>
      <c r="F48" s="33">
        <f t="shared" ref="F48" si="62">(F46+F45)/F10</f>
        <v>1.845</v>
      </c>
      <c r="G48" s="33">
        <f>(G46+G45)/G10</f>
        <v>1.556</v>
      </c>
      <c r="H48" s="33">
        <f>(H46+H45)/H10</f>
        <v>1.0649999999999999</v>
      </c>
      <c r="I48" s="33">
        <f t="shared" ref="I48:L48" si="63">(I46+I45)/I10</f>
        <v>1.4328080000000001</v>
      </c>
      <c r="J48" s="33">
        <f t="shared" ref="J48" si="64">(J46+J45)/J10</f>
        <v>1.440032</v>
      </c>
      <c r="K48" s="33">
        <f t="shared" ref="K48" si="65">(K46+K45)/K10</f>
        <v>1.4801599999999999</v>
      </c>
      <c r="L48" s="33">
        <f t="shared" si="63"/>
        <v>1.24064</v>
      </c>
      <c r="M48" s="70"/>
    </row>
    <row r="49" spans="1:13" ht="15.6" x14ac:dyDescent="0.3">
      <c r="A49" s="392" t="s">
        <v>76</v>
      </c>
      <c r="B49" s="393"/>
      <c r="C49" s="393"/>
      <c r="D49" s="393"/>
      <c r="E49" s="393"/>
      <c r="F49" s="393"/>
      <c r="G49" s="393"/>
      <c r="H49" s="393"/>
      <c r="I49" s="393"/>
      <c r="J49" s="393"/>
      <c r="K49" s="393"/>
      <c r="L49" s="393"/>
      <c r="M49" s="25"/>
    </row>
    <row r="50" spans="1:13" ht="31.2" x14ac:dyDescent="0.3">
      <c r="A50" s="15" t="s">
        <v>72</v>
      </c>
      <c r="B50" s="52">
        <f>(52*16744)+18354</f>
        <v>889042</v>
      </c>
      <c r="C50" s="52">
        <v>978298</v>
      </c>
      <c r="D50" s="52">
        <f>(D45/D13)*D14</f>
        <v>964971</v>
      </c>
      <c r="E50" s="52">
        <v>905760</v>
      </c>
      <c r="F50" s="29">
        <f>2261257-1297007</f>
        <v>964250</v>
      </c>
      <c r="G50" s="46">
        <v>993000</v>
      </c>
      <c r="H50" s="52">
        <v>901000</v>
      </c>
      <c r="I50" s="46">
        <f>51*I14</f>
        <v>832932</v>
      </c>
      <c r="J50" s="46">
        <v>922500</v>
      </c>
      <c r="K50" s="46">
        <v>975000</v>
      </c>
      <c r="L50" s="46">
        <v>956250</v>
      </c>
      <c r="M50" s="25"/>
    </row>
    <row r="51" spans="1:13" ht="15.6" x14ac:dyDescent="0.3">
      <c r="A51" s="20" t="s">
        <v>42</v>
      </c>
      <c r="B51" s="35">
        <v>592550</v>
      </c>
      <c r="C51" s="35">
        <v>424400</v>
      </c>
      <c r="D51" s="35">
        <v>575820</v>
      </c>
      <c r="E51" s="28">
        <v>574421</v>
      </c>
      <c r="F51" s="29">
        <v>561750</v>
      </c>
      <c r="G51" s="29">
        <v>426500</v>
      </c>
      <c r="H51" s="35">
        <v>517400</v>
      </c>
      <c r="I51" s="26">
        <v>1060672</v>
      </c>
      <c r="J51" s="26">
        <v>500000</v>
      </c>
      <c r="K51" s="29">
        <v>705000</v>
      </c>
      <c r="L51" s="29">
        <v>545000</v>
      </c>
      <c r="M51" s="25"/>
    </row>
    <row r="52" spans="1:13" ht="15.6" x14ac:dyDescent="0.3">
      <c r="A52" s="34" t="s">
        <v>43</v>
      </c>
      <c r="B52" s="33">
        <f t="shared" ref="B52:L52" si="66">B50/B10</f>
        <v>1.779429248511875</v>
      </c>
      <c r="C52" s="33">
        <f t="shared" ref="C52:D52" si="67">C50/C10</f>
        <v>1.956596</v>
      </c>
      <c r="D52" s="33">
        <f t="shared" si="67"/>
        <v>1.9300387721440353</v>
      </c>
      <c r="E52" s="33">
        <f t="shared" ref="E52" si="68">E50/E10</f>
        <v>1.8160237388724036</v>
      </c>
      <c r="F52" s="33">
        <f t="shared" ref="F52:G52" si="69">F50/F10</f>
        <v>1.9285000000000001</v>
      </c>
      <c r="G52" s="33">
        <f t="shared" si="69"/>
        <v>1.986</v>
      </c>
      <c r="H52" s="33">
        <f t="shared" si="66"/>
        <v>1.802</v>
      </c>
      <c r="I52" s="33">
        <f t="shared" si="66"/>
        <v>1.665864</v>
      </c>
      <c r="J52" s="33">
        <f t="shared" ref="J52" si="70">J50/J10</f>
        <v>1.845</v>
      </c>
      <c r="K52" s="33">
        <f t="shared" ref="K52" si="71">K50/K10</f>
        <v>1.95</v>
      </c>
      <c r="L52" s="33">
        <f t="shared" si="66"/>
        <v>1.9125000000000001</v>
      </c>
      <c r="M52" s="25"/>
    </row>
    <row r="53" spans="1:13" ht="15.6" x14ac:dyDescent="0.3">
      <c r="A53" s="62" t="s">
        <v>71</v>
      </c>
      <c r="B53" s="33">
        <f>(B50+B51)/B10</f>
        <v>2.9654258619516356</v>
      </c>
      <c r="C53" s="33">
        <f>(C50+C51)/C10</f>
        <v>2.805396</v>
      </c>
      <c r="D53" s="33">
        <f>(D50+D51)/D10</f>
        <v>3.0817365182690262</v>
      </c>
      <c r="E53" s="33">
        <f>(E50+E51)/E10</f>
        <v>2.9677219504370838</v>
      </c>
      <c r="F53" s="33">
        <f t="shared" ref="F53" si="72">(F50+F51)/F10</f>
        <v>3.052</v>
      </c>
      <c r="G53" s="33">
        <f>(G50+G51)/G10</f>
        <v>2.839</v>
      </c>
      <c r="H53" s="33">
        <f>(H50+H51)/H10</f>
        <v>2.8368000000000002</v>
      </c>
      <c r="I53" s="33">
        <f t="shared" ref="I53:L53" si="73">(I50+I51)/I10</f>
        <v>3.7872080000000001</v>
      </c>
      <c r="J53" s="33">
        <f t="shared" ref="J53" si="74">(J50+J51)/J10</f>
        <v>2.8450000000000002</v>
      </c>
      <c r="K53" s="33">
        <f t="shared" ref="K53" si="75">(K50+K51)/K10</f>
        <v>3.36</v>
      </c>
      <c r="L53" s="33">
        <f t="shared" si="73"/>
        <v>3.0024999999999999</v>
      </c>
      <c r="M53" s="71"/>
    </row>
    <row r="54" spans="1:13" ht="15.6" x14ac:dyDescent="0.3">
      <c r="A54" s="73" t="s">
        <v>82</v>
      </c>
      <c r="B54" s="39"/>
      <c r="C54" s="39"/>
      <c r="D54" s="39"/>
      <c r="E54" s="39"/>
      <c r="F54" s="63"/>
      <c r="G54" s="39"/>
      <c r="H54" s="39"/>
      <c r="I54" s="39"/>
      <c r="J54" s="39"/>
      <c r="K54" s="39"/>
      <c r="L54" s="39"/>
      <c r="M54" s="25"/>
    </row>
    <row r="55" spans="1:13" ht="15.6" x14ac:dyDescent="0.3">
      <c r="A55" s="394" t="s">
        <v>38</v>
      </c>
      <c r="B55" s="395"/>
      <c r="C55" s="395"/>
      <c r="D55" s="395"/>
      <c r="E55" s="395"/>
      <c r="F55" s="395"/>
      <c r="G55" s="395"/>
      <c r="H55" s="395"/>
      <c r="I55" s="395"/>
      <c r="J55" s="395"/>
      <c r="K55" s="395"/>
      <c r="L55" s="395"/>
      <c r="M55" s="25"/>
    </row>
    <row r="56" spans="1:13" ht="14.4" customHeight="1" x14ac:dyDescent="0.3">
      <c r="A56" s="45" t="s">
        <v>39</v>
      </c>
      <c r="B56" s="46">
        <v>592101</v>
      </c>
      <c r="C56" s="46">
        <v>400000</v>
      </c>
      <c r="D56" s="46">
        <v>589570</v>
      </c>
      <c r="E56" s="46">
        <v>588137</v>
      </c>
      <c r="F56" s="29">
        <v>525000</v>
      </c>
      <c r="G56" s="46">
        <v>400000</v>
      </c>
      <c r="H56" s="47">
        <v>505000</v>
      </c>
      <c r="I56" s="47">
        <v>525000</v>
      </c>
      <c r="J56" s="47">
        <v>400000</v>
      </c>
      <c r="K56" s="46">
        <v>400000</v>
      </c>
      <c r="L56" s="46">
        <v>525000</v>
      </c>
      <c r="M56" s="25"/>
    </row>
    <row r="57" spans="1:13" ht="15.6" x14ac:dyDescent="0.3">
      <c r="A57" s="27" t="s">
        <v>40</v>
      </c>
      <c r="B57" s="29">
        <v>640164</v>
      </c>
      <c r="C57" s="29">
        <v>425650</v>
      </c>
      <c r="D57" s="29">
        <v>604569</v>
      </c>
      <c r="E57" s="29">
        <v>603099</v>
      </c>
      <c r="F57" s="29">
        <v>592500</v>
      </c>
      <c r="G57" s="29">
        <v>426500</v>
      </c>
      <c r="H57" s="28">
        <v>571650</v>
      </c>
      <c r="I57" s="29">
        <v>1774628</v>
      </c>
      <c r="J57" s="29">
        <v>500000</v>
      </c>
      <c r="K57" s="29">
        <v>1185000</v>
      </c>
      <c r="L57" s="29">
        <v>570000</v>
      </c>
      <c r="M57" s="25"/>
    </row>
    <row r="58" spans="1:13" ht="15.6" x14ac:dyDescent="0.3">
      <c r="A58" s="32" t="s">
        <v>33</v>
      </c>
      <c r="B58" s="33">
        <f t="shared" ref="B58:L58" si="76">B56/B10</f>
        <v>1.1850979340381329</v>
      </c>
      <c r="C58" s="33">
        <f t="shared" ref="C58:D58" si="77">C56/C10</f>
        <v>0.8</v>
      </c>
      <c r="D58" s="33">
        <f t="shared" si="77"/>
        <v>1.1791991250441298</v>
      </c>
      <c r="E58" s="33">
        <f t="shared" ref="E58" si="78">E56/E10</f>
        <v>1.1791984120619134</v>
      </c>
      <c r="F58" s="33">
        <f t="shared" ref="F58:G58" si="79">F56/F10</f>
        <v>1.05</v>
      </c>
      <c r="G58" s="33">
        <f t="shared" si="79"/>
        <v>0.8</v>
      </c>
      <c r="H58" s="33">
        <f t="shared" si="76"/>
        <v>1.01</v>
      </c>
      <c r="I58" s="33">
        <f t="shared" si="76"/>
        <v>1.05</v>
      </c>
      <c r="J58" s="33">
        <f t="shared" ref="J58" si="80">J56/J10</f>
        <v>0.8</v>
      </c>
      <c r="K58" s="33">
        <f t="shared" ref="K58" si="81">K56/K10</f>
        <v>0.8</v>
      </c>
      <c r="L58" s="33">
        <f t="shared" si="76"/>
        <v>1.05</v>
      </c>
      <c r="M58" s="25"/>
    </row>
    <row r="59" spans="1:13" ht="15.6" x14ac:dyDescent="0.3">
      <c r="A59" s="64" t="s">
        <v>37</v>
      </c>
      <c r="B59" s="33">
        <f t="shared" ref="B59:L59" si="82">B57/B10</f>
        <v>1.2812966602751681</v>
      </c>
      <c r="C59" s="33">
        <f t="shared" ref="C59:D59" si="83">C57/C10</f>
        <v>0.85129999999999995</v>
      </c>
      <c r="D59" s="33">
        <f t="shared" si="83"/>
        <v>1.2091986292192691</v>
      </c>
      <c r="E59" s="33">
        <f t="shared" ref="E59" si="84">E57/E10</f>
        <v>1.2091968080840485</v>
      </c>
      <c r="F59" s="33">
        <f t="shared" ref="F59:G59" si="85">F57/F10</f>
        <v>1.1850000000000001</v>
      </c>
      <c r="G59" s="33">
        <f t="shared" si="85"/>
        <v>0.85299999999999998</v>
      </c>
      <c r="H59" s="33">
        <f t="shared" si="82"/>
        <v>1.1433</v>
      </c>
      <c r="I59" s="33">
        <f t="shared" si="82"/>
        <v>3.5492560000000002</v>
      </c>
      <c r="J59" s="33">
        <f t="shared" ref="J59" si="86">J57/J10</f>
        <v>1</v>
      </c>
      <c r="K59" s="33">
        <f t="shared" ref="K59" si="87">K57/K10</f>
        <v>2.37</v>
      </c>
      <c r="L59" s="33">
        <f t="shared" si="82"/>
        <v>1.1399999999999999</v>
      </c>
      <c r="M59" s="25"/>
    </row>
    <row r="60" spans="1:13" ht="15.6" x14ac:dyDescent="0.3">
      <c r="A60" s="392" t="s">
        <v>75</v>
      </c>
      <c r="B60" s="393"/>
      <c r="C60" s="393"/>
      <c r="D60" s="393"/>
      <c r="E60" s="393"/>
      <c r="F60" s="393"/>
      <c r="G60" s="393"/>
      <c r="H60" s="393"/>
      <c r="I60" s="393"/>
      <c r="J60" s="393"/>
      <c r="K60" s="393"/>
      <c r="L60" s="393"/>
      <c r="M60" s="25"/>
    </row>
    <row r="61" spans="1:13" ht="30" customHeight="1" x14ac:dyDescent="0.3">
      <c r="A61" s="45" t="s">
        <v>41</v>
      </c>
      <c r="B61" s="46">
        <f>73*B13</f>
        <v>517132</v>
      </c>
      <c r="C61" s="67">
        <v>497278</v>
      </c>
      <c r="D61" s="67">
        <v>202776</v>
      </c>
      <c r="E61" s="67">
        <v>378288</v>
      </c>
      <c r="F61" s="67">
        <v>547500</v>
      </c>
      <c r="G61" s="67">
        <v>518000</v>
      </c>
      <c r="H61" s="46">
        <v>182500</v>
      </c>
      <c r="I61" s="46">
        <f>71*I13</f>
        <v>440484</v>
      </c>
      <c r="J61" s="46">
        <v>440016</v>
      </c>
      <c r="K61" s="46">
        <v>470880</v>
      </c>
      <c r="L61" s="46">
        <v>306720</v>
      </c>
      <c r="M61" s="25"/>
    </row>
    <row r="62" spans="1:13" ht="15.6" x14ac:dyDescent="0.3">
      <c r="A62" s="20" t="s">
        <v>69</v>
      </c>
      <c r="B62" s="65">
        <v>592101</v>
      </c>
      <c r="C62" s="65">
        <v>400000</v>
      </c>
      <c r="D62" s="65">
        <v>589570</v>
      </c>
      <c r="E62" s="65">
        <v>588137</v>
      </c>
      <c r="F62" s="29">
        <v>525000</v>
      </c>
      <c r="G62" s="46">
        <v>400000</v>
      </c>
      <c r="H62" s="65">
        <v>400000</v>
      </c>
      <c r="I62" s="66">
        <v>400000</v>
      </c>
      <c r="J62" s="26">
        <v>400000</v>
      </c>
      <c r="K62" s="46">
        <v>400000</v>
      </c>
      <c r="L62" s="46">
        <v>400000</v>
      </c>
      <c r="M62" s="25"/>
    </row>
    <row r="63" spans="1:13" ht="15.6" x14ac:dyDescent="0.3">
      <c r="A63" s="34" t="s">
        <v>34</v>
      </c>
      <c r="B63" s="40">
        <f t="shared" ref="B63:L63" si="88">B61/B10</f>
        <v>1.0350464951503338</v>
      </c>
      <c r="C63" s="33">
        <f t="shared" ref="C63:D63" si="89">C61/C10</f>
        <v>0.994556</v>
      </c>
      <c r="D63" s="33">
        <f t="shared" si="89"/>
        <v>0.4055723353968968</v>
      </c>
      <c r="E63" s="33">
        <f t="shared" ref="E63" si="90">E61/E10</f>
        <v>0.7584569732937686</v>
      </c>
      <c r="F63" s="33">
        <f t="shared" ref="F63:G63" si="91">F61/F10</f>
        <v>1.095</v>
      </c>
      <c r="G63" s="33">
        <f t="shared" si="91"/>
        <v>1.036</v>
      </c>
      <c r="H63" s="33">
        <f t="shared" si="88"/>
        <v>0.36499999999999999</v>
      </c>
      <c r="I63" s="33">
        <f t="shared" si="88"/>
        <v>0.88096799999999997</v>
      </c>
      <c r="J63" s="33">
        <f t="shared" ref="J63" si="92">J61/J10</f>
        <v>0.88003200000000004</v>
      </c>
      <c r="K63" s="33">
        <f t="shared" ref="K63" si="93">K61/K10</f>
        <v>0.94176000000000004</v>
      </c>
      <c r="L63" s="33">
        <f t="shared" si="88"/>
        <v>0.61343999999999999</v>
      </c>
      <c r="M63" s="25"/>
    </row>
    <row r="64" spans="1:13" ht="15.6" x14ac:dyDescent="0.3">
      <c r="A64" s="34" t="s">
        <v>70</v>
      </c>
      <c r="B64" s="33">
        <f>(B61+B62)/B10</f>
        <v>2.2201444291884664</v>
      </c>
      <c r="C64" s="33">
        <f>(C61+C62)/C10</f>
        <v>1.794556</v>
      </c>
      <c r="D64" s="33">
        <f>(D61+D62)/D10</f>
        <v>1.5847714604410266</v>
      </c>
      <c r="E64" s="33">
        <f>(E61+E62)/E10</f>
        <v>1.9376553853556822</v>
      </c>
      <c r="F64" s="33">
        <f t="shared" ref="F64" si="94">(F61+F62)/F10</f>
        <v>2.145</v>
      </c>
      <c r="G64" s="33">
        <f>(G61+G62)/G10</f>
        <v>1.8360000000000001</v>
      </c>
      <c r="H64" s="33">
        <f>(H61+H62)/H10</f>
        <v>1.165</v>
      </c>
      <c r="I64" s="33">
        <f t="shared" ref="I64:L64" si="95">(I61+I62)/I10</f>
        <v>1.680968</v>
      </c>
      <c r="J64" s="33">
        <f t="shared" ref="J64" si="96">(J61+J62)/J10</f>
        <v>1.680032</v>
      </c>
      <c r="K64" s="33">
        <f t="shared" ref="K64" si="97">(K61+K62)/K10</f>
        <v>1.74176</v>
      </c>
      <c r="L64" s="33">
        <f t="shared" si="95"/>
        <v>1.41344</v>
      </c>
      <c r="M64" s="70"/>
    </row>
    <row r="65" spans="1:13" ht="15.75" customHeight="1" x14ac:dyDescent="0.3">
      <c r="A65" s="392" t="s">
        <v>76</v>
      </c>
      <c r="B65" s="393"/>
      <c r="C65" s="393"/>
      <c r="D65" s="393"/>
      <c r="E65" s="393"/>
      <c r="F65" s="393"/>
      <c r="G65" s="393"/>
      <c r="H65" s="393"/>
      <c r="I65" s="393"/>
      <c r="J65" s="393"/>
      <c r="K65" s="393"/>
      <c r="L65" s="393"/>
      <c r="M65" s="25"/>
    </row>
    <row r="66" spans="1:13" ht="31.2" x14ac:dyDescent="0.3">
      <c r="A66" s="15" t="s">
        <v>72</v>
      </c>
      <c r="B66" s="52">
        <f>(52*16744)+(21*18354)</f>
        <v>1256122</v>
      </c>
      <c r="C66" s="52">
        <v>1353278</v>
      </c>
      <c r="D66" s="52">
        <f>(D61/D13)*D14</f>
        <v>1343391</v>
      </c>
      <c r="E66" s="52">
        <v>1260960</v>
      </c>
      <c r="F66" s="29">
        <f>4601337-3252087</f>
        <v>1349250</v>
      </c>
      <c r="G66" s="46">
        <v>1363000</v>
      </c>
      <c r="H66" s="52">
        <v>1241000</v>
      </c>
      <c r="I66" s="46">
        <f>71*I14</f>
        <v>1159572</v>
      </c>
      <c r="J66" s="46">
        <v>1267500</v>
      </c>
      <c r="K66" s="46">
        <v>1350000</v>
      </c>
      <c r="L66" s="46">
        <v>1331250</v>
      </c>
      <c r="M66" s="25"/>
    </row>
    <row r="67" spans="1:13" ht="15.6" x14ac:dyDescent="0.3">
      <c r="A67" s="20" t="s">
        <v>42</v>
      </c>
      <c r="B67" s="35">
        <v>640164</v>
      </c>
      <c r="C67" s="35">
        <v>424400</v>
      </c>
      <c r="D67" s="35">
        <v>604569</v>
      </c>
      <c r="E67" s="29">
        <v>603099</v>
      </c>
      <c r="F67" s="29">
        <v>579000</v>
      </c>
      <c r="G67" s="29">
        <v>426500</v>
      </c>
      <c r="H67" s="35">
        <v>517400</v>
      </c>
      <c r="I67" s="22">
        <v>1767010</v>
      </c>
      <c r="J67" s="26">
        <v>500000</v>
      </c>
      <c r="K67" s="29">
        <v>1185000</v>
      </c>
      <c r="L67" s="29">
        <v>560000</v>
      </c>
      <c r="M67" s="25"/>
    </row>
    <row r="68" spans="1:13" ht="15.6" x14ac:dyDescent="0.3">
      <c r="A68" s="34" t="s">
        <v>43</v>
      </c>
      <c r="B68" s="33">
        <f t="shared" ref="B68:L68" si="98">B66/B10</f>
        <v>2.5141446933882015</v>
      </c>
      <c r="C68" s="33">
        <f t="shared" ref="C68:D68" si="99">C66/C10</f>
        <v>2.706556</v>
      </c>
      <c r="D68" s="33">
        <f t="shared" si="99"/>
        <v>2.6869167220044412</v>
      </c>
      <c r="E68" s="33">
        <f t="shared" ref="E68" si="100">E66/E10</f>
        <v>2.5281899109792283</v>
      </c>
      <c r="F68" s="33">
        <f t="shared" ref="F68:G68" si="101">F66/F10</f>
        <v>2.6985000000000001</v>
      </c>
      <c r="G68" s="33">
        <f t="shared" si="101"/>
        <v>2.726</v>
      </c>
      <c r="H68" s="33">
        <f t="shared" si="98"/>
        <v>2.4820000000000002</v>
      </c>
      <c r="I68" s="33">
        <f t="shared" si="98"/>
        <v>2.3191440000000001</v>
      </c>
      <c r="J68" s="33">
        <f t="shared" ref="J68" si="102">J66/J10</f>
        <v>2.5350000000000001</v>
      </c>
      <c r="K68" s="33">
        <f t="shared" ref="K68" si="103">K66/K10</f>
        <v>2.7</v>
      </c>
      <c r="L68" s="33">
        <f t="shared" si="98"/>
        <v>2.6625000000000001</v>
      </c>
      <c r="M68" s="11"/>
    </row>
    <row r="69" spans="1:13" ht="15.6" x14ac:dyDescent="0.3">
      <c r="A69" s="34" t="s">
        <v>71</v>
      </c>
      <c r="B69" s="33">
        <f>(B67+B66)/B10</f>
        <v>3.7954413536633695</v>
      </c>
      <c r="C69" s="33">
        <f>(C67+C66)/C10</f>
        <v>3.5553560000000002</v>
      </c>
      <c r="D69" s="33">
        <f>(D67+D66)/D10</f>
        <v>3.8961153512237106</v>
      </c>
      <c r="E69" s="33">
        <f>(E67+E66)/E10</f>
        <v>3.7373867190632768</v>
      </c>
      <c r="F69" s="33">
        <f t="shared" ref="F69" si="104">(F67+F66)/F10</f>
        <v>3.8565</v>
      </c>
      <c r="G69" s="33">
        <f>(G67+G66)/G10</f>
        <v>3.5790000000000002</v>
      </c>
      <c r="H69" s="33">
        <f>(H67+H66)/H10</f>
        <v>3.5167999999999999</v>
      </c>
      <c r="I69" s="33">
        <f t="shared" ref="I69:L69" si="105">(I67+I66)/I10</f>
        <v>5.8531639999999996</v>
      </c>
      <c r="J69" s="33">
        <f t="shared" ref="J69" si="106">(J67+J66)/J10</f>
        <v>3.5350000000000001</v>
      </c>
      <c r="K69" s="33">
        <f t="shared" ref="K69" si="107">(K67+K66)/K10</f>
        <v>5.07</v>
      </c>
      <c r="L69" s="33">
        <f t="shared" si="105"/>
        <v>3.7825000000000002</v>
      </c>
      <c r="M69" s="71"/>
    </row>
    <row r="70" spans="1:13" ht="15.6" x14ac:dyDescent="0.3">
      <c r="A70" s="11"/>
      <c r="B70" s="11"/>
      <c r="C70" s="11"/>
      <c r="D70" s="11"/>
      <c r="E70" s="11"/>
      <c r="F70" s="11" t="s">
        <v>61</v>
      </c>
      <c r="G70" s="11"/>
      <c r="H70" s="11"/>
      <c r="I70" s="11"/>
      <c r="J70" s="11"/>
      <c r="K70" s="11"/>
      <c r="L70" s="11"/>
      <c r="M70" s="11"/>
    </row>
  </sheetData>
  <sheetProtection algorithmName="SHA-512" hashValue="SHSnR3mEY3F18KrwBiPq2jOmkwobLWJlwLZ0yENVIIw4W2eTStaWIFq+2SG46lumQn08ehggWWEuAYSAeWygtQ==" saltValue="lJbEzmvI/Js5gUX+oYvAvg==" spinCount="100000" sheet="1" objects="1" scenarios="1"/>
  <mergeCells count="11">
    <mergeCell ref="A1:M2"/>
    <mergeCell ref="A6:A7"/>
    <mergeCell ref="A39:L39"/>
    <mergeCell ref="A23:L23"/>
    <mergeCell ref="A28:L28"/>
    <mergeCell ref="A33:L33"/>
    <mergeCell ref="A65:L65"/>
    <mergeCell ref="A49:L49"/>
    <mergeCell ref="A55:L55"/>
    <mergeCell ref="A60:L60"/>
    <mergeCell ref="A44:L44"/>
  </mergeCells>
  <conditionalFormatting sqref="B42">
    <cfRule type="top10" dxfId="113" priority="69" rank="1"/>
  </conditionalFormatting>
  <conditionalFormatting sqref="B26:L26">
    <cfRule type="top10" dxfId="112" priority="718" rank="1"/>
  </conditionalFormatting>
  <conditionalFormatting sqref="B27:L27">
    <cfRule type="top10" dxfId="111" priority="720" rank="1"/>
  </conditionalFormatting>
  <conditionalFormatting sqref="B31:L31">
    <cfRule type="top10" dxfId="110" priority="722" rank="1"/>
  </conditionalFormatting>
  <conditionalFormatting sqref="B32:L32">
    <cfRule type="top10" dxfId="109" priority="724" rank="1"/>
  </conditionalFormatting>
  <conditionalFormatting sqref="B36:L36">
    <cfRule type="top10" dxfId="108" priority="726" rank="1"/>
    <cfRule type="top10" dxfId="107" priority="727" rank="1"/>
  </conditionalFormatting>
  <conditionalFormatting sqref="B36:L37">
    <cfRule type="top10" dxfId="106" priority="730" rank="1"/>
  </conditionalFormatting>
  <conditionalFormatting sqref="B43:L43">
    <cfRule type="top10" dxfId="105" priority="732" rank="1"/>
  </conditionalFormatting>
  <conditionalFormatting sqref="B47:L47">
    <cfRule type="top10" dxfId="104" priority="734" rank="1"/>
  </conditionalFormatting>
  <conditionalFormatting sqref="B48:L48">
    <cfRule type="top10" dxfId="103" priority="736" rank="1"/>
  </conditionalFormatting>
  <conditionalFormatting sqref="B52:L52">
    <cfRule type="top10" dxfId="102" priority="738" rank="1"/>
  </conditionalFormatting>
  <conditionalFormatting sqref="B53:L53">
    <cfRule type="top10" dxfId="101" priority="740" rank="1"/>
  </conditionalFormatting>
  <conditionalFormatting sqref="B58:L58">
    <cfRule type="top10" dxfId="100" priority="742" rank="1"/>
  </conditionalFormatting>
  <conditionalFormatting sqref="B59:L59">
    <cfRule type="top10" dxfId="99" priority="744" rank="1"/>
  </conditionalFormatting>
  <conditionalFormatting sqref="B63:L63">
    <cfRule type="top10" dxfId="98" priority="746" rank="1"/>
  </conditionalFormatting>
  <conditionalFormatting sqref="B63:L64">
    <cfRule type="top10" dxfId="97" priority="748" rank="1"/>
  </conditionalFormatting>
  <conditionalFormatting sqref="B68:L68">
    <cfRule type="top10" dxfId="96" priority="750" rank="1"/>
  </conditionalFormatting>
  <conditionalFormatting sqref="B69:L69">
    <cfRule type="top10" dxfId="95" priority="752" rank="1"/>
    <cfRule type="top10" priority="753" rank="1"/>
  </conditionalFormatting>
  <conditionalFormatting sqref="C42:L42">
    <cfRule type="top10" dxfId="94" priority="756" rank="1"/>
  </conditionalFormatting>
  <pageMargins left="0.7" right="0.7" top="0.75" bottom="0.75" header="0.3" footer="0.3"/>
  <pageSetup scale="39" orientation="landscape" horizontalDpi="90" verticalDpi="90" r:id="rId1"/>
  <headerFooter>
    <oddFooter>&amp;L_x000D_&amp;1#&amp;"Calibri"&amp;8&amp;K0000FF Internal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EDCA-25DE-482D-AA57-9B496DF73A1F}">
  <sheetPr codeName="Sheet7">
    <tabColor rgb="FF00B0F0"/>
    <pageSetUpPr fitToPage="1"/>
  </sheetPr>
  <dimension ref="A1:L70"/>
  <sheetViews>
    <sheetView showGridLines="0" zoomScale="55" zoomScaleNormal="55" workbookViewId="0">
      <pane xSplit="1" ySplit="7" topLeftCell="B8" activePane="bottomRight" state="frozen"/>
      <selection pane="topRight" activeCell="B1" sqref="B1"/>
      <selection pane="bottomLeft" activeCell="A8" sqref="A8"/>
      <selection pane="bottomRight" activeCell="G15" sqref="G15"/>
    </sheetView>
  </sheetViews>
  <sheetFormatPr defaultRowHeight="14.4" x14ac:dyDescent="0.3"/>
  <cols>
    <col min="1" max="1" width="35.77734375" customWidth="1"/>
    <col min="2" max="2" width="28.88671875" customWidth="1"/>
    <col min="3" max="3" width="32.77734375" bestFit="1" customWidth="1"/>
    <col min="4" max="5" width="32.77734375" customWidth="1"/>
    <col min="6" max="6" width="30.5546875" bestFit="1" customWidth="1"/>
    <col min="7" max="7" width="30.5546875" customWidth="1"/>
    <col min="8" max="8" width="21.77734375" bestFit="1" customWidth="1"/>
    <col min="9" max="9" width="27" bestFit="1" customWidth="1"/>
    <col min="10" max="10" width="29.21875" customWidth="1"/>
    <col min="11" max="11" width="30.5546875" bestFit="1" customWidth="1"/>
    <col min="12" max="12" width="31" bestFit="1" customWidth="1"/>
  </cols>
  <sheetData>
    <row r="1" spans="1:12" ht="15.75" customHeight="1" x14ac:dyDescent="0.3">
      <c r="A1" s="396"/>
      <c r="B1" s="396"/>
      <c r="C1" s="396"/>
      <c r="D1" s="396"/>
      <c r="E1" s="396"/>
      <c r="F1" s="396"/>
      <c r="G1" s="396"/>
      <c r="H1" s="396"/>
      <c r="I1" s="396"/>
      <c r="J1" s="396"/>
      <c r="K1" s="396"/>
      <c r="L1" s="396"/>
    </row>
    <row r="2" spans="1:12" x14ac:dyDescent="0.3">
      <c r="A2" s="396"/>
      <c r="B2" s="396"/>
      <c r="C2" s="396"/>
      <c r="D2" s="396"/>
      <c r="E2" s="396"/>
      <c r="F2" s="396"/>
      <c r="G2" s="396"/>
      <c r="H2" s="396"/>
      <c r="I2" s="396"/>
      <c r="J2" s="396"/>
      <c r="K2" s="396"/>
      <c r="L2" s="396"/>
    </row>
    <row r="3" spans="1:12" ht="15.6" x14ac:dyDescent="0.3">
      <c r="A3" s="11" t="s">
        <v>52</v>
      </c>
      <c r="B3" s="12"/>
      <c r="C3" s="12"/>
      <c r="D3" s="12"/>
      <c r="E3" s="12"/>
      <c r="F3" s="11"/>
      <c r="G3" s="11"/>
      <c r="H3" s="12"/>
      <c r="I3" s="11"/>
      <c r="J3" s="11"/>
      <c r="K3" s="11"/>
      <c r="L3" s="11"/>
    </row>
    <row r="4" spans="1:12" ht="15.6" x14ac:dyDescent="0.3">
      <c r="A4" s="111" t="s">
        <v>271</v>
      </c>
      <c r="B4" s="12"/>
      <c r="C4" s="12"/>
      <c r="D4" s="12"/>
      <c r="E4" s="12"/>
      <c r="F4" s="11"/>
      <c r="G4" s="11"/>
      <c r="H4" s="12"/>
      <c r="I4" s="11"/>
      <c r="J4" s="11"/>
      <c r="K4" s="11"/>
      <c r="L4" s="11"/>
    </row>
    <row r="5" spans="1:12" ht="17.25" customHeight="1" thickBot="1" x14ac:dyDescent="0.35">
      <c r="A5" s="12" t="s">
        <v>23</v>
      </c>
      <c r="B5" s="12"/>
      <c r="C5" s="12"/>
      <c r="D5" s="12"/>
      <c r="E5" s="12"/>
      <c r="F5" s="11"/>
      <c r="G5" s="11"/>
      <c r="H5" s="12"/>
      <c r="I5" s="11"/>
      <c r="J5" s="11"/>
      <c r="K5" s="11"/>
      <c r="L5" s="11"/>
    </row>
    <row r="6" spans="1:12" s="11" customFormat="1" ht="15.6" x14ac:dyDescent="0.3">
      <c r="A6" s="400"/>
      <c r="B6" s="235" t="s">
        <v>147</v>
      </c>
      <c r="C6" s="235" t="s">
        <v>147</v>
      </c>
      <c r="D6" s="235" t="s">
        <v>240</v>
      </c>
      <c r="E6" s="235" t="s">
        <v>240</v>
      </c>
      <c r="F6" s="235" t="s">
        <v>60</v>
      </c>
      <c r="G6" s="235" t="s">
        <v>100</v>
      </c>
      <c r="H6" s="235" t="s">
        <v>100</v>
      </c>
      <c r="I6" s="235" t="s">
        <v>28</v>
      </c>
      <c r="J6" s="235" t="s">
        <v>28</v>
      </c>
      <c r="K6" s="235" t="s">
        <v>148</v>
      </c>
      <c r="L6" s="241" t="s">
        <v>148</v>
      </c>
    </row>
    <row r="7" spans="1:12" s="11" customFormat="1" ht="69" customHeight="1" thickBot="1" x14ac:dyDescent="0.35">
      <c r="A7" s="401"/>
      <c r="B7" s="238" t="s">
        <v>334</v>
      </c>
      <c r="C7" s="238" t="s">
        <v>210</v>
      </c>
      <c r="D7" s="238" t="s">
        <v>262</v>
      </c>
      <c r="E7" s="238" t="s">
        <v>343</v>
      </c>
      <c r="F7" s="238" t="s">
        <v>388</v>
      </c>
      <c r="G7" s="238" t="s">
        <v>294</v>
      </c>
      <c r="H7" s="238" t="s">
        <v>101</v>
      </c>
      <c r="I7" s="238" t="s">
        <v>64</v>
      </c>
      <c r="J7" s="238" t="s">
        <v>335</v>
      </c>
      <c r="K7" s="238" t="s">
        <v>433</v>
      </c>
      <c r="L7" s="242" t="s">
        <v>211</v>
      </c>
    </row>
    <row r="8" spans="1:12" s="11" customFormat="1" ht="43.5" customHeight="1" x14ac:dyDescent="0.3">
      <c r="A8" s="15" t="s">
        <v>19</v>
      </c>
      <c r="B8" s="16">
        <v>4.2500000000000003E-2</v>
      </c>
      <c r="C8" s="16">
        <v>4.2500000000000003E-2</v>
      </c>
      <c r="D8" s="167">
        <v>4.2500000000000003E-2</v>
      </c>
      <c r="E8" s="167">
        <v>4.2500000000000003E-2</v>
      </c>
      <c r="F8" s="16">
        <v>4.2500000000000003E-2</v>
      </c>
      <c r="G8" s="16">
        <v>4.2500000000000003E-2</v>
      </c>
      <c r="H8" s="16">
        <v>4.2500000000000003E-2</v>
      </c>
      <c r="I8" s="16">
        <v>4.2500000000000003E-2</v>
      </c>
      <c r="J8" s="16">
        <v>4.2500000000000003E-2</v>
      </c>
      <c r="K8" s="16">
        <v>4.2500000000000003E-2</v>
      </c>
      <c r="L8" s="16">
        <v>4.2500000000000003E-2</v>
      </c>
    </row>
    <row r="9" spans="1:12" s="11" customFormat="1" ht="15.6" x14ac:dyDescent="0.3">
      <c r="A9" s="18" t="s">
        <v>16</v>
      </c>
      <c r="B9" s="49" t="s">
        <v>35</v>
      </c>
      <c r="C9" s="49" t="s">
        <v>35</v>
      </c>
      <c r="D9" s="143" t="s">
        <v>36</v>
      </c>
      <c r="E9" s="143" t="s">
        <v>36</v>
      </c>
      <c r="F9" s="49" t="s">
        <v>35</v>
      </c>
      <c r="G9" s="49" t="s">
        <v>35</v>
      </c>
      <c r="H9" s="49" t="s">
        <v>35</v>
      </c>
      <c r="I9" s="49" t="s">
        <v>36</v>
      </c>
      <c r="J9" s="49" t="s">
        <v>36</v>
      </c>
      <c r="K9" s="49" t="s">
        <v>36</v>
      </c>
      <c r="L9" s="49" t="s">
        <v>36</v>
      </c>
    </row>
    <row r="10" spans="1:12" s="11" customFormat="1" ht="15.6" x14ac:dyDescent="0.3">
      <c r="A10" s="20" t="s">
        <v>29</v>
      </c>
      <c r="B10" s="35">
        <v>999045.65</v>
      </c>
      <c r="C10" s="35">
        <v>1000000</v>
      </c>
      <c r="D10" s="144">
        <v>999350</v>
      </c>
      <c r="E10" s="35">
        <v>999600</v>
      </c>
      <c r="F10" s="35">
        <v>1000000</v>
      </c>
      <c r="G10" s="35">
        <v>1000000</v>
      </c>
      <c r="H10" s="35">
        <v>1000000</v>
      </c>
      <c r="I10" s="35">
        <v>1000000</v>
      </c>
      <c r="J10" s="35">
        <v>1000000</v>
      </c>
      <c r="K10" s="35">
        <v>1000000</v>
      </c>
      <c r="L10" s="35">
        <v>1000000</v>
      </c>
    </row>
    <row r="11" spans="1:12" s="11" customFormat="1" ht="15.6" x14ac:dyDescent="0.3">
      <c r="A11" s="20" t="s">
        <v>24</v>
      </c>
      <c r="B11" s="35">
        <v>647000</v>
      </c>
      <c r="C11" s="35">
        <v>1000000</v>
      </c>
      <c r="D11" s="147">
        <v>716000</v>
      </c>
      <c r="E11" s="35">
        <v>595000</v>
      </c>
      <c r="F11" s="37" t="s">
        <v>88</v>
      </c>
      <c r="G11" s="28">
        <v>1010000</v>
      </c>
      <c r="H11" s="35" t="s">
        <v>88</v>
      </c>
      <c r="I11" s="35">
        <v>1000000</v>
      </c>
      <c r="J11" s="35">
        <v>1000000</v>
      </c>
      <c r="K11" s="37" t="s">
        <v>88</v>
      </c>
      <c r="L11" s="37" t="s">
        <v>88</v>
      </c>
    </row>
    <row r="12" spans="1:12" s="11" customFormat="1" ht="31.2" x14ac:dyDescent="0.3">
      <c r="A12" s="20" t="s">
        <v>17</v>
      </c>
      <c r="B12" s="21" t="s">
        <v>268</v>
      </c>
      <c r="C12" s="21" t="s">
        <v>222</v>
      </c>
      <c r="D12" s="145" t="s">
        <v>94</v>
      </c>
      <c r="E12" s="145" t="s">
        <v>94</v>
      </c>
      <c r="F12" s="21" t="s">
        <v>402</v>
      </c>
      <c r="G12" s="77" t="s">
        <v>301</v>
      </c>
      <c r="H12" s="77" t="s">
        <v>302</v>
      </c>
      <c r="I12" s="21" t="s">
        <v>94</v>
      </c>
      <c r="J12" s="21" t="s">
        <v>303</v>
      </c>
      <c r="K12" s="21" t="s">
        <v>169</v>
      </c>
      <c r="L12" s="77" t="s">
        <v>229</v>
      </c>
    </row>
    <row r="13" spans="1:12" s="11" customFormat="1" ht="111" customHeight="1" x14ac:dyDescent="0.3">
      <c r="A13" s="23" t="s">
        <v>123</v>
      </c>
      <c r="B13" s="35">
        <v>14234</v>
      </c>
      <c r="C13" s="53" t="s">
        <v>237</v>
      </c>
      <c r="D13" s="24">
        <v>5728</v>
      </c>
      <c r="E13" s="53">
        <v>10710</v>
      </c>
      <c r="F13" s="24">
        <v>15000</v>
      </c>
      <c r="G13" s="24">
        <v>14000</v>
      </c>
      <c r="H13" s="35">
        <v>5000</v>
      </c>
      <c r="I13" s="22">
        <v>12408</v>
      </c>
      <c r="J13" s="91" t="s">
        <v>344</v>
      </c>
      <c r="K13" s="24">
        <v>13080</v>
      </c>
      <c r="L13" s="24">
        <v>8640</v>
      </c>
    </row>
    <row r="14" spans="1:12" s="11" customFormat="1" ht="143.55000000000001" customHeight="1" x14ac:dyDescent="0.3">
      <c r="A14" s="23" t="s">
        <v>122</v>
      </c>
      <c r="B14" s="35" t="s">
        <v>275</v>
      </c>
      <c r="C14" s="139" t="s">
        <v>238</v>
      </c>
      <c r="D14" s="24">
        <v>37948</v>
      </c>
      <c r="E14" s="146">
        <v>35700</v>
      </c>
      <c r="F14" s="164" t="s">
        <v>440</v>
      </c>
      <c r="G14" s="164" t="s">
        <v>309</v>
      </c>
      <c r="H14" s="35">
        <v>34000</v>
      </c>
      <c r="I14" s="22">
        <v>32664</v>
      </c>
      <c r="J14" s="91" t="s">
        <v>345</v>
      </c>
      <c r="K14" s="24">
        <v>37500</v>
      </c>
      <c r="L14" s="24">
        <v>37500</v>
      </c>
    </row>
    <row r="15" spans="1:12" s="11" customFormat="1" ht="90.6" customHeight="1" x14ac:dyDescent="0.3">
      <c r="A15" s="42" t="s">
        <v>31</v>
      </c>
      <c r="B15" s="50">
        <f t="shared" ref="B15" si="0">B13/B10</f>
        <v>1.4247597194382459E-2</v>
      </c>
      <c r="C15" s="50" t="s">
        <v>224</v>
      </c>
      <c r="D15" s="44">
        <f t="shared" ref="D15:I15" si="1">D13/D10</f>
        <v>5.7317256216540755E-3</v>
      </c>
      <c r="E15" s="44">
        <f t="shared" si="1"/>
        <v>1.0714285714285714E-2</v>
      </c>
      <c r="F15" s="207">
        <f t="shared" si="1"/>
        <v>1.4999999999999999E-2</v>
      </c>
      <c r="G15" s="44">
        <f>G13/G10</f>
        <v>1.4E-2</v>
      </c>
      <c r="H15" s="50">
        <f t="shared" si="1"/>
        <v>5.0000000000000001E-3</v>
      </c>
      <c r="I15" s="44">
        <f t="shared" si="1"/>
        <v>1.2408000000000001E-2</v>
      </c>
      <c r="J15" s="92" t="s">
        <v>346</v>
      </c>
      <c r="K15" s="44">
        <f>K13/K10</f>
        <v>1.308E-2</v>
      </c>
      <c r="L15" s="44">
        <f>L13/L10</f>
        <v>8.6400000000000001E-3</v>
      </c>
    </row>
    <row r="16" spans="1:12" s="11" customFormat="1" ht="127.5" customHeight="1" x14ac:dyDescent="0.3">
      <c r="A16" s="42" t="s">
        <v>59</v>
      </c>
      <c r="B16" s="50" t="s">
        <v>273</v>
      </c>
      <c r="C16" s="50" t="s">
        <v>437</v>
      </c>
      <c r="D16" s="50">
        <f>D14/D10</f>
        <v>3.7972682243458247E-2</v>
      </c>
      <c r="E16" s="50">
        <f>E14/E10</f>
        <v>3.5714285714285712E-2</v>
      </c>
      <c r="F16" s="50" t="s">
        <v>438</v>
      </c>
      <c r="G16" s="50" t="s">
        <v>305</v>
      </c>
      <c r="H16" s="50">
        <f>H14/H10</f>
        <v>3.4000000000000002E-2</v>
      </c>
      <c r="I16" s="50">
        <f t="shared" ref="I16:L16" si="2">I14/I10</f>
        <v>3.2663999999999999E-2</v>
      </c>
      <c r="J16" s="50" t="s">
        <v>342</v>
      </c>
      <c r="K16" s="59">
        <f t="shared" ref="K16" si="3">K14/K10</f>
        <v>3.7499999999999999E-2</v>
      </c>
      <c r="L16" s="59">
        <f t="shared" si="2"/>
        <v>3.7499999999999999E-2</v>
      </c>
    </row>
    <row r="17" spans="1:12" s="11" customFormat="1" ht="51" customHeight="1" x14ac:dyDescent="0.3">
      <c r="A17" s="23" t="s">
        <v>106</v>
      </c>
      <c r="B17" s="35">
        <v>799236</v>
      </c>
      <c r="C17" s="35">
        <v>800000</v>
      </c>
      <c r="D17" s="24">
        <v>799479</v>
      </c>
      <c r="E17" s="35">
        <v>799680</v>
      </c>
      <c r="F17" s="24">
        <v>800000</v>
      </c>
      <c r="G17" s="24">
        <v>800000</v>
      </c>
      <c r="H17" s="35">
        <v>800000</v>
      </c>
      <c r="I17" s="24">
        <v>800000</v>
      </c>
      <c r="J17" s="35">
        <v>800000</v>
      </c>
      <c r="K17" s="24">
        <v>800000</v>
      </c>
      <c r="L17" s="24">
        <v>800000</v>
      </c>
    </row>
    <row r="18" spans="1:12" s="11" customFormat="1" ht="70.349999999999994" customHeight="1" x14ac:dyDescent="0.3">
      <c r="A18" s="42" t="s">
        <v>107</v>
      </c>
      <c r="B18" s="51">
        <f t="shared" ref="B18:L18" si="4">B17/B10</f>
        <v>0.79999947950326389</v>
      </c>
      <c r="C18" s="51">
        <f t="shared" si="4"/>
        <v>0.8</v>
      </c>
      <c r="D18" s="43">
        <f t="shared" si="4"/>
        <v>0.79999899934957719</v>
      </c>
      <c r="E18" s="43">
        <f t="shared" si="4"/>
        <v>0.8</v>
      </c>
      <c r="F18" s="43">
        <f t="shared" si="4"/>
        <v>0.8</v>
      </c>
      <c r="G18" s="43">
        <f>G17/G10</f>
        <v>0.8</v>
      </c>
      <c r="H18" s="51">
        <f t="shared" si="4"/>
        <v>0.8</v>
      </c>
      <c r="I18" s="43">
        <f t="shared" si="4"/>
        <v>0.8</v>
      </c>
      <c r="J18" s="43">
        <f t="shared" si="4"/>
        <v>0.8</v>
      </c>
      <c r="K18" s="43">
        <f t="shared" si="4"/>
        <v>0.8</v>
      </c>
      <c r="L18" s="43">
        <f t="shared" si="4"/>
        <v>0.8</v>
      </c>
    </row>
    <row r="19" spans="1:12" s="11" customFormat="1" ht="79.8" customHeight="1" x14ac:dyDescent="0.3">
      <c r="A19" s="34" t="s">
        <v>25</v>
      </c>
      <c r="B19" s="156" t="s">
        <v>269</v>
      </c>
      <c r="C19" s="119" t="s">
        <v>223</v>
      </c>
      <c r="D19" s="41" t="s">
        <v>77</v>
      </c>
      <c r="E19" s="41" t="s">
        <v>77</v>
      </c>
      <c r="F19" s="156" t="s">
        <v>269</v>
      </c>
      <c r="G19" s="41" t="s">
        <v>306</v>
      </c>
      <c r="H19" s="78" t="s">
        <v>104</v>
      </c>
      <c r="I19" s="41" t="s">
        <v>83</v>
      </c>
      <c r="J19" s="41" t="s">
        <v>125</v>
      </c>
      <c r="K19" s="41" t="s">
        <v>89</v>
      </c>
      <c r="L19" s="41" t="s">
        <v>230</v>
      </c>
    </row>
    <row r="20" spans="1:12" s="11" customFormat="1" ht="53.55" customHeight="1" x14ac:dyDescent="0.3">
      <c r="A20" s="36" t="s">
        <v>30</v>
      </c>
      <c r="B20" s="35">
        <v>1009036</v>
      </c>
      <c r="C20" s="28">
        <v>1010000</v>
      </c>
      <c r="D20" s="28">
        <v>1009343</v>
      </c>
      <c r="E20" s="28">
        <v>1009596</v>
      </c>
      <c r="F20" s="28">
        <v>1050000</v>
      </c>
      <c r="G20" s="28">
        <v>1010000</v>
      </c>
      <c r="H20" s="28">
        <v>1010000</v>
      </c>
      <c r="I20" s="28">
        <v>1050000</v>
      </c>
      <c r="J20" s="28">
        <v>1050000</v>
      </c>
      <c r="K20" s="28">
        <v>1050000</v>
      </c>
      <c r="L20" s="28">
        <v>1050000</v>
      </c>
    </row>
    <row r="21" spans="1:12" s="11" customFormat="1" ht="54" customHeight="1" x14ac:dyDescent="0.3">
      <c r="A21" s="32" t="s">
        <v>32</v>
      </c>
      <c r="B21" s="33">
        <f>B20/B10</f>
        <v>1.0099998933982646</v>
      </c>
      <c r="C21" s="33">
        <f t="shared" ref="C21:L21" si="5">C20/C10</f>
        <v>1.01</v>
      </c>
      <c r="D21" s="33">
        <f t="shared" si="5"/>
        <v>1.0099994996747885</v>
      </c>
      <c r="E21" s="33">
        <f t="shared" si="5"/>
        <v>1.01</v>
      </c>
      <c r="F21" s="40">
        <f t="shared" si="5"/>
        <v>1.05</v>
      </c>
      <c r="G21" s="33">
        <f t="shared" si="5"/>
        <v>1.01</v>
      </c>
      <c r="H21" s="33">
        <f t="shared" si="5"/>
        <v>1.01</v>
      </c>
      <c r="I21" s="40">
        <f t="shared" si="5"/>
        <v>1.05</v>
      </c>
      <c r="J21" s="40">
        <f t="shared" si="5"/>
        <v>1.05</v>
      </c>
      <c r="K21" s="40">
        <f t="shared" si="5"/>
        <v>1.05</v>
      </c>
      <c r="L21" s="40">
        <f t="shared" si="5"/>
        <v>1.05</v>
      </c>
    </row>
    <row r="22" spans="1:12" s="11" customFormat="1" ht="15.6" x14ac:dyDescent="0.3">
      <c r="A22" s="402" t="s">
        <v>86</v>
      </c>
      <c r="B22" s="403"/>
      <c r="C22" s="403"/>
      <c r="D22" s="403"/>
      <c r="E22" s="403"/>
      <c r="F22" s="403"/>
      <c r="G22" s="403"/>
      <c r="H22" s="403"/>
      <c r="I22" s="403"/>
      <c r="J22" s="403"/>
      <c r="K22" s="403"/>
      <c r="L22" s="403"/>
    </row>
    <row r="23" spans="1:12" s="11" customFormat="1" ht="15.6" x14ac:dyDescent="0.3">
      <c r="A23" s="399" t="s">
        <v>38</v>
      </c>
      <c r="B23" s="399"/>
      <c r="C23" s="399"/>
      <c r="D23" s="399"/>
      <c r="E23" s="399"/>
      <c r="F23" s="399"/>
      <c r="G23" s="399"/>
      <c r="H23" s="399"/>
      <c r="I23" s="399"/>
      <c r="J23" s="399"/>
      <c r="K23" s="399"/>
      <c r="L23" s="399"/>
    </row>
    <row r="24" spans="1:12" s="11" customFormat="1" ht="36" customHeight="1" x14ac:dyDescent="0.3">
      <c r="A24" s="27" t="s">
        <v>39</v>
      </c>
      <c r="B24" s="28">
        <v>1071376</v>
      </c>
      <c r="C24" s="28">
        <v>800000</v>
      </c>
      <c r="D24" s="29">
        <v>1066406</v>
      </c>
      <c r="E24" s="47">
        <v>1066673</v>
      </c>
      <c r="F24" s="29">
        <v>1050000</v>
      </c>
      <c r="G24" s="29">
        <v>800000</v>
      </c>
      <c r="H24" s="28">
        <v>1010000</v>
      </c>
      <c r="I24" s="28">
        <v>1050000</v>
      </c>
      <c r="J24" s="46">
        <v>800000</v>
      </c>
      <c r="K24" s="29">
        <v>800000</v>
      </c>
      <c r="L24" s="29">
        <v>1050000</v>
      </c>
    </row>
    <row r="25" spans="1:12" s="11" customFormat="1" ht="15.6" x14ac:dyDescent="0.3">
      <c r="A25" s="27" t="s">
        <v>40</v>
      </c>
      <c r="B25" s="28">
        <v>1107141</v>
      </c>
      <c r="C25" s="28">
        <v>851300</v>
      </c>
      <c r="D25" s="29">
        <v>1096386</v>
      </c>
      <c r="E25" s="28">
        <v>1096661</v>
      </c>
      <c r="F25" s="29">
        <v>1120000</v>
      </c>
      <c r="G25" s="29">
        <v>853000</v>
      </c>
      <c r="H25" s="28">
        <v>1143300</v>
      </c>
      <c r="I25" s="29">
        <v>1465387</v>
      </c>
      <c r="J25" s="29">
        <v>1000001</v>
      </c>
      <c r="K25" s="29">
        <v>960000</v>
      </c>
      <c r="L25" s="29">
        <v>1080000</v>
      </c>
    </row>
    <row r="26" spans="1:12" s="11" customFormat="1" ht="15.6" x14ac:dyDescent="0.3">
      <c r="A26" s="32" t="s">
        <v>33</v>
      </c>
      <c r="B26" s="33">
        <f t="shared" ref="B26:L26" si="6">B24/B10</f>
        <v>1.0723994444097724</v>
      </c>
      <c r="C26" s="33">
        <f t="shared" si="6"/>
        <v>0.8</v>
      </c>
      <c r="D26" s="33">
        <f t="shared" si="6"/>
        <v>1.0670996147495873</v>
      </c>
      <c r="E26" s="33">
        <f>E24/E10</f>
        <v>1.0670998399359743</v>
      </c>
      <c r="F26" s="33">
        <f t="shared" ref="F26" si="7">F24/F10</f>
        <v>1.05</v>
      </c>
      <c r="G26" s="33">
        <f t="shared" ref="G26" si="8">G24/G10</f>
        <v>0.8</v>
      </c>
      <c r="H26" s="33">
        <f t="shared" si="6"/>
        <v>1.01</v>
      </c>
      <c r="I26" s="33">
        <f t="shared" si="6"/>
        <v>1.05</v>
      </c>
      <c r="J26" s="33">
        <f t="shared" si="6"/>
        <v>0.8</v>
      </c>
      <c r="K26" s="33">
        <f t="shared" si="6"/>
        <v>0.8</v>
      </c>
      <c r="L26" s="33">
        <f t="shared" si="6"/>
        <v>1.05</v>
      </c>
    </row>
    <row r="27" spans="1:12" s="11" customFormat="1" ht="15.6" x14ac:dyDescent="0.3">
      <c r="A27" s="32" t="s">
        <v>37</v>
      </c>
      <c r="B27" s="33">
        <f t="shared" ref="B27:L27" si="9">B25/B10</f>
        <v>1.1081986093428262</v>
      </c>
      <c r="C27" s="33">
        <f t="shared" si="9"/>
        <v>0.85129999999999995</v>
      </c>
      <c r="D27" s="33">
        <f t="shared" si="9"/>
        <v>1.0970991144243758</v>
      </c>
      <c r="E27" s="33">
        <f>E25/E10</f>
        <v>1.0970998399359744</v>
      </c>
      <c r="F27" s="33">
        <f t="shared" ref="F27" si="10">F25/F10</f>
        <v>1.1200000000000001</v>
      </c>
      <c r="G27" s="33">
        <f t="shared" ref="G27" si="11">G25/G10</f>
        <v>0.85299999999999998</v>
      </c>
      <c r="H27" s="33">
        <f t="shared" si="9"/>
        <v>1.1433</v>
      </c>
      <c r="I27" s="33">
        <f t="shared" si="9"/>
        <v>1.465387</v>
      </c>
      <c r="J27" s="33">
        <f t="shared" si="9"/>
        <v>1.0000009999999999</v>
      </c>
      <c r="K27" s="33">
        <f t="shared" si="9"/>
        <v>0.96</v>
      </c>
      <c r="L27" s="33">
        <f t="shared" si="9"/>
        <v>1.08</v>
      </c>
    </row>
    <row r="28" spans="1:12" s="11" customFormat="1" ht="15.75" customHeight="1" x14ac:dyDescent="0.3">
      <c r="A28" s="392" t="s">
        <v>75</v>
      </c>
      <c r="B28" s="393"/>
      <c r="C28" s="393"/>
      <c r="D28" s="393"/>
      <c r="E28" s="393"/>
      <c r="F28" s="393"/>
      <c r="G28" s="393"/>
      <c r="H28" s="393"/>
      <c r="I28" s="393"/>
      <c r="J28" s="393"/>
      <c r="K28" s="393"/>
      <c r="L28" s="393"/>
    </row>
    <row r="29" spans="1:12" s="11" customFormat="1" ht="33.6" customHeight="1" x14ac:dyDescent="0.3">
      <c r="A29" s="45" t="s">
        <v>41</v>
      </c>
      <c r="B29" s="46">
        <f>33*B13</f>
        <v>469722</v>
      </c>
      <c r="C29" s="47">
        <v>446698</v>
      </c>
      <c r="D29" s="29">
        <v>177568</v>
      </c>
      <c r="E29" s="29">
        <v>332010</v>
      </c>
      <c r="F29" s="29">
        <v>495000</v>
      </c>
      <c r="G29" s="46">
        <v>476000</v>
      </c>
      <c r="H29" s="47">
        <v>165000</v>
      </c>
      <c r="I29" s="46">
        <f>31*I13</f>
        <v>384648</v>
      </c>
      <c r="J29" s="46">
        <v>460032</v>
      </c>
      <c r="K29" s="46">
        <v>418560</v>
      </c>
      <c r="L29" s="46">
        <v>267840</v>
      </c>
    </row>
    <row r="30" spans="1:12" s="11" customFormat="1" ht="22.5" customHeight="1" x14ac:dyDescent="0.3">
      <c r="A30" s="20" t="s">
        <v>69</v>
      </c>
      <c r="B30" s="35">
        <v>1071376</v>
      </c>
      <c r="C30" s="35">
        <v>800000</v>
      </c>
      <c r="D30" s="26">
        <v>1066406</v>
      </c>
      <c r="E30" s="47">
        <v>1066673</v>
      </c>
      <c r="F30" s="29">
        <v>1050000</v>
      </c>
      <c r="G30" s="29">
        <v>800000</v>
      </c>
      <c r="H30" s="35">
        <v>800000</v>
      </c>
      <c r="I30" s="26">
        <v>800000</v>
      </c>
      <c r="J30" s="26">
        <v>800000</v>
      </c>
      <c r="K30" s="29">
        <v>800000</v>
      </c>
      <c r="L30" s="29">
        <v>800000</v>
      </c>
    </row>
    <row r="31" spans="1:12" s="11" customFormat="1" ht="15.6" x14ac:dyDescent="0.3">
      <c r="A31" s="34" t="s">
        <v>34</v>
      </c>
      <c r="B31" s="33">
        <f t="shared" ref="B31:L31" si="12">B29/B10</f>
        <v>0.47017070741462114</v>
      </c>
      <c r="C31" s="33">
        <f t="shared" si="12"/>
        <v>0.44669799999999998</v>
      </c>
      <c r="D31" s="33">
        <f t="shared" si="12"/>
        <v>0.17768349427127633</v>
      </c>
      <c r="E31" s="33">
        <f t="shared" si="12"/>
        <v>0.33214285714285713</v>
      </c>
      <c r="F31" s="33">
        <f t="shared" si="12"/>
        <v>0.495</v>
      </c>
      <c r="G31" s="33">
        <f t="shared" si="12"/>
        <v>0.47599999999999998</v>
      </c>
      <c r="H31" s="33">
        <f t="shared" si="12"/>
        <v>0.16500000000000001</v>
      </c>
      <c r="I31" s="33">
        <f t="shared" si="12"/>
        <v>0.38464799999999999</v>
      </c>
      <c r="J31" s="33">
        <f t="shared" si="12"/>
        <v>0.460032</v>
      </c>
      <c r="K31" s="33">
        <f t="shared" si="12"/>
        <v>0.41855999999999999</v>
      </c>
      <c r="L31" s="33">
        <f t="shared" si="12"/>
        <v>0.26784000000000002</v>
      </c>
    </row>
    <row r="32" spans="1:12" s="11" customFormat="1" ht="15.6" x14ac:dyDescent="0.3">
      <c r="A32" s="34" t="s">
        <v>70</v>
      </c>
      <c r="B32" s="33">
        <f>(B29+B30)/B10</f>
        <v>1.5425701518243935</v>
      </c>
      <c r="C32" s="33">
        <f>(C30+C29)/C10</f>
        <v>1.2466980000000001</v>
      </c>
      <c r="D32" s="33">
        <f>(D30+D29)/D10</f>
        <v>1.2447831090208636</v>
      </c>
      <c r="E32" s="33">
        <f>(E30+E29)/E10</f>
        <v>1.3992426970788316</v>
      </c>
      <c r="F32" s="33">
        <f>(F30+F29)/F10</f>
        <v>1.5449999999999999</v>
      </c>
      <c r="G32" s="33">
        <f>(G29+G30)/G10</f>
        <v>1.276</v>
      </c>
      <c r="H32" s="33">
        <f>(H29+H30)/H10</f>
        <v>0.96499999999999997</v>
      </c>
      <c r="I32" s="33">
        <f>(I30+I29)/I10</f>
        <v>1.1846479999999999</v>
      </c>
      <c r="J32" s="33">
        <f t="shared" ref="J32" si="13">(J30+J29)/J10</f>
        <v>1.260032</v>
      </c>
      <c r="K32" s="33">
        <f>(K30+K29)/K10</f>
        <v>1.2185600000000001</v>
      </c>
      <c r="L32" s="33">
        <f>(L30+L29)/L10</f>
        <v>1.0678399999999999</v>
      </c>
    </row>
    <row r="33" spans="1:12" s="11" customFormat="1" ht="15.75" customHeight="1" x14ac:dyDescent="0.3">
      <c r="A33" s="392" t="s">
        <v>76</v>
      </c>
      <c r="B33" s="393"/>
      <c r="C33" s="393"/>
      <c r="D33" s="393"/>
      <c r="E33" s="393"/>
      <c r="F33" s="393"/>
      <c r="G33" s="393"/>
      <c r="H33" s="393"/>
      <c r="I33" s="393"/>
      <c r="J33" s="393"/>
      <c r="K33" s="393"/>
      <c r="L33" s="393"/>
    </row>
    <row r="34" spans="1:12" s="11" customFormat="1" ht="31.2" x14ac:dyDescent="0.3">
      <c r="A34" s="15" t="s">
        <v>72</v>
      </c>
      <c r="B34" s="35">
        <f>33*33644</f>
        <v>1110252</v>
      </c>
      <c r="C34" s="47">
        <v>1206679</v>
      </c>
      <c r="D34" s="29">
        <v>1176388</v>
      </c>
      <c r="E34" s="52">
        <v>1106700</v>
      </c>
      <c r="F34" s="29">
        <f>1931224-772724</f>
        <v>1158500</v>
      </c>
      <c r="G34" s="46">
        <v>1246000</v>
      </c>
      <c r="H34" s="47">
        <v>1122000</v>
      </c>
      <c r="I34" s="66">
        <f>31*I14</f>
        <v>1012584</v>
      </c>
      <c r="J34" s="46">
        <v>1327500</v>
      </c>
      <c r="K34" s="46">
        <v>1200000</v>
      </c>
      <c r="L34" s="46">
        <v>1162500</v>
      </c>
    </row>
    <row r="35" spans="1:12" s="11" customFormat="1" ht="15.6" x14ac:dyDescent="0.3">
      <c r="A35" s="20" t="s">
        <v>42</v>
      </c>
      <c r="B35" s="28">
        <v>1107141</v>
      </c>
      <c r="C35" s="28">
        <v>848800</v>
      </c>
      <c r="D35" s="26">
        <v>1096386</v>
      </c>
      <c r="E35" s="28">
        <v>1096661</v>
      </c>
      <c r="F35" s="29">
        <v>1080000</v>
      </c>
      <c r="G35" s="29">
        <v>853000</v>
      </c>
      <c r="H35" s="28">
        <v>1034800</v>
      </c>
      <c r="I35" s="26">
        <v>1458646</v>
      </c>
      <c r="J35" s="29">
        <v>1000001</v>
      </c>
      <c r="K35" s="29">
        <v>960000</v>
      </c>
      <c r="L35" s="29">
        <v>1060000</v>
      </c>
    </row>
    <row r="36" spans="1:12" s="11" customFormat="1" ht="15.6" x14ac:dyDescent="0.3">
      <c r="A36" s="34" t="s">
        <v>43</v>
      </c>
      <c r="B36" s="33">
        <f t="shared" ref="B36:L36" si="14">B34/B10</f>
        <v>1.1113125811618318</v>
      </c>
      <c r="C36" s="33">
        <f t="shared" si="14"/>
        <v>1.2066790000000001</v>
      </c>
      <c r="D36" s="33">
        <f t="shared" si="14"/>
        <v>1.1771531495472056</v>
      </c>
      <c r="E36" s="33">
        <f>E34/E10</f>
        <v>1.1071428571428572</v>
      </c>
      <c r="F36" s="33">
        <f t="shared" ref="F36" si="15">F34/F10</f>
        <v>1.1585000000000001</v>
      </c>
      <c r="G36" s="33">
        <f t="shared" ref="G36" si="16">G34/G10</f>
        <v>1.246</v>
      </c>
      <c r="H36" s="33">
        <f t="shared" si="14"/>
        <v>1.1220000000000001</v>
      </c>
      <c r="I36" s="33">
        <f t="shared" si="14"/>
        <v>1.0125839999999999</v>
      </c>
      <c r="J36" s="33">
        <f t="shared" si="14"/>
        <v>1.3274999999999999</v>
      </c>
      <c r="K36" s="33">
        <f t="shared" si="14"/>
        <v>1.2</v>
      </c>
      <c r="L36" s="33">
        <f t="shared" si="14"/>
        <v>1.1625000000000001</v>
      </c>
    </row>
    <row r="37" spans="1:12" s="11" customFormat="1" ht="15.6" x14ac:dyDescent="0.3">
      <c r="A37" s="62" t="s">
        <v>71</v>
      </c>
      <c r="B37" s="33">
        <f t="shared" ref="B37:L37" si="17">(B34+B35)/B10</f>
        <v>2.2195111905046581</v>
      </c>
      <c r="C37" s="33">
        <f t="shared" si="17"/>
        <v>2.0554790000000001</v>
      </c>
      <c r="D37" s="33">
        <f t="shared" si="17"/>
        <v>2.2742522639715816</v>
      </c>
      <c r="E37" s="33">
        <f t="shared" si="17"/>
        <v>2.2042426970788314</v>
      </c>
      <c r="F37" s="33">
        <f t="shared" si="17"/>
        <v>2.2385000000000002</v>
      </c>
      <c r="G37" s="33">
        <f t="shared" si="17"/>
        <v>2.0990000000000002</v>
      </c>
      <c r="H37" s="33">
        <f t="shared" si="17"/>
        <v>2.1568000000000001</v>
      </c>
      <c r="I37" s="33">
        <f t="shared" si="17"/>
        <v>2.4712299999999998</v>
      </c>
      <c r="J37" s="33">
        <f t="shared" si="17"/>
        <v>2.3275009999999998</v>
      </c>
      <c r="K37" s="33">
        <f t="shared" si="17"/>
        <v>2.16</v>
      </c>
      <c r="L37" s="33">
        <f t="shared" si="17"/>
        <v>2.2225000000000001</v>
      </c>
    </row>
    <row r="38" spans="1:12" s="11" customFormat="1" ht="15.6" x14ac:dyDescent="0.3">
      <c r="A38" s="402" t="s">
        <v>87</v>
      </c>
      <c r="B38" s="403"/>
      <c r="C38" s="403"/>
      <c r="D38" s="403"/>
      <c r="E38" s="403"/>
      <c r="F38" s="403"/>
      <c r="G38" s="403"/>
      <c r="H38" s="403"/>
      <c r="I38" s="403"/>
      <c r="J38" s="403"/>
      <c r="K38" s="403"/>
      <c r="L38" s="403"/>
    </row>
    <row r="39" spans="1:12" s="11" customFormat="1" ht="15.6" x14ac:dyDescent="0.3">
      <c r="A39" s="399" t="s">
        <v>38</v>
      </c>
      <c r="B39" s="399"/>
      <c r="C39" s="399"/>
      <c r="D39" s="399"/>
      <c r="E39" s="399"/>
      <c r="F39" s="399"/>
      <c r="G39" s="399"/>
      <c r="H39" s="399"/>
      <c r="I39" s="399"/>
      <c r="J39" s="399"/>
      <c r="K39" s="399"/>
      <c r="L39" s="399"/>
    </row>
    <row r="40" spans="1:12" s="11" customFormat="1" ht="15.6" x14ac:dyDescent="0.3">
      <c r="A40" s="27" t="s">
        <v>39</v>
      </c>
      <c r="B40" s="28">
        <v>1126224</v>
      </c>
      <c r="C40" s="28">
        <v>800000</v>
      </c>
      <c r="D40" s="29">
        <v>1120970</v>
      </c>
      <c r="E40" s="47">
        <v>1121251</v>
      </c>
      <c r="F40" s="29">
        <v>1050000</v>
      </c>
      <c r="G40" s="29">
        <v>800000</v>
      </c>
      <c r="H40" s="28">
        <v>1010000</v>
      </c>
      <c r="I40" s="28">
        <v>1050000</v>
      </c>
      <c r="J40" s="47">
        <v>800000</v>
      </c>
      <c r="K40" s="29">
        <v>800000</v>
      </c>
      <c r="L40" s="29">
        <v>1050000</v>
      </c>
    </row>
    <row r="41" spans="1:12" s="11" customFormat="1" ht="15.6" x14ac:dyDescent="0.3">
      <c r="A41" s="27" t="s">
        <v>40</v>
      </c>
      <c r="B41" s="28">
        <v>1184867</v>
      </c>
      <c r="C41" s="28">
        <v>851300</v>
      </c>
      <c r="D41" s="26">
        <v>1150950</v>
      </c>
      <c r="E41" s="28">
        <v>1151239</v>
      </c>
      <c r="F41" s="29">
        <v>1155000</v>
      </c>
      <c r="G41" s="29">
        <v>853000</v>
      </c>
      <c r="H41" s="28">
        <v>1143300</v>
      </c>
      <c r="I41" s="29">
        <v>2130134</v>
      </c>
      <c r="J41" s="29">
        <v>1000001</v>
      </c>
      <c r="K41" s="29">
        <v>1410000</v>
      </c>
      <c r="L41" s="29">
        <v>1100000</v>
      </c>
    </row>
    <row r="42" spans="1:12" s="11" customFormat="1" ht="15.6" x14ac:dyDescent="0.3">
      <c r="A42" s="32" t="s">
        <v>33</v>
      </c>
      <c r="B42" s="33">
        <f t="shared" ref="B42:L42" si="18">B40/B10</f>
        <v>1.1272998386009687</v>
      </c>
      <c r="C42" s="33">
        <f t="shared" si="18"/>
        <v>0.8</v>
      </c>
      <c r="D42" s="33">
        <f t="shared" si="18"/>
        <v>1.1216991044178717</v>
      </c>
      <c r="E42" s="33">
        <f t="shared" si="18"/>
        <v>1.1216996798719487</v>
      </c>
      <c r="F42" s="33">
        <f t="shared" si="18"/>
        <v>1.05</v>
      </c>
      <c r="G42" s="33">
        <f t="shared" si="18"/>
        <v>0.8</v>
      </c>
      <c r="H42" s="33">
        <f t="shared" si="18"/>
        <v>1.01</v>
      </c>
      <c r="I42" s="33">
        <f t="shared" si="18"/>
        <v>1.05</v>
      </c>
      <c r="J42" s="33">
        <f t="shared" si="18"/>
        <v>0.8</v>
      </c>
      <c r="K42" s="33">
        <f t="shared" si="18"/>
        <v>0.8</v>
      </c>
      <c r="L42" s="33">
        <f t="shared" si="18"/>
        <v>1.05</v>
      </c>
    </row>
    <row r="43" spans="1:12" s="11" customFormat="1" ht="15.6" x14ac:dyDescent="0.3">
      <c r="A43" s="32" t="s">
        <v>37</v>
      </c>
      <c r="B43" s="33">
        <f t="shared" ref="B43:L43" si="19">B41/B10</f>
        <v>1.1859988580101419</v>
      </c>
      <c r="C43" s="33">
        <f t="shared" si="19"/>
        <v>0.85129999999999995</v>
      </c>
      <c r="D43" s="33">
        <f t="shared" si="19"/>
        <v>1.1516986040926602</v>
      </c>
      <c r="E43" s="33">
        <f t="shared" si="19"/>
        <v>1.1516996798719488</v>
      </c>
      <c r="F43" s="33">
        <f t="shared" si="19"/>
        <v>1.155</v>
      </c>
      <c r="G43" s="33">
        <f t="shared" si="19"/>
        <v>0.85299999999999998</v>
      </c>
      <c r="H43" s="33">
        <f t="shared" si="19"/>
        <v>1.1433</v>
      </c>
      <c r="I43" s="33">
        <f t="shared" si="19"/>
        <v>2.130134</v>
      </c>
      <c r="J43" s="33">
        <f t="shared" si="19"/>
        <v>1.0000009999999999</v>
      </c>
      <c r="K43" s="33">
        <f t="shared" si="19"/>
        <v>1.41</v>
      </c>
      <c r="L43" s="33">
        <f t="shared" si="19"/>
        <v>1.1000000000000001</v>
      </c>
    </row>
    <row r="44" spans="1:12" s="11" customFormat="1" ht="15.75" customHeight="1" x14ac:dyDescent="0.3">
      <c r="A44" s="392" t="s">
        <v>75</v>
      </c>
      <c r="B44" s="393"/>
      <c r="C44" s="393"/>
      <c r="D44" s="393"/>
      <c r="E44" s="393"/>
      <c r="F44" s="393"/>
      <c r="G44" s="393"/>
      <c r="H44" s="393"/>
      <c r="I44" s="393"/>
      <c r="J44" s="393"/>
      <c r="K44" s="393"/>
      <c r="L44" s="393"/>
    </row>
    <row r="45" spans="1:12" s="11" customFormat="1" ht="15.6" customHeight="1" x14ac:dyDescent="0.3">
      <c r="A45" s="45" t="s">
        <v>41</v>
      </c>
      <c r="B45" s="46">
        <f>53*B13</f>
        <v>754402</v>
      </c>
      <c r="C45" s="47">
        <v>720698</v>
      </c>
      <c r="D45" s="29">
        <v>292128</v>
      </c>
      <c r="E45" s="46">
        <v>546210</v>
      </c>
      <c r="F45" s="29">
        <v>795000</v>
      </c>
      <c r="G45" s="46">
        <v>756000</v>
      </c>
      <c r="H45" s="47">
        <v>265000</v>
      </c>
      <c r="I45" s="46">
        <f>51*I13</f>
        <v>632808</v>
      </c>
      <c r="J45" s="46">
        <v>640032</v>
      </c>
      <c r="K45" s="46">
        <v>680160</v>
      </c>
      <c r="L45" s="46">
        <v>440640</v>
      </c>
    </row>
    <row r="46" spans="1:12" s="11" customFormat="1" ht="15.6" x14ac:dyDescent="0.3">
      <c r="A46" s="20" t="s">
        <v>69</v>
      </c>
      <c r="B46" s="35">
        <v>1126224</v>
      </c>
      <c r="C46" s="35">
        <v>800000</v>
      </c>
      <c r="D46" s="26">
        <v>1120970</v>
      </c>
      <c r="E46" s="47">
        <v>1121251</v>
      </c>
      <c r="F46" s="29">
        <v>1050000</v>
      </c>
      <c r="G46" s="29">
        <v>800000</v>
      </c>
      <c r="H46" s="35">
        <v>800000</v>
      </c>
      <c r="I46" s="26">
        <v>800000</v>
      </c>
      <c r="J46" s="26">
        <v>800000</v>
      </c>
      <c r="K46" s="29">
        <v>800000</v>
      </c>
      <c r="L46" s="29">
        <v>800000</v>
      </c>
    </row>
    <row r="47" spans="1:12" s="11" customFormat="1" ht="15.6" x14ac:dyDescent="0.3">
      <c r="A47" s="34" t="s">
        <v>34</v>
      </c>
      <c r="B47" s="33">
        <f t="shared" ref="B47:L47" si="20">B45/B10</f>
        <v>0.7551226513022703</v>
      </c>
      <c r="C47" s="33">
        <f t="shared" si="20"/>
        <v>0.72069799999999995</v>
      </c>
      <c r="D47" s="33">
        <f t="shared" si="20"/>
        <v>0.29231800670435781</v>
      </c>
      <c r="E47" s="33">
        <f t="shared" si="20"/>
        <v>0.54642857142857137</v>
      </c>
      <c r="F47" s="33">
        <f t="shared" si="20"/>
        <v>0.79500000000000004</v>
      </c>
      <c r="G47" s="33">
        <f t="shared" si="20"/>
        <v>0.75600000000000001</v>
      </c>
      <c r="H47" s="33">
        <f t="shared" si="20"/>
        <v>0.26500000000000001</v>
      </c>
      <c r="I47" s="33">
        <f t="shared" si="20"/>
        <v>0.63280800000000004</v>
      </c>
      <c r="J47" s="33">
        <f t="shared" si="20"/>
        <v>0.64003200000000005</v>
      </c>
      <c r="K47" s="33">
        <f t="shared" si="20"/>
        <v>0.68015999999999999</v>
      </c>
      <c r="L47" s="33">
        <f t="shared" si="20"/>
        <v>0.44063999999999998</v>
      </c>
    </row>
    <row r="48" spans="1:12" s="11" customFormat="1" ht="15.6" x14ac:dyDescent="0.3">
      <c r="A48" s="34" t="s">
        <v>70</v>
      </c>
      <c r="B48" s="33">
        <f t="shared" ref="B48" si="21">(B46+B45)/B10</f>
        <v>1.8824224899032391</v>
      </c>
      <c r="C48" s="33">
        <f t="shared" ref="C48:L48" si="22">(C46+C45)/C10</f>
        <v>1.5206980000000001</v>
      </c>
      <c r="D48" s="33">
        <f t="shared" si="22"/>
        <v>1.4140171111222295</v>
      </c>
      <c r="E48" s="33">
        <f>(E46+E45)/E10</f>
        <v>1.6681282513005202</v>
      </c>
      <c r="F48" s="33">
        <f t="shared" ref="F48" si="23">(F46+F45)/F10</f>
        <v>1.845</v>
      </c>
      <c r="G48" s="33">
        <f t="shared" ref="G48:H48" si="24">(G46+G45)/G10</f>
        <v>1.556</v>
      </c>
      <c r="H48" s="33">
        <f t="shared" si="24"/>
        <v>1.0649999999999999</v>
      </c>
      <c r="I48" s="33">
        <f t="shared" si="22"/>
        <v>1.4328080000000001</v>
      </c>
      <c r="J48" s="33">
        <f t="shared" si="22"/>
        <v>1.440032</v>
      </c>
      <c r="K48" s="33">
        <f t="shared" si="22"/>
        <v>1.4801599999999999</v>
      </c>
      <c r="L48" s="33">
        <f t="shared" si="22"/>
        <v>1.24064</v>
      </c>
    </row>
    <row r="49" spans="1:12" s="11" customFormat="1" ht="15.6" x14ac:dyDescent="0.3">
      <c r="A49" s="392" t="s">
        <v>76</v>
      </c>
      <c r="B49" s="393"/>
      <c r="C49" s="393"/>
      <c r="D49" s="393"/>
      <c r="E49" s="393"/>
      <c r="F49" s="393"/>
      <c r="G49" s="393"/>
      <c r="H49" s="393"/>
      <c r="I49" s="393"/>
      <c r="J49" s="393"/>
      <c r="K49" s="393"/>
      <c r="L49" s="393"/>
    </row>
    <row r="50" spans="1:12" s="11" customFormat="1" ht="31.2" x14ac:dyDescent="0.3">
      <c r="A50" s="15" t="s">
        <v>72</v>
      </c>
      <c r="B50" s="52">
        <f>(52*33644)+36879</f>
        <v>1786367</v>
      </c>
      <c r="C50" s="47">
        <v>1956659</v>
      </c>
      <c r="D50" s="29">
        <v>1935348</v>
      </c>
      <c r="E50" s="52">
        <v>1820700</v>
      </c>
      <c r="F50" s="29">
        <f>4522515-2594015</f>
        <v>1928500</v>
      </c>
      <c r="G50" s="46">
        <v>1986000</v>
      </c>
      <c r="H50" s="47">
        <v>1802000</v>
      </c>
      <c r="I50" s="66">
        <f>51*I14</f>
        <v>1665864</v>
      </c>
      <c r="J50" s="46">
        <v>1845000</v>
      </c>
      <c r="K50" s="46">
        <v>1950000</v>
      </c>
      <c r="L50" s="46">
        <v>1912500</v>
      </c>
    </row>
    <row r="51" spans="1:12" s="11" customFormat="1" ht="15.6" x14ac:dyDescent="0.3">
      <c r="A51" s="20" t="s">
        <v>42</v>
      </c>
      <c r="B51" s="28">
        <v>1184867</v>
      </c>
      <c r="C51" s="28">
        <v>848800</v>
      </c>
      <c r="D51" s="142">
        <v>1150950</v>
      </c>
      <c r="E51" s="28">
        <v>1151239</v>
      </c>
      <c r="F51" s="29">
        <v>1123500</v>
      </c>
      <c r="G51" s="29">
        <v>853000</v>
      </c>
      <c r="H51" s="28">
        <v>1034800</v>
      </c>
      <c r="I51" s="26">
        <v>2121344</v>
      </c>
      <c r="J51" s="29">
        <v>1000001</v>
      </c>
      <c r="K51" s="29">
        <v>1410000</v>
      </c>
      <c r="L51" s="29">
        <v>1090000</v>
      </c>
    </row>
    <row r="52" spans="1:12" s="11" customFormat="1" ht="15.6" x14ac:dyDescent="0.3">
      <c r="A52" s="34" t="s">
        <v>43</v>
      </c>
      <c r="B52" s="33">
        <f t="shared" ref="B52:L52" si="25">B50/B10</f>
        <v>1.7880734478949984</v>
      </c>
      <c r="C52" s="33">
        <f t="shared" si="25"/>
        <v>1.9566589999999999</v>
      </c>
      <c r="D52" s="33">
        <f t="shared" si="25"/>
        <v>1.9366067944163707</v>
      </c>
      <c r="E52" s="33">
        <f t="shared" si="25"/>
        <v>1.8214285714285714</v>
      </c>
      <c r="F52" s="33">
        <f t="shared" si="25"/>
        <v>1.9285000000000001</v>
      </c>
      <c r="G52" s="33">
        <f t="shared" si="25"/>
        <v>1.986</v>
      </c>
      <c r="H52" s="33">
        <f t="shared" si="25"/>
        <v>1.802</v>
      </c>
      <c r="I52" s="33">
        <f t="shared" si="25"/>
        <v>1.665864</v>
      </c>
      <c r="J52" s="33">
        <f t="shared" si="25"/>
        <v>1.845</v>
      </c>
      <c r="K52" s="33">
        <f t="shared" si="25"/>
        <v>1.95</v>
      </c>
      <c r="L52" s="33">
        <f t="shared" si="25"/>
        <v>1.9125000000000001</v>
      </c>
    </row>
    <row r="53" spans="1:12" s="11" customFormat="1" ht="15.6" x14ac:dyDescent="0.3">
      <c r="A53" s="62" t="s">
        <v>71</v>
      </c>
      <c r="B53" s="33">
        <f t="shared" ref="B53" si="26">(B50+B51)/B10</f>
        <v>2.9740723059051404</v>
      </c>
      <c r="C53" s="33">
        <f t="shared" ref="C53:L53" si="27">(C50+C51)/C10</f>
        <v>2.8054589999999999</v>
      </c>
      <c r="D53" s="33">
        <f t="shared" si="27"/>
        <v>3.0883053985090307</v>
      </c>
      <c r="E53" s="33">
        <f>(E50+E51)/E10</f>
        <v>2.9731282513005204</v>
      </c>
      <c r="F53" s="33">
        <f t="shared" ref="F53" si="28">(F50+F51)/F10</f>
        <v>3.052</v>
      </c>
      <c r="G53" s="33">
        <f t="shared" ref="G53:H53" si="29">(G50+G51)/G10</f>
        <v>2.839</v>
      </c>
      <c r="H53" s="33">
        <f t="shared" si="29"/>
        <v>2.8368000000000002</v>
      </c>
      <c r="I53" s="33">
        <f t="shared" si="27"/>
        <v>3.7872080000000001</v>
      </c>
      <c r="J53" s="33">
        <f t="shared" si="27"/>
        <v>2.8450009999999999</v>
      </c>
      <c r="K53" s="33">
        <f t="shared" si="27"/>
        <v>3.36</v>
      </c>
      <c r="L53" s="33">
        <f t="shared" si="27"/>
        <v>3.0024999999999999</v>
      </c>
    </row>
    <row r="54" spans="1:12" s="11" customFormat="1" ht="15.6" x14ac:dyDescent="0.3">
      <c r="A54" s="398" t="s">
        <v>82</v>
      </c>
      <c r="B54" s="398"/>
      <c r="C54" s="398"/>
      <c r="D54" s="398"/>
      <c r="E54" s="398"/>
      <c r="F54" s="398"/>
      <c r="G54" s="398"/>
      <c r="H54" s="398"/>
      <c r="I54" s="398"/>
      <c r="J54" s="398"/>
      <c r="K54" s="398"/>
      <c r="L54" s="398"/>
    </row>
    <row r="55" spans="1:12" s="11" customFormat="1" ht="15.6" x14ac:dyDescent="0.3">
      <c r="A55" s="399" t="s">
        <v>38</v>
      </c>
      <c r="B55" s="399"/>
      <c r="C55" s="399"/>
      <c r="D55" s="399"/>
      <c r="E55" s="399"/>
      <c r="F55" s="399"/>
      <c r="G55" s="399"/>
      <c r="H55" s="399"/>
      <c r="I55" s="399"/>
      <c r="J55" s="399"/>
      <c r="K55" s="399"/>
      <c r="L55" s="399"/>
    </row>
    <row r="56" spans="1:12" s="11" customFormat="1" ht="14.4" customHeight="1" x14ac:dyDescent="0.3">
      <c r="A56" s="27" t="s">
        <v>39</v>
      </c>
      <c r="B56" s="28">
        <v>1183968</v>
      </c>
      <c r="C56" s="28">
        <v>800000</v>
      </c>
      <c r="D56" s="29">
        <v>1178433</v>
      </c>
      <c r="E56" s="46">
        <v>1178728</v>
      </c>
      <c r="F56" s="29">
        <v>1050000</v>
      </c>
      <c r="G56" s="29">
        <v>800000</v>
      </c>
      <c r="H56" s="28">
        <v>1010100</v>
      </c>
      <c r="I56" s="28">
        <v>1050000</v>
      </c>
      <c r="J56" s="26">
        <v>800000</v>
      </c>
      <c r="K56" s="29">
        <v>800000</v>
      </c>
      <c r="L56" s="29">
        <v>1050000</v>
      </c>
    </row>
    <row r="57" spans="1:12" s="11" customFormat="1" ht="15.6" x14ac:dyDescent="0.3">
      <c r="A57" s="27" t="s">
        <v>40</v>
      </c>
      <c r="B57" s="28">
        <v>1280076</v>
      </c>
      <c r="C57" s="28">
        <v>851300</v>
      </c>
      <c r="D57" s="29">
        <v>1208413</v>
      </c>
      <c r="E57" s="29">
        <v>1208716</v>
      </c>
      <c r="F57" s="29">
        <v>1185000</v>
      </c>
      <c r="G57" s="29">
        <v>853000</v>
      </c>
      <c r="H57" s="28">
        <v>1143300</v>
      </c>
      <c r="I57" s="29">
        <v>3549257</v>
      </c>
      <c r="J57" s="29">
        <v>1000001</v>
      </c>
      <c r="K57" s="29">
        <v>2370000</v>
      </c>
      <c r="L57" s="29">
        <v>1140000</v>
      </c>
    </row>
    <row r="58" spans="1:12" s="11" customFormat="1" ht="15.6" x14ac:dyDescent="0.3">
      <c r="A58" s="32" t="s">
        <v>33</v>
      </c>
      <c r="B58" s="33">
        <f t="shared" ref="B58:L58" si="30">B56/B10</f>
        <v>1.185098999229915</v>
      </c>
      <c r="C58" s="33">
        <f t="shared" si="30"/>
        <v>0.8</v>
      </c>
      <c r="D58" s="33">
        <f t="shared" si="30"/>
        <v>1.1791994796617802</v>
      </c>
      <c r="E58" s="33">
        <f t="shared" si="30"/>
        <v>1.1791996798719488</v>
      </c>
      <c r="F58" s="33">
        <f t="shared" si="30"/>
        <v>1.05</v>
      </c>
      <c r="G58" s="33">
        <f t="shared" si="30"/>
        <v>0.8</v>
      </c>
      <c r="H58" s="33">
        <f t="shared" si="30"/>
        <v>1.0101</v>
      </c>
      <c r="I58" s="33">
        <f t="shared" si="30"/>
        <v>1.05</v>
      </c>
      <c r="J58" s="33">
        <f t="shared" si="30"/>
        <v>0.8</v>
      </c>
      <c r="K58" s="33">
        <f t="shared" si="30"/>
        <v>0.8</v>
      </c>
      <c r="L58" s="33">
        <f t="shared" si="30"/>
        <v>1.05</v>
      </c>
    </row>
    <row r="59" spans="1:12" s="11" customFormat="1" ht="15.6" x14ac:dyDescent="0.3">
      <c r="A59" s="32" t="s">
        <v>37</v>
      </c>
      <c r="B59" s="33">
        <f t="shared" ref="B59:L59" si="31">B57/B10</f>
        <v>1.2812988075169538</v>
      </c>
      <c r="C59" s="33">
        <f t="shared" si="31"/>
        <v>0.85129999999999995</v>
      </c>
      <c r="D59" s="33">
        <f t="shared" si="31"/>
        <v>1.2091989793365687</v>
      </c>
      <c r="E59" s="33">
        <f t="shared" si="31"/>
        <v>1.2091996798719489</v>
      </c>
      <c r="F59" s="33">
        <f t="shared" si="31"/>
        <v>1.1850000000000001</v>
      </c>
      <c r="G59" s="33">
        <f t="shared" si="31"/>
        <v>0.85299999999999998</v>
      </c>
      <c r="H59" s="33">
        <f t="shared" si="31"/>
        <v>1.1433</v>
      </c>
      <c r="I59" s="33">
        <f t="shared" si="31"/>
        <v>3.5492569999999999</v>
      </c>
      <c r="J59" s="33">
        <f t="shared" si="31"/>
        <v>1.0000009999999999</v>
      </c>
      <c r="K59" s="33">
        <f t="shared" si="31"/>
        <v>2.37</v>
      </c>
      <c r="L59" s="33">
        <f t="shared" si="31"/>
        <v>1.1399999999999999</v>
      </c>
    </row>
    <row r="60" spans="1:12" s="11" customFormat="1" ht="15.6" x14ac:dyDescent="0.3">
      <c r="A60" s="392" t="s">
        <v>75</v>
      </c>
      <c r="B60" s="393"/>
      <c r="C60" s="393"/>
      <c r="D60" s="393"/>
      <c r="E60" s="393"/>
      <c r="F60" s="393"/>
      <c r="G60" s="393"/>
      <c r="H60" s="393"/>
      <c r="I60" s="393"/>
      <c r="J60" s="393"/>
      <c r="K60" s="393"/>
      <c r="L60" s="393"/>
    </row>
    <row r="61" spans="1:12" s="11" customFormat="1" ht="30" customHeight="1" x14ac:dyDescent="0.3">
      <c r="A61" s="45" t="s">
        <v>41</v>
      </c>
      <c r="B61" s="46">
        <f>73*B13</f>
        <v>1039082</v>
      </c>
      <c r="C61" s="47">
        <v>994698</v>
      </c>
      <c r="D61" s="29">
        <v>406688</v>
      </c>
      <c r="E61" s="67">
        <v>760410</v>
      </c>
      <c r="F61" s="29">
        <v>1095000</v>
      </c>
      <c r="G61" s="46">
        <v>1036000</v>
      </c>
      <c r="H61" s="47">
        <v>365000</v>
      </c>
      <c r="I61" s="46">
        <f>71*I13</f>
        <v>880968</v>
      </c>
      <c r="J61" s="46">
        <v>880032</v>
      </c>
      <c r="K61" s="46">
        <v>941760</v>
      </c>
      <c r="L61" s="46">
        <v>613440</v>
      </c>
    </row>
    <row r="62" spans="1:12" s="11" customFormat="1" ht="15.6" x14ac:dyDescent="0.3">
      <c r="A62" s="20" t="s">
        <v>69</v>
      </c>
      <c r="B62" s="35">
        <v>1183968</v>
      </c>
      <c r="C62" s="35">
        <v>800000</v>
      </c>
      <c r="D62" s="26">
        <v>1178433</v>
      </c>
      <c r="E62" s="46">
        <v>1178728</v>
      </c>
      <c r="F62" s="29">
        <v>1050000</v>
      </c>
      <c r="G62" s="29">
        <v>800000</v>
      </c>
      <c r="H62" s="35">
        <v>800000</v>
      </c>
      <c r="I62" s="26">
        <v>800000</v>
      </c>
      <c r="J62" s="26">
        <v>800000</v>
      </c>
      <c r="K62" s="29">
        <v>800000</v>
      </c>
      <c r="L62" s="29">
        <v>800000</v>
      </c>
    </row>
    <row r="63" spans="1:12" s="11" customFormat="1" ht="15.6" x14ac:dyDescent="0.3">
      <c r="A63" s="34" t="s">
        <v>34</v>
      </c>
      <c r="B63" s="33">
        <f t="shared" ref="B63:L63" si="32">B61/B10</f>
        <v>1.0400745951899195</v>
      </c>
      <c r="C63" s="33">
        <f t="shared" si="32"/>
        <v>0.99469799999999997</v>
      </c>
      <c r="D63" s="33">
        <f t="shared" si="32"/>
        <v>0.40695251913743935</v>
      </c>
      <c r="E63" s="33">
        <f t="shared" si="32"/>
        <v>0.76071428571428568</v>
      </c>
      <c r="F63" s="33">
        <f t="shared" si="32"/>
        <v>1.095</v>
      </c>
      <c r="G63" s="33">
        <f t="shared" si="32"/>
        <v>1.036</v>
      </c>
      <c r="H63" s="33">
        <f t="shared" si="32"/>
        <v>0.36499999999999999</v>
      </c>
      <c r="I63" s="33">
        <f t="shared" si="32"/>
        <v>0.88096799999999997</v>
      </c>
      <c r="J63" s="33">
        <f t="shared" si="32"/>
        <v>0.88003200000000004</v>
      </c>
      <c r="K63" s="33">
        <f t="shared" si="32"/>
        <v>0.94176000000000004</v>
      </c>
      <c r="L63" s="33">
        <f t="shared" si="32"/>
        <v>0.61343999999999999</v>
      </c>
    </row>
    <row r="64" spans="1:12" s="11" customFormat="1" ht="15.6" x14ac:dyDescent="0.3">
      <c r="A64" s="34" t="s">
        <v>70</v>
      </c>
      <c r="B64" s="33">
        <f t="shared" ref="B64" si="33">(B61+B62)/B10</f>
        <v>2.2251735944198345</v>
      </c>
      <c r="C64" s="33">
        <f t="shared" ref="C64:L64" si="34">(C61+C62)/C10</f>
        <v>1.7946979999999999</v>
      </c>
      <c r="D64" s="33">
        <f t="shared" si="34"/>
        <v>1.5861519987992194</v>
      </c>
      <c r="E64" s="33">
        <f t="shared" si="34"/>
        <v>1.9399139655862345</v>
      </c>
      <c r="F64" s="33">
        <f t="shared" si="34"/>
        <v>2.145</v>
      </c>
      <c r="G64" s="33">
        <f t="shared" si="34"/>
        <v>1.8360000000000001</v>
      </c>
      <c r="H64" s="33">
        <f t="shared" si="34"/>
        <v>1.165</v>
      </c>
      <c r="I64" s="33">
        <f t="shared" si="34"/>
        <v>1.680968</v>
      </c>
      <c r="J64" s="33">
        <f t="shared" si="34"/>
        <v>1.680032</v>
      </c>
      <c r="K64" s="33">
        <f t="shared" si="34"/>
        <v>1.74176</v>
      </c>
      <c r="L64" s="33">
        <f t="shared" si="34"/>
        <v>1.41344</v>
      </c>
    </row>
    <row r="65" spans="1:12" s="11" customFormat="1" ht="15.75" customHeight="1" x14ac:dyDescent="0.3">
      <c r="A65" s="392" t="s">
        <v>76</v>
      </c>
      <c r="B65" s="393"/>
      <c r="C65" s="393"/>
      <c r="D65" s="393"/>
      <c r="E65" s="393"/>
      <c r="F65" s="393"/>
      <c r="G65" s="393"/>
      <c r="H65" s="393"/>
      <c r="I65" s="393"/>
      <c r="J65" s="393"/>
      <c r="K65" s="393"/>
      <c r="L65" s="393"/>
    </row>
    <row r="66" spans="1:12" s="11" customFormat="1" ht="31.2" x14ac:dyDescent="0.3">
      <c r="A66" s="15" t="s">
        <v>72</v>
      </c>
      <c r="B66" s="52">
        <f>(52*33644)+(21*36879)</f>
        <v>2523947</v>
      </c>
      <c r="C66" s="28">
        <v>2706639</v>
      </c>
      <c r="D66" s="29">
        <v>2694308</v>
      </c>
      <c r="E66" s="52">
        <v>2534700</v>
      </c>
      <c r="F66" s="29">
        <f>9202675-6504175</f>
        <v>2698500</v>
      </c>
      <c r="G66" s="29">
        <v>2726000</v>
      </c>
      <c r="H66" s="80">
        <v>2482000</v>
      </c>
      <c r="I66" s="29">
        <f>71*I14</f>
        <v>2319144</v>
      </c>
      <c r="J66" s="46">
        <v>2535000</v>
      </c>
      <c r="K66" s="29">
        <v>2700000</v>
      </c>
      <c r="L66" s="29">
        <v>2662500</v>
      </c>
    </row>
    <row r="67" spans="1:12" s="11" customFormat="1" ht="15.6" x14ac:dyDescent="0.3">
      <c r="A67" s="20" t="s">
        <v>42</v>
      </c>
      <c r="B67" s="28">
        <v>1280076</v>
      </c>
      <c r="C67" s="28">
        <v>848800</v>
      </c>
      <c r="D67" s="22">
        <v>1208413</v>
      </c>
      <c r="E67" s="29">
        <v>1208716</v>
      </c>
      <c r="F67" s="29">
        <v>1158000</v>
      </c>
      <c r="G67" s="29">
        <v>853000</v>
      </c>
      <c r="H67" s="28">
        <v>1034800</v>
      </c>
      <c r="I67" s="22">
        <v>3534021</v>
      </c>
      <c r="J67" s="29">
        <v>1000001</v>
      </c>
      <c r="K67" s="29">
        <v>2370000</v>
      </c>
      <c r="L67" s="29">
        <v>1120000</v>
      </c>
    </row>
    <row r="68" spans="1:12" s="11" customFormat="1" ht="15.6" x14ac:dyDescent="0.3">
      <c r="A68" s="34" t="s">
        <v>43</v>
      </c>
      <c r="B68" s="33">
        <f>B66/B10</f>
        <v>2.526358029785726</v>
      </c>
      <c r="C68" s="33">
        <f t="shared" ref="C68:F68" si="35">C66/C10</f>
        <v>2.706639</v>
      </c>
      <c r="D68" s="33">
        <f t="shared" si="35"/>
        <v>2.6960604392855356</v>
      </c>
      <c r="E68" s="33">
        <f t="shared" si="35"/>
        <v>2.5357142857142856</v>
      </c>
      <c r="F68" s="33">
        <f t="shared" si="35"/>
        <v>2.6985000000000001</v>
      </c>
      <c r="G68" s="33">
        <f>G66/G10</f>
        <v>2.726</v>
      </c>
      <c r="H68" s="33">
        <f>H66/H10</f>
        <v>2.4820000000000002</v>
      </c>
      <c r="I68" s="33">
        <f t="shared" ref="I68:L68" si="36">I66/I10</f>
        <v>2.3191440000000001</v>
      </c>
      <c r="J68" s="33">
        <f t="shared" si="36"/>
        <v>2.5350000000000001</v>
      </c>
      <c r="K68" s="33">
        <f t="shared" si="36"/>
        <v>2.7</v>
      </c>
      <c r="L68" s="33">
        <f t="shared" si="36"/>
        <v>2.6625000000000001</v>
      </c>
    </row>
    <row r="69" spans="1:12" s="11" customFormat="1" ht="15.6" x14ac:dyDescent="0.3">
      <c r="A69" s="34" t="s">
        <v>71</v>
      </c>
      <c r="B69" s="33">
        <f t="shared" ref="B69:F69" si="37">(B67+B66)/B10</f>
        <v>3.8076568373026798</v>
      </c>
      <c r="C69" s="33">
        <f t="shared" si="37"/>
        <v>3.5554389999999998</v>
      </c>
      <c r="D69" s="33">
        <f t="shared" si="37"/>
        <v>3.9052594186221046</v>
      </c>
      <c r="E69" s="33">
        <f t="shared" si="37"/>
        <v>3.7449139655862345</v>
      </c>
      <c r="F69" s="33">
        <f t="shared" si="37"/>
        <v>3.8565</v>
      </c>
      <c r="G69" s="33">
        <f t="shared" ref="G69:L69" si="38">(G67+G66)/G10</f>
        <v>3.5790000000000002</v>
      </c>
      <c r="H69" s="33">
        <f t="shared" si="38"/>
        <v>3.5167999999999999</v>
      </c>
      <c r="I69" s="33">
        <f t="shared" si="38"/>
        <v>5.8531649999999997</v>
      </c>
      <c r="J69" s="33">
        <f t="shared" si="38"/>
        <v>3.5350009999999998</v>
      </c>
      <c r="K69" s="33">
        <f t="shared" si="38"/>
        <v>5.07</v>
      </c>
      <c r="L69" s="33">
        <f t="shared" si="38"/>
        <v>3.7825000000000002</v>
      </c>
    </row>
    <row r="70" spans="1:12" ht="15.6" x14ac:dyDescent="0.3">
      <c r="A70" s="11"/>
      <c r="B70" s="11"/>
      <c r="C70" s="11"/>
      <c r="D70" s="11"/>
      <c r="E70" s="11"/>
      <c r="F70" s="11"/>
      <c r="G70" s="11"/>
      <c r="H70" s="11"/>
      <c r="I70" s="11"/>
      <c r="J70" s="11"/>
      <c r="K70" s="11"/>
      <c r="L70" s="11"/>
    </row>
  </sheetData>
  <sheetProtection algorithmName="SHA-512" hashValue="JEg8+2cpguO+D9rQ56l+9qzQXH+Y2XwPG0eFMGL2uxA1lNYzkZfykLtHrHjWrVRWcbHG/GDadIyI19bpmkOFEg==" saltValue="6xk2gRvmc1GL7sEJGtStaA==" spinCount="100000" sheet="1" objects="1" scenarios="1"/>
  <mergeCells count="14">
    <mergeCell ref="A33:L33"/>
    <mergeCell ref="A39:L39"/>
    <mergeCell ref="A44:L44"/>
    <mergeCell ref="A1:L2"/>
    <mergeCell ref="A6:A7"/>
    <mergeCell ref="A23:L23"/>
    <mergeCell ref="A28:L28"/>
    <mergeCell ref="A22:L22"/>
    <mergeCell ref="A38:L38"/>
    <mergeCell ref="A65:L65"/>
    <mergeCell ref="A49:L49"/>
    <mergeCell ref="A54:L54"/>
    <mergeCell ref="A55:L55"/>
    <mergeCell ref="A60:L60"/>
  </mergeCells>
  <conditionalFormatting sqref="B26:L26">
    <cfRule type="top10" dxfId="93" priority="903" rank="1"/>
  </conditionalFormatting>
  <conditionalFormatting sqref="B27:L27">
    <cfRule type="top10" dxfId="92" priority="904" rank="1"/>
  </conditionalFormatting>
  <conditionalFormatting sqref="B31:L31">
    <cfRule type="top10" dxfId="91" priority="905" rank="1"/>
  </conditionalFormatting>
  <conditionalFormatting sqref="B32:L32">
    <cfRule type="top10" dxfId="90" priority="906" rank="1"/>
  </conditionalFormatting>
  <conditionalFormatting sqref="B36:L36">
    <cfRule type="top10" dxfId="89" priority="907" rank="1"/>
  </conditionalFormatting>
  <conditionalFormatting sqref="B37:L37">
    <cfRule type="top10" dxfId="88" priority="908" rank="1"/>
  </conditionalFormatting>
  <conditionalFormatting sqref="B42:L42">
    <cfRule type="top10" dxfId="87" priority="909" rank="1"/>
  </conditionalFormatting>
  <conditionalFormatting sqref="B43:L43">
    <cfRule type="top10" dxfId="86" priority="910" rank="1"/>
  </conditionalFormatting>
  <conditionalFormatting sqref="B47:L47">
    <cfRule type="top10" dxfId="85" priority="911" rank="1"/>
  </conditionalFormatting>
  <conditionalFormatting sqref="B48:L48">
    <cfRule type="top10" dxfId="84" priority="912" rank="1"/>
  </conditionalFormatting>
  <conditionalFormatting sqref="B52:L52">
    <cfRule type="top10" dxfId="83" priority="913" rank="1"/>
  </conditionalFormatting>
  <conditionalFormatting sqref="B53:L53">
    <cfRule type="top10" dxfId="82" priority="914" rank="1"/>
  </conditionalFormatting>
  <conditionalFormatting sqref="B58:L58">
    <cfRule type="top10" dxfId="81" priority="915" rank="1"/>
  </conditionalFormatting>
  <conditionalFormatting sqref="B59:L59">
    <cfRule type="top10" dxfId="80" priority="916" rank="1"/>
  </conditionalFormatting>
  <conditionalFormatting sqref="B63:L63">
    <cfRule type="top10" dxfId="79" priority="917" rank="1"/>
  </conditionalFormatting>
  <conditionalFormatting sqref="B64:L64">
    <cfRule type="top10" dxfId="78" priority="918" rank="1"/>
  </conditionalFormatting>
  <conditionalFormatting sqref="B68:L68">
    <cfRule type="top10" dxfId="77" priority="919" rank="1"/>
  </conditionalFormatting>
  <conditionalFormatting sqref="B69:L69">
    <cfRule type="top10" dxfId="76" priority="920" rank="1"/>
  </conditionalFormatting>
  <pageMargins left="0.7" right="0.7" top="0.75" bottom="0.75" header="0.3" footer="0.3"/>
  <pageSetup scale="39" orientation="landscape" horizontalDpi="90" verticalDpi="90" r:id="rId1"/>
  <headerFooter>
    <oddFooter>&amp;L_x000D_&amp;1#&amp;"Calibri"&amp;8&amp;K0000FF Internal</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8351D-0EAC-4416-BE80-1713E372B584}">
  <sheetPr codeName="Sheet8">
    <tabColor rgb="FFFFC000"/>
    <pageSetUpPr fitToPage="1"/>
  </sheetPr>
  <dimension ref="A1:L54"/>
  <sheetViews>
    <sheetView showGridLines="0" zoomScale="55" zoomScaleNormal="55" workbookViewId="0">
      <pane xSplit="1" ySplit="7" topLeftCell="B8" activePane="bottomRight" state="frozen"/>
      <selection pane="topRight" activeCell="B1" sqref="B1"/>
      <selection pane="bottomLeft" activeCell="A8" sqref="A8"/>
      <selection pane="bottomRight" activeCell="M7" sqref="M7"/>
    </sheetView>
  </sheetViews>
  <sheetFormatPr defaultRowHeight="14.4" x14ac:dyDescent="0.3"/>
  <cols>
    <col min="1" max="1" width="46.77734375" bestFit="1" customWidth="1"/>
    <col min="2" max="2" width="50.5546875" customWidth="1"/>
    <col min="3" max="4" width="43.77734375" customWidth="1"/>
    <col min="5" max="5" width="36.77734375" bestFit="1" customWidth="1"/>
    <col min="6" max="6" width="36.77734375" customWidth="1"/>
    <col min="7" max="8" width="28" customWidth="1"/>
    <col min="9" max="9" width="45" customWidth="1"/>
    <col min="10" max="11" width="36.21875" bestFit="1" customWidth="1"/>
  </cols>
  <sheetData>
    <row r="1" spans="1:12" ht="19.95" customHeight="1" x14ac:dyDescent="0.3">
      <c r="A1" s="396" t="s">
        <v>15</v>
      </c>
      <c r="B1" s="396"/>
      <c r="C1" s="396"/>
      <c r="D1" s="396"/>
      <c r="E1" s="396"/>
      <c r="F1" s="396"/>
      <c r="G1" s="396"/>
      <c r="H1" s="396"/>
      <c r="I1" s="396"/>
      <c r="J1" s="396"/>
      <c r="K1" s="396"/>
      <c r="L1" s="396"/>
    </row>
    <row r="2" spans="1:12" x14ac:dyDescent="0.3">
      <c r="A2" s="396"/>
      <c r="B2" s="396"/>
      <c r="C2" s="396"/>
      <c r="D2" s="396"/>
      <c r="E2" s="396"/>
      <c r="F2" s="396"/>
      <c r="G2" s="396"/>
      <c r="H2" s="396"/>
      <c r="I2" s="396"/>
      <c r="J2" s="396"/>
      <c r="K2" s="396"/>
      <c r="L2" s="396"/>
    </row>
    <row r="3" spans="1:12" ht="15.6" x14ac:dyDescent="0.3">
      <c r="A3" s="11" t="s">
        <v>90</v>
      </c>
      <c r="B3" s="12"/>
      <c r="C3" s="12"/>
      <c r="D3" s="12"/>
      <c r="E3" s="11"/>
      <c r="F3" s="11"/>
      <c r="G3" s="12"/>
      <c r="H3" s="11"/>
      <c r="I3" s="11"/>
      <c r="J3" s="11"/>
      <c r="K3" s="11"/>
      <c r="L3" s="11"/>
    </row>
    <row r="4" spans="1:12" ht="15.6" x14ac:dyDescent="0.3">
      <c r="A4" s="111" t="s">
        <v>361</v>
      </c>
      <c r="B4" s="12"/>
      <c r="C4" s="12"/>
      <c r="D4" s="12"/>
      <c r="E4" s="11"/>
      <c r="F4" s="11"/>
      <c r="G4" s="12"/>
      <c r="H4" s="11"/>
      <c r="I4" s="11"/>
      <c r="J4" s="11"/>
      <c r="K4" s="11"/>
      <c r="L4" s="11"/>
    </row>
    <row r="5" spans="1:12" ht="25.95" customHeight="1" thickBot="1" x14ac:dyDescent="0.35">
      <c r="A5" s="12" t="s">
        <v>23</v>
      </c>
      <c r="B5" s="12"/>
      <c r="C5" s="12"/>
      <c r="D5" s="12"/>
      <c r="E5" s="11"/>
      <c r="F5" s="11"/>
      <c r="G5" s="12"/>
      <c r="H5" s="11"/>
      <c r="I5" s="11"/>
      <c r="J5" s="11"/>
      <c r="K5" s="11"/>
      <c r="L5" s="11"/>
    </row>
    <row r="6" spans="1:12" ht="15.6" x14ac:dyDescent="0.3">
      <c r="A6" s="406"/>
      <c r="B6" s="235" t="s">
        <v>147</v>
      </c>
      <c r="C6" s="235" t="s">
        <v>147</v>
      </c>
      <c r="D6" s="235" t="s">
        <v>240</v>
      </c>
      <c r="E6" s="236" t="s">
        <v>60</v>
      </c>
      <c r="F6" s="236" t="s">
        <v>100</v>
      </c>
      <c r="G6" s="236" t="s">
        <v>100</v>
      </c>
      <c r="H6" s="236" t="s">
        <v>28</v>
      </c>
      <c r="I6" s="236" t="s">
        <v>28</v>
      </c>
      <c r="J6" s="236" t="s">
        <v>148</v>
      </c>
      <c r="K6" s="237" t="s">
        <v>148</v>
      </c>
      <c r="L6" s="13"/>
    </row>
    <row r="7" spans="1:12" s="165" customFormat="1" ht="47.4" thickBot="1" x14ac:dyDescent="0.35">
      <c r="A7" s="407"/>
      <c r="B7" s="238" t="s">
        <v>334</v>
      </c>
      <c r="C7" s="238" t="s">
        <v>210</v>
      </c>
      <c r="D7" s="238" t="s">
        <v>262</v>
      </c>
      <c r="E7" s="239" t="s">
        <v>388</v>
      </c>
      <c r="F7" s="239" t="s">
        <v>294</v>
      </c>
      <c r="G7" s="239" t="s">
        <v>101</v>
      </c>
      <c r="H7" s="239" t="s">
        <v>64</v>
      </c>
      <c r="I7" s="239" t="s">
        <v>335</v>
      </c>
      <c r="J7" s="239" t="s">
        <v>433</v>
      </c>
      <c r="K7" s="240" t="s">
        <v>211</v>
      </c>
      <c r="L7" s="14"/>
    </row>
    <row r="8" spans="1:12" ht="15.6" x14ac:dyDescent="0.3">
      <c r="A8" s="247" t="s">
        <v>19</v>
      </c>
      <c r="B8" s="16">
        <v>4.2500000000000003E-2</v>
      </c>
      <c r="C8" s="16">
        <v>4.2500000000000003E-2</v>
      </c>
      <c r="D8" s="167">
        <v>4.2500000000000003E-2</v>
      </c>
      <c r="E8" s="16">
        <v>4.2500000000000003E-2</v>
      </c>
      <c r="F8" s="16">
        <v>4.2500000000000003E-2</v>
      </c>
      <c r="G8" s="16">
        <v>4.2500000000000003E-2</v>
      </c>
      <c r="H8" s="16">
        <v>4.2500000000000003E-2</v>
      </c>
      <c r="I8" s="16">
        <v>4.2500000000000003E-2</v>
      </c>
      <c r="J8" s="16">
        <v>4.2500000000000003E-2</v>
      </c>
      <c r="K8" s="248">
        <v>4.2500000000000003E-2</v>
      </c>
      <c r="L8" s="17"/>
    </row>
    <row r="9" spans="1:12" ht="15.6" x14ac:dyDescent="0.3">
      <c r="A9" s="249" t="s">
        <v>16</v>
      </c>
      <c r="B9" s="49" t="s">
        <v>91</v>
      </c>
      <c r="C9" s="49" t="s">
        <v>91</v>
      </c>
      <c r="D9" s="49" t="s">
        <v>253</v>
      </c>
      <c r="E9" s="49" t="s">
        <v>91</v>
      </c>
      <c r="F9" s="49" t="s">
        <v>307</v>
      </c>
      <c r="G9" s="49" t="s">
        <v>91</v>
      </c>
      <c r="H9" s="49" t="s">
        <v>92</v>
      </c>
      <c r="I9" s="49" t="s">
        <v>92</v>
      </c>
      <c r="J9" s="49" t="s">
        <v>92</v>
      </c>
      <c r="K9" s="250" t="s">
        <v>92</v>
      </c>
      <c r="L9" s="19"/>
    </row>
    <row r="10" spans="1:12" ht="15.6" x14ac:dyDescent="0.3">
      <c r="A10" s="251" t="s">
        <v>29</v>
      </c>
      <c r="B10" s="35">
        <v>199760</v>
      </c>
      <c r="C10" s="35">
        <v>200000</v>
      </c>
      <c r="D10" s="35">
        <v>199498.36</v>
      </c>
      <c r="E10" s="35">
        <v>200000</v>
      </c>
      <c r="F10" s="35">
        <v>200000</v>
      </c>
      <c r="G10" s="35">
        <v>200000</v>
      </c>
      <c r="H10" s="35">
        <v>200000</v>
      </c>
      <c r="I10" s="35">
        <v>200000</v>
      </c>
      <c r="J10" s="35">
        <v>200000</v>
      </c>
      <c r="K10" s="252">
        <v>200000</v>
      </c>
      <c r="L10" s="19"/>
    </row>
    <row r="11" spans="1:12" ht="15.6" x14ac:dyDescent="0.3">
      <c r="A11" s="251" t="s">
        <v>24</v>
      </c>
      <c r="B11" s="35">
        <v>125000</v>
      </c>
      <c r="C11" s="35">
        <v>200000</v>
      </c>
      <c r="D11" s="35">
        <v>139000</v>
      </c>
      <c r="E11" s="37" t="s">
        <v>88</v>
      </c>
      <c r="F11" s="28">
        <v>202000</v>
      </c>
      <c r="G11" s="28" t="s">
        <v>88</v>
      </c>
      <c r="H11" s="35">
        <v>200000</v>
      </c>
      <c r="I11" s="35">
        <v>200000</v>
      </c>
      <c r="J11" s="37" t="s">
        <v>88</v>
      </c>
      <c r="K11" s="253" t="s">
        <v>88</v>
      </c>
      <c r="L11" s="19"/>
    </row>
    <row r="12" spans="1:12" ht="15.6" x14ac:dyDescent="0.3">
      <c r="A12" s="251" t="s">
        <v>17</v>
      </c>
      <c r="B12" s="21" t="s">
        <v>270</v>
      </c>
      <c r="C12" s="21" t="s">
        <v>225</v>
      </c>
      <c r="D12" s="21" t="s">
        <v>254</v>
      </c>
      <c r="E12" s="21" t="s">
        <v>399</v>
      </c>
      <c r="F12" s="77" t="s">
        <v>308</v>
      </c>
      <c r="G12" s="21" t="s">
        <v>310</v>
      </c>
      <c r="H12" s="21" t="s">
        <v>95</v>
      </c>
      <c r="I12" s="21" t="s">
        <v>239</v>
      </c>
      <c r="J12" s="21" t="s">
        <v>167</v>
      </c>
      <c r="K12" s="254" t="s">
        <v>228</v>
      </c>
      <c r="L12" s="19"/>
    </row>
    <row r="13" spans="1:12" ht="62.4" x14ac:dyDescent="0.3">
      <c r="A13" s="255" t="s">
        <v>18</v>
      </c>
      <c r="B13" s="53">
        <v>2750</v>
      </c>
      <c r="C13" s="53" t="s">
        <v>366</v>
      </c>
      <c r="D13" s="53">
        <v>1112</v>
      </c>
      <c r="E13" s="24">
        <v>2900</v>
      </c>
      <c r="F13" s="24">
        <v>2800</v>
      </c>
      <c r="G13" s="53">
        <v>1000</v>
      </c>
      <c r="H13" s="53">
        <v>2482</v>
      </c>
      <c r="I13" s="91" t="s">
        <v>373</v>
      </c>
      <c r="J13" s="24">
        <v>2616</v>
      </c>
      <c r="K13" s="256">
        <v>1728</v>
      </c>
      <c r="L13" s="25"/>
    </row>
    <row r="14" spans="1:12" ht="92.55" customHeight="1" x14ac:dyDescent="0.3">
      <c r="A14" s="255" t="s">
        <v>26</v>
      </c>
      <c r="B14" s="161" t="s">
        <v>367</v>
      </c>
      <c r="C14" s="53" t="s">
        <v>365</v>
      </c>
      <c r="D14" s="146">
        <v>7367</v>
      </c>
      <c r="E14" s="164" t="s">
        <v>441</v>
      </c>
      <c r="F14" s="164" t="s">
        <v>372</v>
      </c>
      <c r="G14" s="35">
        <v>6800</v>
      </c>
      <c r="H14" s="35">
        <v>6533</v>
      </c>
      <c r="I14" s="91" t="s">
        <v>375</v>
      </c>
      <c r="J14" s="24">
        <f>7621-121</f>
        <v>7500</v>
      </c>
      <c r="K14" s="256">
        <v>7500</v>
      </c>
      <c r="L14" s="25"/>
    </row>
    <row r="15" spans="1:12" ht="70.349999999999994" customHeight="1" x14ac:dyDescent="0.3">
      <c r="A15" s="257" t="s">
        <v>31</v>
      </c>
      <c r="B15" s="79">
        <f t="shared" ref="B15:H15" si="0">B13/B10</f>
        <v>1.3766519823788546E-2</v>
      </c>
      <c r="C15" s="50" t="s">
        <v>236</v>
      </c>
      <c r="D15" s="44">
        <f t="shared" ref="D15" si="1">D13/D10</f>
        <v>5.5739806582871159E-3</v>
      </c>
      <c r="E15" s="207">
        <f t="shared" si="0"/>
        <v>1.4500000000000001E-2</v>
      </c>
      <c r="F15" s="44">
        <f>F13/F10</f>
        <v>1.4E-2</v>
      </c>
      <c r="G15" s="50">
        <f t="shared" si="0"/>
        <v>5.0000000000000001E-3</v>
      </c>
      <c r="H15" s="44">
        <f t="shared" si="0"/>
        <v>1.2409999999999999E-2</v>
      </c>
      <c r="I15" s="92" t="s">
        <v>374</v>
      </c>
      <c r="J15" s="44">
        <f>J13/J10</f>
        <v>1.308E-2</v>
      </c>
      <c r="K15" s="258">
        <f>K13/K10</f>
        <v>8.6400000000000001E-3</v>
      </c>
      <c r="L15" s="25"/>
    </row>
    <row r="16" spans="1:12" ht="73.5" customHeight="1" x14ac:dyDescent="0.3">
      <c r="A16" s="257" t="s">
        <v>59</v>
      </c>
      <c r="B16" s="50" t="s">
        <v>403</v>
      </c>
      <c r="C16" s="50" t="s">
        <v>442</v>
      </c>
      <c r="D16" s="50">
        <f>D14/D10</f>
        <v>3.6927621861152143E-2</v>
      </c>
      <c r="E16" s="50" t="s">
        <v>404</v>
      </c>
      <c r="F16" s="50" t="s">
        <v>305</v>
      </c>
      <c r="G16" s="50">
        <f>G14/G10</f>
        <v>3.4000000000000002E-2</v>
      </c>
      <c r="H16" s="50">
        <f t="shared" ref="H16:K16" si="2">H14/H10</f>
        <v>3.2665E-2</v>
      </c>
      <c r="I16" s="50" t="s">
        <v>342</v>
      </c>
      <c r="J16" s="59">
        <f t="shared" ref="J16" si="3">J14/J10</f>
        <v>3.7499999999999999E-2</v>
      </c>
      <c r="K16" s="259">
        <f t="shared" si="2"/>
        <v>3.7499999999999999E-2</v>
      </c>
      <c r="L16" s="25"/>
    </row>
    <row r="17" spans="1:12" ht="24.6" customHeight="1" x14ac:dyDescent="0.3">
      <c r="A17" s="255" t="s">
        <v>105</v>
      </c>
      <c r="B17" s="35">
        <v>159808</v>
      </c>
      <c r="C17" s="35">
        <v>160000</v>
      </c>
      <c r="D17" s="35">
        <v>159598</v>
      </c>
      <c r="E17" s="24">
        <v>160000</v>
      </c>
      <c r="F17" s="35">
        <v>160000</v>
      </c>
      <c r="G17" s="35">
        <v>160000</v>
      </c>
      <c r="H17" s="35">
        <v>160000</v>
      </c>
      <c r="I17" s="35">
        <v>160000</v>
      </c>
      <c r="J17" s="24">
        <v>160000</v>
      </c>
      <c r="K17" s="256">
        <v>160000</v>
      </c>
      <c r="L17" s="25"/>
    </row>
    <row r="18" spans="1:12" ht="49.35" customHeight="1" x14ac:dyDescent="0.3">
      <c r="A18" s="257" t="s">
        <v>107</v>
      </c>
      <c r="B18" s="196">
        <f>B17/B10</f>
        <v>0.8</v>
      </c>
      <c r="C18" s="51">
        <v>0.8</v>
      </c>
      <c r="D18" s="43">
        <f t="shared" ref="D18:K18" si="4">D17/D10</f>
        <v>0.7999965513500964</v>
      </c>
      <c r="E18" s="43">
        <f t="shared" si="4"/>
        <v>0.8</v>
      </c>
      <c r="F18" s="51">
        <f t="shared" si="4"/>
        <v>0.8</v>
      </c>
      <c r="G18" s="51">
        <f t="shared" si="4"/>
        <v>0.8</v>
      </c>
      <c r="H18" s="43">
        <f t="shared" si="4"/>
        <v>0.8</v>
      </c>
      <c r="I18" s="43">
        <f t="shared" si="4"/>
        <v>0.8</v>
      </c>
      <c r="J18" s="43">
        <f t="shared" si="4"/>
        <v>0.8</v>
      </c>
      <c r="K18" s="260">
        <f t="shared" si="4"/>
        <v>0.8</v>
      </c>
      <c r="L18" s="25"/>
    </row>
    <row r="19" spans="1:12" ht="63" customHeight="1" x14ac:dyDescent="0.3">
      <c r="A19" s="261" t="s">
        <v>25</v>
      </c>
      <c r="B19" s="156" t="s">
        <v>269</v>
      </c>
      <c r="C19" s="119" t="s">
        <v>223</v>
      </c>
      <c r="D19" s="41" t="s">
        <v>77</v>
      </c>
      <c r="E19" s="156" t="s">
        <v>269</v>
      </c>
      <c r="F19" s="78" t="s">
        <v>306</v>
      </c>
      <c r="G19" s="78" t="s">
        <v>104</v>
      </c>
      <c r="H19" s="41" t="s">
        <v>83</v>
      </c>
      <c r="I19" s="41" t="s">
        <v>125</v>
      </c>
      <c r="J19" s="41" t="s">
        <v>89</v>
      </c>
      <c r="K19" s="262" t="s">
        <v>230</v>
      </c>
      <c r="L19" s="30"/>
    </row>
    <row r="20" spans="1:12" ht="15.6" x14ac:dyDescent="0.3">
      <c r="A20" s="263" t="s">
        <v>30</v>
      </c>
      <c r="B20" s="28">
        <v>201757</v>
      </c>
      <c r="C20" s="28">
        <v>202000</v>
      </c>
      <c r="D20" s="28">
        <v>201493</v>
      </c>
      <c r="E20" s="28">
        <v>210000</v>
      </c>
      <c r="F20" s="28">
        <v>202000</v>
      </c>
      <c r="G20" s="28">
        <v>202000</v>
      </c>
      <c r="H20" s="28">
        <v>210000</v>
      </c>
      <c r="I20" s="28">
        <v>210000</v>
      </c>
      <c r="J20" s="28">
        <v>210000</v>
      </c>
      <c r="K20" s="264">
        <v>210000</v>
      </c>
      <c r="L20" s="25"/>
    </row>
    <row r="21" spans="1:12" ht="46.8" customHeight="1" x14ac:dyDescent="0.3">
      <c r="A21" s="265" t="s">
        <v>32</v>
      </c>
      <c r="B21" s="33">
        <f>B20/B10</f>
        <v>1.0099969963956748</v>
      </c>
      <c r="C21" s="33">
        <f t="shared" ref="C21:K21" si="5">C20/C10</f>
        <v>1.01</v>
      </c>
      <c r="D21" s="33">
        <f t="shared" si="5"/>
        <v>1.0099982776800773</v>
      </c>
      <c r="E21" s="40">
        <f t="shared" si="5"/>
        <v>1.05</v>
      </c>
      <c r="F21" s="33">
        <f t="shared" si="5"/>
        <v>1.01</v>
      </c>
      <c r="G21" s="33">
        <f t="shared" si="5"/>
        <v>1.01</v>
      </c>
      <c r="H21" s="40">
        <f t="shared" si="5"/>
        <v>1.05</v>
      </c>
      <c r="I21" s="40">
        <f t="shared" si="5"/>
        <v>1.05</v>
      </c>
      <c r="J21" s="40">
        <f t="shared" si="5"/>
        <v>1.05</v>
      </c>
      <c r="K21" s="266">
        <f t="shared" si="5"/>
        <v>1.05</v>
      </c>
      <c r="L21" s="25"/>
    </row>
    <row r="22" spans="1:12" ht="15.6" x14ac:dyDescent="0.3">
      <c r="A22" s="267" t="s">
        <v>96</v>
      </c>
      <c r="B22" s="60"/>
      <c r="C22" s="60"/>
      <c r="D22" s="60"/>
      <c r="E22" s="61"/>
      <c r="F22" s="60"/>
      <c r="G22" s="60"/>
      <c r="H22" s="60"/>
      <c r="I22" s="60"/>
      <c r="J22" s="60"/>
      <c r="K22" s="268"/>
      <c r="L22" s="25"/>
    </row>
    <row r="23" spans="1:12" ht="15.6" x14ac:dyDescent="0.3">
      <c r="A23" s="408" t="s">
        <v>38</v>
      </c>
      <c r="B23" s="395"/>
      <c r="C23" s="395"/>
      <c r="D23" s="395"/>
      <c r="E23" s="395"/>
      <c r="F23" s="395"/>
      <c r="G23" s="395"/>
      <c r="H23" s="395"/>
      <c r="I23" s="395"/>
      <c r="J23" s="395"/>
      <c r="K23" s="409"/>
      <c r="L23" s="25"/>
    </row>
    <row r="24" spans="1:12" ht="15.6" x14ac:dyDescent="0.3">
      <c r="A24" s="269" t="s">
        <v>39</v>
      </c>
      <c r="B24" s="47">
        <v>206352</v>
      </c>
      <c r="C24" s="47">
        <v>160000</v>
      </c>
      <c r="D24" s="47">
        <v>205044</v>
      </c>
      <c r="E24" s="29">
        <v>210000</v>
      </c>
      <c r="F24" s="46">
        <v>160000</v>
      </c>
      <c r="G24" s="47">
        <v>202000</v>
      </c>
      <c r="H24" s="47">
        <v>210000</v>
      </c>
      <c r="I24" s="47">
        <v>165994</v>
      </c>
      <c r="J24" s="46">
        <v>165528</v>
      </c>
      <c r="K24" s="270">
        <v>210000</v>
      </c>
      <c r="L24" s="25"/>
    </row>
    <row r="25" spans="1:12" ht="15.6" x14ac:dyDescent="0.3">
      <c r="A25" s="271" t="s">
        <v>40</v>
      </c>
      <c r="B25" s="28">
        <v>210966</v>
      </c>
      <c r="C25" s="28">
        <v>170080</v>
      </c>
      <c r="D25" s="28">
        <v>211028</v>
      </c>
      <c r="E25" s="29">
        <v>218000</v>
      </c>
      <c r="F25" s="29">
        <v>170600</v>
      </c>
      <c r="G25" s="28">
        <v>215340</v>
      </c>
      <c r="H25" s="29">
        <v>226988</v>
      </c>
      <c r="I25" s="29">
        <v>166124</v>
      </c>
      <c r="J25" s="29">
        <v>166000</v>
      </c>
      <c r="K25" s="272">
        <v>212000</v>
      </c>
      <c r="L25" s="25"/>
    </row>
    <row r="26" spans="1:12" ht="15.6" x14ac:dyDescent="0.3">
      <c r="A26" s="265" t="s">
        <v>33</v>
      </c>
      <c r="B26" s="33">
        <f t="shared" ref="B26:K26" si="6">B24/B10</f>
        <v>1.0329995995194232</v>
      </c>
      <c r="C26" s="33">
        <f t="shared" si="6"/>
        <v>0.8</v>
      </c>
      <c r="D26" s="33">
        <f t="shared" si="6"/>
        <v>1.0277979227498413</v>
      </c>
      <c r="E26" s="33">
        <f t="shared" ref="E26:F26" si="7">E24/E10</f>
        <v>1.05</v>
      </c>
      <c r="F26" s="33">
        <f t="shared" si="7"/>
        <v>0.8</v>
      </c>
      <c r="G26" s="33">
        <f t="shared" si="6"/>
        <v>1.01</v>
      </c>
      <c r="H26" s="33">
        <f t="shared" si="6"/>
        <v>1.05</v>
      </c>
      <c r="I26" s="33">
        <f t="shared" si="6"/>
        <v>0.82996999999999999</v>
      </c>
      <c r="J26" s="33">
        <f t="shared" si="6"/>
        <v>0.82764000000000004</v>
      </c>
      <c r="K26" s="273">
        <f t="shared" si="6"/>
        <v>1.05</v>
      </c>
      <c r="L26" s="25"/>
    </row>
    <row r="27" spans="1:12" ht="15.6" x14ac:dyDescent="0.3">
      <c r="A27" s="265" t="s">
        <v>37</v>
      </c>
      <c r="B27" s="33">
        <f t="shared" ref="B27:K27" si="8">B25/B10</f>
        <v>1.0560973167801362</v>
      </c>
      <c r="C27" s="33">
        <f t="shared" si="8"/>
        <v>0.85040000000000004</v>
      </c>
      <c r="D27" s="33">
        <f t="shared" si="8"/>
        <v>1.0577931567958756</v>
      </c>
      <c r="E27" s="33">
        <f t="shared" ref="E27:F27" si="9">E25/E10</f>
        <v>1.0900000000000001</v>
      </c>
      <c r="F27" s="33">
        <f t="shared" si="9"/>
        <v>0.85299999999999998</v>
      </c>
      <c r="G27" s="33">
        <f t="shared" si="8"/>
        <v>1.0767</v>
      </c>
      <c r="H27" s="33">
        <f t="shared" si="8"/>
        <v>1.1349400000000001</v>
      </c>
      <c r="I27" s="33">
        <f t="shared" si="8"/>
        <v>0.83062000000000002</v>
      </c>
      <c r="J27" s="33">
        <f t="shared" si="8"/>
        <v>0.83</v>
      </c>
      <c r="K27" s="273">
        <f t="shared" si="8"/>
        <v>1.06</v>
      </c>
      <c r="L27" s="25"/>
    </row>
    <row r="28" spans="1:12" ht="15.6" x14ac:dyDescent="0.3">
      <c r="A28" s="404" t="s">
        <v>75</v>
      </c>
      <c r="B28" s="393"/>
      <c r="C28" s="393"/>
      <c r="D28" s="393"/>
      <c r="E28" s="393"/>
      <c r="F28" s="393"/>
      <c r="G28" s="393"/>
      <c r="H28" s="393"/>
      <c r="I28" s="393"/>
      <c r="J28" s="393"/>
      <c r="K28" s="405"/>
      <c r="L28" s="25"/>
    </row>
    <row r="29" spans="1:12" ht="15.6" x14ac:dyDescent="0.3">
      <c r="A29" s="269" t="s">
        <v>41</v>
      </c>
      <c r="B29" s="46">
        <f>18*B13</f>
        <v>49500</v>
      </c>
      <c r="C29" s="46">
        <f>(2*2000)+(13*2559)+(4*2739)</f>
        <v>48223</v>
      </c>
      <c r="D29" s="46">
        <f>16*D13</f>
        <v>17792</v>
      </c>
      <c r="E29" s="29">
        <v>52200</v>
      </c>
      <c r="F29" s="46">
        <v>53200</v>
      </c>
      <c r="G29" s="46">
        <v>18000</v>
      </c>
      <c r="H29" s="46">
        <v>39706</v>
      </c>
      <c r="I29" s="46">
        <v>44006</v>
      </c>
      <c r="J29" s="46">
        <v>44472</v>
      </c>
      <c r="K29" s="270">
        <v>27648</v>
      </c>
      <c r="L29" s="25"/>
    </row>
    <row r="30" spans="1:12" ht="15.6" x14ac:dyDescent="0.3">
      <c r="A30" s="251" t="s">
        <v>69</v>
      </c>
      <c r="B30" s="47">
        <v>206352</v>
      </c>
      <c r="C30" s="47">
        <v>160000</v>
      </c>
      <c r="D30" s="47">
        <v>205044</v>
      </c>
      <c r="E30" s="26">
        <v>207220</v>
      </c>
      <c r="F30" s="46">
        <v>160000</v>
      </c>
      <c r="G30" s="47">
        <v>160000</v>
      </c>
      <c r="H30" s="26">
        <v>160000</v>
      </c>
      <c r="I30" s="26">
        <v>160000</v>
      </c>
      <c r="J30" s="26">
        <v>160000</v>
      </c>
      <c r="K30" s="274">
        <v>160000</v>
      </c>
      <c r="L30" s="25"/>
    </row>
    <row r="31" spans="1:12" ht="15.6" x14ac:dyDescent="0.3">
      <c r="A31" s="261" t="s">
        <v>34</v>
      </c>
      <c r="B31" s="33">
        <f t="shared" ref="B31:K31" si="10">B29/B10</f>
        <v>0.24779735682819384</v>
      </c>
      <c r="C31" s="33">
        <f t="shared" si="10"/>
        <v>0.241115</v>
      </c>
      <c r="D31" s="33">
        <f t="shared" si="10"/>
        <v>8.9183690532593854E-2</v>
      </c>
      <c r="E31" s="33">
        <f t="shared" si="10"/>
        <v>0.26100000000000001</v>
      </c>
      <c r="F31" s="33">
        <f t="shared" si="10"/>
        <v>0.26600000000000001</v>
      </c>
      <c r="G31" s="33">
        <f t="shared" si="10"/>
        <v>0.09</v>
      </c>
      <c r="H31" s="33">
        <f t="shared" si="10"/>
        <v>0.19853000000000001</v>
      </c>
      <c r="I31" s="33">
        <f t="shared" si="10"/>
        <v>0.22003</v>
      </c>
      <c r="J31" s="33">
        <f t="shared" si="10"/>
        <v>0.22236</v>
      </c>
      <c r="K31" s="273">
        <f t="shared" si="10"/>
        <v>0.13824</v>
      </c>
      <c r="L31" s="25"/>
    </row>
    <row r="32" spans="1:12" ht="15.6" x14ac:dyDescent="0.3">
      <c r="A32" s="261" t="s">
        <v>70</v>
      </c>
      <c r="B32" s="33">
        <f t="shared" ref="B32:K32" si="11">(B30+B29)/B10</f>
        <v>1.2807969563476171</v>
      </c>
      <c r="C32" s="33">
        <f t="shared" si="11"/>
        <v>1.041115</v>
      </c>
      <c r="D32" s="33">
        <f t="shared" si="11"/>
        <v>1.1169816132824351</v>
      </c>
      <c r="E32" s="33">
        <f t="shared" si="11"/>
        <v>1.2970999999999999</v>
      </c>
      <c r="F32" s="33">
        <f t="shared" si="11"/>
        <v>1.0660000000000001</v>
      </c>
      <c r="G32" s="33">
        <f t="shared" si="11"/>
        <v>0.89</v>
      </c>
      <c r="H32" s="33">
        <f t="shared" si="11"/>
        <v>0.99853000000000003</v>
      </c>
      <c r="I32" s="33">
        <f t="shared" si="11"/>
        <v>1.02003</v>
      </c>
      <c r="J32" s="33">
        <f t="shared" si="11"/>
        <v>1.0223599999999999</v>
      </c>
      <c r="K32" s="273">
        <f t="shared" si="11"/>
        <v>0.93823999999999996</v>
      </c>
      <c r="L32" s="70"/>
    </row>
    <row r="33" spans="1:12" ht="15.6" x14ac:dyDescent="0.3">
      <c r="A33" s="404" t="s">
        <v>76</v>
      </c>
      <c r="B33" s="393"/>
      <c r="C33" s="393"/>
      <c r="D33" s="393"/>
      <c r="E33" s="393"/>
      <c r="F33" s="393"/>
      <c r="G33" s="393"/>
      <c r="H33" s="393"/>
      <c r="I33" s="393"/>
      <c r="J33" s="393"/>
      <c r="K33" s="405"/>
      <c r="L33" s="25"/>
    </row>
    <row r="34" spans="1:12" ht="31.2" x14ac:dyDescent="0.3">
      <c r="A34" s="247" t="s">
        <v>72</v>
      </c>
      <c r="B34" s="52">
        <f>18*6500</f>
        <v>117000</v>
      </c>
      <c r="C34" s="46">
        <f>(2*4700)+(13*6879)+(4*7499)</f>
        <v>128823</v>
      </c>
      <c r="D34" s="52">
        <f>16*D14</f>
        <v>117872</v>
      </c>
      <c r="E34" s="29">
        <f>161559-37359</f>
        <v>124200</v>
      </c>
      <c r="F34" s="46">
        <v>138200</v>
      </c>
      <c r="G34" s="52">
        <f>136466-14066</f>
        <v>122400</v>
      </c>
      <c r="H34" s="46">
        <v>104525</v>
      </c>
      <c r="I34" s="46">
        <f>169730-42230</f>
        <v>127500</v>
      </c>
      <c r="J34" s="46">
        <v>127500</v>
      </c>
      <c r="K34" s="270">
        <f>153622-33622</f>
        <v>120000</v>
      </c>
      <c r="L34" s="25"/>
    </row>
    <row r="35" spans="1:12" ht="15.6" x14ac:dyDescent="0.3">
      <c r="A35" s="251" t="s">
        <v>42</v>
      </c>
      <c r="B35" s="28">
        <v>210966</v>
      </c>
      <c r="C35" s="28">
        <v>168580</v>
      </c>
      <c r="D35" s="28">
        <v>211028</v>
      </c>
      <c r="E35" s="26">
        <v>211220</v>
      </c>
      <c r="F35" s="29">
        <v>170600</v>
      </c>
      <c r="G35" s="28">
        <v>179340</v>
      </c>
      <c r="H35" s="26">
        <v>216891</v>
      </c>
      <c r="I35" s="26">
        <v>164647</v>
      </c>
      <c r="J35" s="26">
        <v>166000</v>
      </c>
      <c r="K35" s="274">
        <v>192000</v>
      </c>
      <c r="L35" s="25"/>
    </row>
    <row r="36" spans="1:12" ht="15.6" x14ac:dyDescent="0.3">
      <c r="A36" s="261" t="s">
        <v>43</v>
      </c>
      <c r="B36" s="33">
        <f t="shared" ref="B36:K36" si="12">B34/B10</f>
        <v>0.58570284341209455</v>
      </c>
      <c r="C36" s="33">
        <f t="shared" si="12"/>
        <v>0.64411499999999999</v>
      </c>
      <c r="D36" s="33">
        <f t="shared" si="12"/>
        <v>0.59084194977843429</v>
      </c>
      <c r="E36" s="33">
        <f t="shared" ref="E36:F36" si="13">E34/E10</f>
        <v>0.621</v>
      </c>
      <c r="F36" s="33">
        <f t="shared" si="13"/>
        <v>0.69099999999999995</v>
      </c>
      <c r="G36" s="33">
        <f t="shared" si="12"/>
        <v>0.61199999999999999</v>
      </c>
      <c r="H36" s="33">
        <f t="shared" si="12"/>
        <v>0.52262500000000001</v>
      </c>
      <c r="I36" s="33">
        <f t="shared" si="12"/>
        <v>0.63749999999999996</v>
      </c>
      <c r="J36" s="33">
        <f t="shared" si="12"/>
        <v>0.63749999999999996</v>
      </c>
      <c r="K36" s="273">
        <f t="shared" si="12"/>
        <v>0.6</v>
      </c>
      <c r="L36" s="25"/>
    </row>
    <row r="37" spans="1:12" ht="15.6" x14ac:dyDescent="0.3">
      <c r="A37" s="275" t="s">
        <v>71</v>
      </c>
      <c r="B37" s="33">
        <f t="shared" ref="B37:K37" si="14">(B34+B35)/B10</f>
        <v>1.6418001601922307</v>
      </c>
      <c r="C37" s="33">
        <f t="shared" si="14"/>
        <v>1.487015</v>
      </c>
      <c r="D37" s="33">
        <f t="shared" si="14"/>
        <v>1.6486351065743099</v>
      </c>
      <c r="E37" s="33">
        <f t="shared" si="14"/>
        <v>1.6771</v>
      </c>
      <c r="F37" s="33">
        <f t="shared" si="14"/>
        <v>1.544</v>
      </c>
      <c r="G37" s="33">
        <f t="shared" si="14"/>
        <v>1.5086999999999999</v>
      </c>
      <c r="H37" s="33">
        <f t="shared" si="14"/>
        <v>1.6070800000000001</v>
      </c>
      <c r="I37" s="33">
        <f t="shared" si="14"/>
        <v>1.4607349999999999</v>
      </c>
      <c r="J37" s="33">
        <f t="shared" si="14"/>
        <v>1.4675</v>
      </c>
      <c r="K37" s="273">
        <f t="shared" si="14"/>
        <v>1.56</v>
      </c>
      <c r="L37" s="71"/>
    </row>
    <row r="38" spans="1:12" ht="15.6" x14ac:dyDescent="0.3">
      <c r="A38" s="276" t="s">
        <v>97</v>
      </c>
      <c r="B38" s="39"/>
      <c r="C38" s="39"/>
      <c r="D38" s="39"/>
      <c r="E38" s="63"/>
      <c r="F38" s="39"/>
      <c r="G38" s="39"/>
      <c r="H38" s="39"/>
      <c r="I38" s="39"/>
      <c r="J38" s="39"/>
      <c r="K38" s="277"/>
      <c r="L38" s="25"/>
    </row>
    <row r="39" spans="1:12" ht="15.6" x14ac:dyDescent="0.3">
      <c r="A39" s="408" t="s">
        <v>38</v>
      </c>
      <c r="B39" s="395"/>
      <c r="C39" s="395"/>
      <c r="D39" s="395"/>
      <c r="E39" s="395"/>
      <c r="F39" s="395"/>
      <c r="G39" s="395"/>
      <c r="H39" s="395"/>
      <c r="I39" s="395"/>
      <c r="J39" s="395"/>
      <c r="K39" s="409"/>
      <c r="L39" s="25"/>
    </row>
    <row r="40" spans="1:12" ht="15.6" x14ac:dyDescent="0.3">
      <c r="A40" s="269" t="s">
        <v>39</v>
      </c>
      <c r="B40" s="46">
        <v>216919</v>
      </c>
      <c r="C40" s="47">
        <v>160000</v>
      </c>
      <c r="D40" s="46">
        <v>215557</v>
      </c>
      <c r="E40" s="29">
        <v>210000</v>
      </c>
      <c r="F40" s="46">
        <v>160000</v>
      </c>
      <c r="G40" s="46">
        <v>202000</v>
      </c>
      <c r="H40" s="47">
        <v>210000</v>
      </c>
      <c r="I40" s="47">
        <v>160000</v>
      </c>
      <c r="J40" s="46">
        <v>160000</v>
      </c>
      <c r="K40" s="270">
        <v>210000</v>
      </c>
      <c r="L40" s="25"/>
    </row>
    <row r="41" spans="1:12" ht="15.6" x14ac:dyDescent="0.3">
      <c r="A41" s="271" t="s">
        <v>40</v>
      </c>
      <c r="B41" s="29">
        <v>225029</v>
      </c>
      <c r="C41" s="28">
        <v>170260</v>
      </c>
      <c r="D41" s="29">
        <v>221541</v>
      </c>
      <c r="E41" s="29">
        <v>228500</v>
      </c>
      <c r="F41" s="29">
        <v>170600</v>
      </c>
      <c r="G41" s="29">
        <v>228660</v>
      </c>
      <c r="H41" s="29">
        <v>326868</v>
      </c>
      <c r="I41" s="29">
        <v>200000</v>
      </c>
      <c r="J41" s="29">
        <v>210000</v>
      </c>
      <c r="K41" s="272">
        <v>216000</v>
      </c>
      <c r="L41" s="25"/>
    </row>
    <row r="42" spans="1:12" ht="15.6" x14ac:dyDescent="0.3">
      <c r="A42" s="265" t="s">
        <v>33</v>
      </c>
      <c r="B42" s="33">
        <f t="shared" ref="B42:K42" si="15">B40/B10</f>
        <v>1.0858980776932319</v>
      </c>
      <c r="C42" s="33">
        <f t="shared" si="15"/>
        <v>0.8</v>
      </c>
      <c r="D42" s="33">
        <f t="shared" si="15"/>
        <v>1.0804950978043129</v>
      </c>
      <c r="E42" s="33">
        <f t="shared" si="15"/>
        <v>1.05</v>
      </c>
      <c r="F42" s="33">
        <f t="shared" si="15"/>
        <v>0.8</v>
      </c>
      <c r="G42" s="33">
        <f t="shared" si="15"/>
        <v>1.01</v>
      </c>
      <c r="H42" s="33">
        <f t="shared" si="15"/>
        <v>1.05</v>
      </c>
      <c r="I42" s="33">
        <f t="shared" si="15"/>
        <v>0.8</v>
      </c>
      <c r="J42" s="33">
        <f t="shared" si="15"/>
        <v>0.8</v>
      </c>
      <c r="K42" s="273">
        <f t="shared" si="15"/>
        <v>1.05</v>
      </c>
      <c r="L42" s="25"/>
    </row>
    <row r="43" spans="1:12" ht="15.6" x14ac:dyDescent="0.3">
      <c r="A43" s="278" t="s">
        <v>37</v>
      </c>
      <c r="B43" s="33">
        <f t="shared" ref="B43:K43" si="16">B41/B10</f>
        <v>1.1264967961553864</v>
      </c>
      <c r="C43" s="33">
        <f t="shared" si="16"/>
        <v>0.85129999999999995</v>
      </c>
      <c r="D43" s="33">
        <f t="shared" si="16"/>
        <v>1.1104903318503472</v>
      </c>
      <c r="E43" s="33">
        <f t="shared" si="16"/>
        <v>1.1425000000000001</v>
      </c>
      <c r="F43" s="33">
        <f t="shared" si="16"/>
        <v>0.85299999999999998</v>
      </c>
      <c r="G43" s="33">
        <f t="shared" si="16"/>
        <v>1.1433</v>
      </c>
      <c r="H43" s="33">
        <f t="shared" si="16"/>
        <v>1.6343399999999999</v>
      </c>
      <c r="I43" s="33">
        <f t="shared" si="16"/>
        <v>1</v>
      </c>
      <c r="J43" s="33">
        <f t="shared" si="16"/>
        <v>1.05</v>
      </c>
      <c r="K43" s="273">
        <f t="shared" si="16"/>
        <v>1.08</v>
      </c>
      <c r="L43" s="25"/>
    </row>
    <row r="44" spans="1:12" ht="15.6" x14ac:dyDescent="0.3">
      <c r="A44" s="404" t="s">
        <v>75</v>
      </c>
      <c r="B44" s="393"/>
      <c r="C44" s="393"/>
      <c r="D44" s="393"/>
      <c r="E44" s="393"/>
      <c r="F44" s="393"/>
      <c r="G44" s="393"/>
      <c r="H44" s="393"/>
      <c r="I44" s="393"/>
      <c r="J44" s="393"/>
      <c r="K44" s="405"/>
      <c r="L44" s="25"/>
    </row>
    <row r="45" spans="1:12" ht="15.6" x14ac:dyDescent="0.3">
      <c r="A45" s="269" t="s">
        <v>41</v>
      </c>
      <c r="B45" s="46">
        <f>38*B13</f>
        <v>104500</v>
      </c>
      <c r="C45" s="46">
        <f>(2*2000)+(13*2559)+(24*2739)</f>
        <v>103003</v>
      </c>
      <c r="D45" s="67">
        <f>36*D13</f>
        <v>40032</v>
      </c>
      <c r="E45" s="67">
        <v>110200</v>
      </c>
      <c r="F45" s="67">
        <v>109200</v>
      </c>
      <c r="G45" s="46">
        <v>38000</v>
      </c>
      <c r="H45" s="46">
        <v>89338</v>
      </c>
      <c r="I45" s="46">
        <v>92006</v>
      </c>
      <c r="J45" s="46">
        <v>96792</v>
      </c>
      <c r="K45" s="270">
        <v>62208</v>
      </c>
      <c r="L45" s="25"/>
    </row>
    <row r="46" spans="1:12" ht="15.6" x14ac:dyDescent="0.3">
      <c r="A46" s="251" t="s">
        <v>69</v>
      </c>
      <c r="B46" s="46">
        <v>216919</v>
      </c>
      <c r="C46" s="47">
        <v>160000</v>
      </c>
      <c r="D46" s="46">
        <v>215557</v>
      </c>
      <c r="E46" s="26">
        <v>210000</v>
      </c>
      <c r="F46" s="66">
        <v>160000</v>
      </c>
      <c r="G46" s="46">
        <v>160000</v>
      </c>
      <c r="H46" s="66">
        <v>160000</v>
      </c>
      <c r="I46" s="66">
        <v>160000</v>
      </c>
      <c r="J46" s="46">
        <v>160000</v>
      </c>
      <c r="K46" s="270">
        <v>160000</v>
      </c>
      <c r="L46" s="25"/>
    </row>
    <row r="47" spans="1:12" ht="15.6" x14ac:dyDescent="0.3">
      <c r="A47" s="261" t="s">
        <v>34</v>
      </c>
      <c r="B47" s="33">
        <f t="shared" ref="B47:K47" si="17">B45/B10</f>
        <v>0.52312775330396477</v>
      </c>
      <c r="C47" s="33">
        <f t="shared" si="17"/>
        <v>0.515015</v>
      </c>
      <c r="D47" s="33">
        <f t="shared" si="17"/>
        <v>0.20066330369833618</v>
      </c>
      <c r="E47" s="33">
        <f t="shared" si="17"/>
        <v>0.55100000000000005</v>
      </c>
      <c r="F47" s="33">
        <f t="shared" si="17"/>
        <v>0.54600000000000004</v>
      </c>
      <c r="G47" s="33">
        <f t="shared" si="17"/>
        <v>0.19</v>
      </c>
      <c r="H47" s="33">
        <f t="shared" si="17"/>
        <v>0.44668999999999998</v>
      </c>
      <c r="I47" s="33">
        <f t="shared" si="17"/>
        <v>0.46002999999999999</v>
      </c>
      <c r="J47" s="33">
        <f t="shared" si="17"/>
        <v>0.48396</v>
      </c>
      <c r="K47" s="273">
        <f t="shared" si="17"/>
        <v>0.31103999999999998</v>
      </c>
      <c r="L47" s="25"/>
    </row>
    <row r="48" spans="1:12" ht="15.6" x14ac:dyDescent="0.3">
      <c r="A48" s="261" t="s">
        <v>70</v>
      </c>
      <c r="B48" s="33">
        <f t="shared" ref="B48:K48" si="18">(B45+B46)/B10</f>
        <v>1.6090258309971965</v>
      </c>
      <c r="C48" s="33">
        <f t="shared" si="18"/>
        <v>1.315015</v>
      </c>
      <c r="D48" s="33">
        <f t="shared" si="18"/>
        <v>1.2811584015026489</v>
      </c>
      <c r="E48" s="33">
        <f t="shared" si="18"/>
        <v>1.601</v>
      </c>
      <c r="F48" s="33">
        <f t="shared" si="18"/>
        <v>1.3460000000000001</v>
      </c>
      <c r="G48" s="33">
        <f t="shared" si="18"/>
        <v>0.99</v>
      </c>
      <c r="H48" s="33">
        <f t="shared" si="18"/>
        <v>1.2466900000000001</v>
      </c>
      <c r="I48" s="33">
        <f t="shared" si="18"/>
        <v>1.26003</v>
      </c>
      <c r="J48" s="33">
        <f t="shared" si="18"/>
        <v>1.28396</v>
      </c>
      <c r="K48" s="273">
        <f t="shared" si="18"/>
        <v>1.11104</v>
      </c>
      <c r="L48" s="70"/>
    </row>
    <row r="49" spans="1:12" ht="15.6" x14ac:dyDescent="0.3">
      <c r="A49" s="404" t="s">
        <v>76</v>
      </c>
      <c r="B49" s="393"/>
      <c r="C49" s="393"/>
      <c r="D49" s="393"/>
      <c r="E49" s="393"/>
      <c r="F49" s="393"/>
      <c r="G49" s="393"/>
      <c r="H49" s="393"/>
      <c r="I49" s="393"/>
      <c r="J49" s="393"/>
      <c r="K49" s="405"/>
      <c r="L49" s="25"/>
    </row>
    <row r="50" spans="1:12" ht="31.2" x14ac:dyDescent="0.3">
      <c r="A50" s="247" t="s">
        <v>72</v>
      </c>
      <c r="B50" s="52">
        <f>(20*6500)+(18*7125)</f>
        <v>258250</v>
      </c>
      <c r="C50" s="46">
        <f>(2*4700)+(13*6879)+(24*7499)</f>
        <v>278803</v>
      </c>
      <c r="D50" s="52">
        <f>36*D14</f>
        <v>265212</v>
      </c>
      <c r="E50" s="29">
        <f>490100-217660</f>
        <v>272440</v>
      </c>
      <c r="F50" s="46">
        <v>286200</v>
      </c>
      <c r="G50" s="52">
        <f>381850-89450</f>
        <v>292400</v>
      </c>
      <c r="H50" s="46">
        <v>235181</v>
      </c>
      <c r="I50" s="46">
        <f>494492-228992</f>
        <v>265500</v>
      </c>
      <c r="J50" s="46">
        <v>277500</v>
      </c>
      <c r="K50" s="270">
        <f>482247-212247</f>
        <v>270000</v>
      </c>
      <c r="L50" s="25"/>
    </row>
    <row r="51" spans="1:12" ht="15.6" x14ac:dyDescent="0.3">
      <c r="A51" s="251" t="s">
        <v>42</v>
      </c>
      <c r="B51" s="29">
        <v>225029</v>
      </c>
      <c r="C51" s="29">
        <v>169760</v>
      </c>
      <c r="D51" s="29">
        <v>221541</v>
      </c>
      <c r="E51" s="22">
        <v>220000</v>
      </c>
      <c r="F51" s="29">
        <v>170600</v>
      </c>
      <c r="G51" s="29">
        <v>206960</v>
      </c>
      <c r="H51" s="22">
        <v>325796</v>
      </c>
      <c r="I51" s="22">
        <v>200000</v>
      </c>
      <c r="J51" s="29">
        <v>210000</v>
      </c>
      <c r="K51" s="272">
        <v>212000</v>
      </c>
      <c r="L51" s="25"/>
    </row>
    <row r="52" spans="1:12" ht="15.6" x14ac:dyDescent="0.3">
      <c r="A52" s="261" t="s">
        <v>43</v>
      </c>
      <c r="B52" s="33">
        <f t="shared" ref="B52:K52" si="19">B50/B10</f>
        <v>1.2928013616339606</v>
      </c>
      <c r="C52" s="33">
        <f t="shared" si="19"/>
        <v>1.394015</v>
      </c>
      <c r="D52" s="33">
        <f t="shared" si="19"/>
        <v>1.3293943870014773</v>
      </c>
      <c r="E52" s="33">
        <f t="shared" si="19"/>
        <v>1.3622000000000001</v>
      </c>
      <c r="F52" s="33">
        <f t="shared" si="19"/>
        <v>1.431</v>
      </c>
      <c r="G52" s="33">
        <f t="shared" si="19"/>
        <v>1.462</v>
      </c>
      <c r="H52" s="33">
        <f t="shared" si="19"/>
        <v>1.175905</v>
      </c>
      <c r="I52" s="33">
        <f t="shared" si="19"/>
        <v>1.3274999999999999</v>
      </c>
      <c r="J52" s="33">
        <f t="shared" si="19"/>
        <v>1.3875</v>
      </c>
      <c r="K52" s="273">
        <f t="shared" si="19"/>
        <v>1.35</v>
      </c>
      <c r="L52" s="11"/>
    </row>
    <row r="53" spans="1:12" ht="16.2" thickBot="1" x14ac:dyDescent="0.35">
      <c r="A53" s="279" t="s">
        <v>71</v>
      </c>
      <c r="B53" s="280">
        <f t="shared" ref="B53:K53" si="20">(B51+B50)/B10</f>
        <v>2.4192981577893473</v>
      </c>
      <c r="C53" s="280">
        <f t="shared" si="20"/>
        <v>2.2428149999999998</v>
      </c>
      <c r="D53" s="280">
        <f t="shared" si="20"/>
        <v>2.4398847188518245</v>
      </c>
      <c r="E53" s="280">
        <f t="shared" si="20"/>
        <v>2.4622000000000002</v>
      </c>
      <c r="F53" s="280">
        <f t="shared" si="20"/>
        <v>2.2839999999999998</v>
      </c>
      <c r="G53" s="280">
        <f t="shared" si="20"/>
        <v>2.4967999999999999</v>
      </c>
      <c r="H53" s="280">
        <f t="shared" si="20"/>
        <v>2.8048850000000001</v>
      </c>
      <c r="I53" s="280">
        <f t="shared" si="20"/>
        <v>2.3275000000000001</v>
      </c>
      <c r="J53" s="280">
        <f t="shared" si="20"/>
        <v>2.4375</v>
      </c>
      <c r="K53" s="281">
        <f t="shared" si="20"/>
        <v>2.41</v>
      </c>
      <c r="L53" s="71"/>
    </row>
    <row r="54" spans="1:12" ht="15.6" x14ac:dyDescent="0.3">
      <c r="A54" s="11"/>
      <c r="B54" s="11"/>
      <c r="C54" s="11"/>
      <c r="D54" s="11"/>
      <c r="E54" s="11" t="s">
        <v>61</v>
      </c>
      <c r="F54" s="11"/>
      <c r="G54" s="11"/>
      <c r="H54" s="11"/>
      <c r="I54" s="11"/>
      <c r="J54" s="11"/>
      <c r="K54" s="11"/>
      <c r="L54" s="11"/>
    </row>
  </sheetData>
  <sheetProtection algorithmName="SHA-512" hashValue="3fzQbmZZbEKm6gRFD+gU4je3L/Et5snMi2SURf6OwS0cW0ZkCjBgsBB0UCeUGP+aD/1ppNJTRTNb5rGLFn7Xjg==" saltValue="o+UslVU6y7C+7fYAK5SSCA==" spinCount="100000" sheet="1" objects="1" scenarios="1"/>
  <mergeCells count="8">
    <mergeCell ref="A28:K28"/>
    <mergeCell ref="A1:L2"/>
    <mergeCell ref="A6:A7"/>
    <mergeCell ref="A23:K23"/>
    <mergeCell ref="A49:K49"/>
    <mergeCell ref="A33:K33"/>
    <mergeCell ref="A39:K39"/>
    <mergeCell ref="A44:K44"/>
  </mergeCells>
  <conditionalFormatting sqref="B26:K26">
    <cfRule type="top10" dxfId="75" priority="12" rank="1"/>
  </conditionalFormatting>
  <conditionalFormatting sqref="B27:K27">
    <cfRule type="top10" dxfId="74" priority="11" rank="1"/>
  </conditionalFormatting>
  <conditionalFormatting sqref="B31:K31">
    <cfRule type="top10" dxfId="73" priority="10" rank="1"/>
  </conditionalFormatting>
  <conditionalFormatting sqref="B32:K32">
    <cfRule type="top10" dxfId="72" priority="9" rank="1"/>
  </conditionalFormatting>
  <conditionalFormatting sqref="B36:K36">
    <cfRule type="top10" dxfId="71" priority="8" rank="1"/>
  </conditionalFormatting>
  <conditionalFormatting sqref="B37:K37">
    <cfRule type="top10" dxfId="70" priority="7" rank="1"/>
  </conditionalFormatting>
  <conditionalFormatting sqref="B42:K42">
    <cfRule type="top10" dxfId="69" priority="6" rank="1"/>
  </conditionalFormatting>
  <conditionalFormatting sqref="B43:K43">
    <cfRule type="top10" dxfId="68" priority="5" rank="1"/>
  </conditionalFormatting>
  <conditionalFormatting sqref="B47:K47">
    <cfRule type="top10" dxfId="67" priority="4" rank="1"/>
  </conditionalFormatting>
  <conditionalFormatting sqref="B48:K48">
    <cfRule type="top10" dxfId="66" priority="3" rank="1"/>
  </conditionalFormatting>
  <conditionalFormatting sqref="B52:K52">
    <cfRule type="top10" dxfId="65" priority="2" rank="1"/>
  </conditionalFormatting>
  <conditionalFormatting sqref="B53:K53">
    <cfRule type="top10" dxfId="64" priority="1" rank="1"/>
  </conditionalFormatting>
  <pageMargins left="0.7" right="0.7" top="0.75" bottom="0.75" header="0.3" footer="0.3"/>
  <pageSetup paperSize="9" scale="42" orientation="landscape" horizontalDpi="90" verticalDpi="90"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Page</vt:lpstr>
      <vt:lpstr>Disclaimers</vt:lpstr>
      <vt:lpstr>Non-Providers</vt:lpstr>
      <vt:lpstr>Summary</vt:lpstr>
      <vt:lpstr>Product Features</vt:lpstr>
      <vt:lpstr>(Age 5) SP $200k </vt:lpstr>
      <vt:lpstr>(Age 5) SP $500k</vt:lpstr>
      <vt:lpstr>(Age 5) SP $1M</vt:lpstr>
      <vt:lpstr>(Age 40) SP $200k</vt:lpstr>
      <vt:lpstr>(Age 40) SP $500k</vt:lpstr>
      <vt:lpstr>(Age 40) SP $1M</vt:lpstr>
      <vt:lpstr>(Age 55) SP $200k</vt:lpstr>
      <vt:lpstr>(Age 55) SP $500k</vt:lpstr>
      <vt:lpstr>(Age 55) SP $1M</vt:lpstr>
      <vt:lpstr>MNS (USD)</vt:lpstr>
      <vt:lpstr>'(Age 40) SP $1M'!Print_Area</vt:lpstr>
      <vt:lpstr>'(Age 40) SP $200k'!Print_Area</vt:lpstr>
      <vt:lpstr>'(Age 40) SP $500k'!Print_Area</vt:lpstr>
      <vt:lpstr>'(Age 5) SP $1M'!Print_Area</vt:lpstr>
      <vt:lpstr>'(Age 5) SP $200k '!Print_Area</vt:lpstr>
      <vt:lpstr>'(Age 5) SP $500k'!Print_Area</vt:lpstr>
      <vt:lpstr>'(Age 55) SP $1M'!Print_Area</vt:lpstr>
      <vt:lpstr>'(Age 55) SP $200k'!Print_Area</vt:lpstr>
      <vt:lpstr>'(Age 55) SP $500k'!Print_Area</vt:lpstr>
      <vt:lpstr>Disclaimers!Print_Area</vt:lpstr>
      <vt:lpstr>'MNS (USD)'!Print_Area</vt:lpstr>
      <vt:lpstr>Summary!Print_Area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Yong Shun Lee</cp:lastModifiedBy>
  <cp:lastPrinted>2021-09-17T02:18:43Z</cp:lastPrinted>
  <dcterms:created xsi:type="dcterms:W3CDTF">2017-08-16T02:03:23Z</dcterms:created>
  <dcterms:modified xsi:type="dcterms:W3CDTF">2024-12-06T06:43:06Z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2022-01-24T02:43:42Z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5f5379f2-0287-4d22-b147-c6dfe86c6de5</vt:lpwstr>
  </property>
  <property fmtid="{D5CDD505-2E9C-101B-9397-08002B2CF9AE}" pid="8" name="MSIP_Label_b4736c2c-fcb1-4cac-97f3-89b84deb3f53_ContentBits">
    <vt:lpwstr>2</vt:lpwstr>
  </property>
</Properties>
</file>