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singaporelife-my.sharepoint.com/personal/cristtin_teow_singlife_com/Documents/Desktop/PIAS Product Comparisons (as of 07 March 2025)/"/>
    </mc:Choice>
  </mc:AlternateContent>
  <xr:revisionPtr revIDLastSave="17" documentId="8_{B7704084-B70D-49A7-B2CE-E3CD6C0A0EF4}" xr6:coauthVersionLast="47" xr6:coauthVersionMax="47" xr10:uidLastSave="{5385B47E-7D18-4C7A-BAB5-D76C231539AE}"/>
  <bookViews>
    <workbookView xWindow="28690" yWindow="-110" windowWidth="29020" windowHeight="15700" tabRatio="599" activeTab="4" xr2:uid="{00000000-000D-0000-FFFF-FFFF00000000}"/>
  </bookViews>
  <sheets>
    <sheet name="Cover Page" sheetId="32" r:id="rId1"/>
    <sheet name="Overview &amp; Important Notes" sheetId="29" r:id="rId2"/>
    <sheet name="Value Comparison (Summary)" sheetId="31" r:id="rId3"/>
    <sheet name="Non-Provider Plans" sheetId="30" r:id="rId4"/>
    <sheet name="Product Features" sheetId="3" r:id="rId5"/>
    <sheet name="Endowment Retirement (SP 100k)" sheetId="20" r:id="rId6"/>
    <sheet name="Endowment Retirement (SP) " sheetId="17" state="hidden" r:id="rId7"/>
    <sheet name="Endowment Retirement (SP 200k)" sheetId="21" r:id="rId8"/>
    <sheet name="Age 20 - 29  ($12k premiums)" sheetId="23" r:id="rId9"/>
    <sheet name="Age 20 - 29  ($24k premiums)" sheetId="24" r:id="rId10"/>
    <sheet name="Age 20 - 29 " sheetId="8" state="hidden" r:id="rId11"/>
    <sheet name="Age 30 - 39 ($12k premiums)" sheetId="19" r:id="rId12"/>
    <sheet name="Age 30 - 39 ($24k premiums)" sheetId="22" r:id="rId13"/>
    <sheet name="Age 30 - 39" sheetId="15" state="hidden" r:id="rId14"/>
    <sheet name="Age 40 - 49 ($12k premiums)" sheetId="25" r:id="rId15"/>
    <sheet name="Age 40 - 49 ($24k premiums)" sheetId="26" r:id="rId16"/>
    <sheet name="Age 40 - 49" sheetId="13" state="hidden" r:id="rId17"/>
    <sheet name="Age 50 - 59 ($12k premiums)" sheetId="27" r:id="rId18"/>
    <sheet name="Age 50 - 59 ($24k premiums)" sheetId="28" r:id="rId19"/>
  </sheets>
  <definedNames>
    <definedName name="_xlnm._FilterDatabase" localSheetId="4" hidden="1">'Product Features'!$A$2:$G$27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29" l="1"/>
  <c r="D7" i="29"/>
  <c r="E7" i="29"/>
  <c r="F7" i="29"/>
  <c r="G7" i="29"/>
  <c r="H7" i="29"/>
  <c r="C7" i="29"/>
  <c r="D6" i="29"/>
  <c r="E6" i="29"/>
  <c r="F6" i="29"/>
  <c r="G6" i="29"/>
  <c r="H6" i="29"/>
  <c r="C6" i="29"/>
  <c r="H5" i="29" l="1"/>
  <c r="G5" i="29"/>
  <c r="F5" i="29"/>
  <c r="E5" i="29"/>
  <c r="D5" i="29"/>
  <c r="C5" i="29"/>
  <c r="A5" i="29"/>
  <c r="N72" i="31"/>
  <c r="M72" i="31"/>
  <c r="L72" i="31"/>
  <c r="K72" i="31"/>
  <c r="H72" i="31"/>
  <c r="G72" i="31"/>
  <c r="F72" i="31"/>
  <c r="E72" i="31"/>
  <c r="N71" i="31"/>
  <c r="M71" i="31"/>
  <c r="N70" i="31"/>
  <c r="M70" i="31"/>
  <c r="L70" i="31"/>
  <c r="K70" i="31"/>
  <c r="J70" i="31"/>
  <c r="I70" i="31"/>
  <c r="H70" i="31"/>
  <c r="G70" i="31"/>
  <c r="F70" i="31"/>
  <c r="E70" i="31"/>
  <c r="C71" i="31"/>
  <c r="D71" i="31"/>
  <c r="C72" i="31"/>
  <c r="D72" i="31"/>
  <c r="D70" i="31"/>
  <c r="C70" i="31"/>
  <c r="N68" i="31"/>
  <c r="M68" i="31"/>
  <c r="N67" i="31"/>
  <c r="M67" i="31"/>
  <c r="N66" i="31"/>
  <c r="M66" i="31"/>
  <c r="N65" i="31"/>
  <c r="M65" i="31"/>
  <c r="L68" i="31"/>
  <c r="K68" i="31"/>
  <c r="L67" i="31"/>
  <c r="K67" i="31"/>
  <c r="L66" i="31"/>
  <c r="K66" i="31"/>
  <c r="L65" i="31"/>
  <c r="K65" i="31"/>
  <c r="J68" i="31"/>
  <c r="I68" i="31"/>
  <c r="J67" i="31"/>
  <c r="I67" i="31"/>
  <c r="J66" i="31"/>
  <c r="I66" i="31"/>
  <c r="J65" i="31"/>
  <c r="I65" i="31"/>
  <c r="H68" i="31"/>
  <c r="G68" i="31"/>
  <c r="H67" i="31"/>
  <c r="G67" i="31"/>
  <c r="H66" i="31"/>
  <c r="G66" i="31"/>
  <c r="H65" i="31"/>
  <c r="G65" i="31"/>
  <c r="F68" i="31"/>
  <c r="E68" i="31"/>
  <c r="F67" i="31"/>
  <c r="E67" i="31"/>
  <c r="F66" i="31"/>
  <c r="E66" i="31"/>
  <c r="F65" i="31"/>
  <c r="E65" i="31"/>
  <c r="C66" i="31"/>
  <c r="D66" i="31"/>
  <c r="C67" i="31"/>
  <c r="D67" i="31"/>
  <c r="C68" i="31"/>
  <c r="D68" i="31"/>
  <c r="D65" i="31"/>
  <c r="C65" i="31"/>
  <c r="N50" i="31"/>
  <c r="M50" i="31"/>
  <c r="N51" i="31"/>
  <c r="M51" i="31"/>
  <c r="L51" i="31"/>
  <c r="K51" i="31"/>
  <c r="H51" i="31"/>
  <c r="G51" i="31"/>
  <c r="F51" i="31"/>
  <c r="E51" i="31"/>
  <c r="N49" i="31"/>
  <c r="M49" i="31"/>
  <c r="L49" i="31"/>
  <c r="K49" i="31"/>
  <c r="J49" i="31"/>
  <c r="I49" i="31"/>
  <c r="H49" i="31"/>
  <c r="G49" i="31"/>
  <c r="F49" i="31"/>
  <c r="E49" i="31"/>
  <c r="C50" i="31"/>
  <c r="D50" i="31"/>
  <c r="C51" i="31"/>
  <c r="D51" i="31"/>
  <c r="D49" i="31"/>
  <c r="C49" i="31"/>
  <c r="N47" i="31"/>
  <c r="M47" i="31"/>
  <c r="N46" i="31"/>
  <c r="M46" i="31"/>
  <c r="N45" i="31"/>
  <c r="M45" i="31"/>
  <c r="N44" i="31"/>
  <c r="M44" i="31"/>
  <c r="L47" i="31"/>
  <c r="K47" i="31"/>
  <c r="L46" i="31"/>
  <c r="K46" i="31"/>
  <c r="L45" i="31"/>
  <c r="K45" i="31"/>
  <c r="L44" i="31"/>
  <c r="K44" i="31"/>
  <c r="J47" i="31"/>
  <c r="I47" i="31"/>
  <c r="J46" i="31"/>
  <c r="I46" i="31"/>
  <c r="J45" i="31"/>
  <c r="I45" i="31"/>
  <c r="J44" i="31"/>
  <c r="I44" i="31"/>
  <c r="H47" i="31"/>
  <c r="G47" i="31"/>
  <c r="H46" i="31"/>
  <c r="G46" i="31"/>
  <c r="H45" i="31"/>
  <c r="G45" i="31"/>
  <c r="H44" i="31"/>
  <c r="G44" i="31"/>
  <c r="F47" i="31"/>
  <c r="E47" i="31"/>
  <c r="F46" i="31"/>
  <c r="E46" i="31"/>
  <c r="F45" i="31"/>
  <c r="E45" i="31"/>
  <c r="F44" i="31"/>
  <c r="E44" i="31"/>
  <c r="C45" i="31"/>
  <c r="D45" i="31"/>
  <c r="C46" i="31"/>
  <c r="D46" i="31"/>
  <c r="C47" i="31"/>
  <c r="D47" i="31"/>
  <c r="D44" i="31"/>
  <c r="C44" i="31"/>
  <c r="S8" i="28" a="1"/>
  <c r="S8" i="28" s="1"/>
  <c r="R8" i="28" a="1"/>
  <c r="R8" i="28" s="1"/>
  <c r="S7" i="28" a="1"/>
  <c r="S7" i="28" s="1"/>
  <c r="R7" i="28"/>
  <c r="R7" i="28" a="1"/>
  <c r="S6" i="28" a="1"/>
  <c r="S6" i="28" s="1"/>
  <c r="R6" i="28" a="1"/>
  <c r="R6" i="28" s="1"/>
  <c r="S8" i="27" a="1"/>
  <c r="S8" i="27" s="1"/>
  <c r="S7" i="27" a="1"/>
  <c r="S7" i="27" s="1"/>
  <c r="R7" i="27" a="1"/>
  <c r="R7" i="27" s="1"/>
  <c r="R8" i="27" a="1"/>
  <c r="R8" i="27" s="1"/>
  <c r="S6" i="27"/>
  <c r="S6" i="27" a="1"/>
  <c r="R6" i="27" a="1"/>
  <c r="R6" i="27" s="1"/>
  <c r="R7" i="26" a="1"/>
  <c r="R7" i="26" s="1"/>
  <c r="R8" i="26" a="1"/>
  <c r="R8" i="26" s="1"/>
  <c r="R9" i="26" a="1"/>
  <c r="R9" i="26" s="1"/>
  <c r="S9" i="26" a="1"/>
  <c r="S9" i="26" s="1"/>
  <c r="S8" i="26" a="1"/>
  <c r="S8" i="26" s="1"/>
  <c r="S7" i="26" a="1"/>
  <c r="S7" i="26" s="1"/>
  <c r="S6" i="26" a="1"/>
  <c r="S6" i="26" s="1"/>
  <c r="R6" i="26" a="1"/>
  <c r="R6" i="26" s="1"/>
  <c r="S9" i="25" a="1"/>
  <c r="S9" i="25" s="1"/>
  <c r="S8" i="25" a="1"/>
  <c r="S8" i="25" s="1"/>
  <c r="S7" i="25" a="1"/>
  <c r="S7" i="25" s="1"/>
  <c r="S6" i="25" a="1"/>
  <c r="S6" i="25" s="1"/>
  <c r="R9" i="25" a="1"/>
  <c r="R9" i="25" s="1"/>
  <c r="R8" i="25" a="1"/>
  <c r="R8" i="25" s="1"/>
  <c r="R7" i="25" a="1"/>
  <c r="R7" i="25" s="1"/>
  <c r="R6" i="25" a="1"/>
  <c r="R6" i="25" s="1"/>
  <c r="J62" i="31"/>
  <c r="I62" i="31"/>
  <c r="J61" i="31"/>
  <c r="I61" i="31"/>
  <c r="H62" i="31"/>
  <c r="G62" i="31"/>
  <c r="H61" i="31"/>
  <c r="G61" i="31"/>
  <c r="J59" i="31"/>
  <c r="I59" i="31"/>
  <c r="H59" i="31"/>
  <c r="G59" i="31"/>
  <c r="N63" i="31"/>
  <c r="M63" i="31"/>
  <c r="N62" i="31"/>
  <c r="M62" i="31"/>
  <c r="N61" i="31"/>
  <c r="M61" i="31"/>
  <c r="N60" i="31"/>
  <c r="M60" i="31"/>
  <c r="N59" i="31"/>
  <c r="M59" i="31"/>
  <c r="L63" i="31"/>
  <c r="K63" i="31"/>
  <c r="L62" i="31"/>
  <c r="K62" i="31"/>
  <c r="L61" i="31"/>
  <c r="K61" i="31"/>
  <c r="L60" i="31"/>
  <c r="K60" i="31"/>
  <c r="L59" i="31"/>
  <c r="K59" i="31"/>
  <c r="F63" i="31"/>
  <c r="E63" i="31"/>
  <c r="F62" i="31"/>
  <c r="E62" i="31"/>
  <c r="F61" i="31"/>
  <c r="E61" i="31"/>
  <c r="F60" i="31"/>
  <c r="E60" i="31"/>
  <c r="F59" i="31"/>
  <c r="E59" i="31"/>
  <c r="C60" i="31"/>
  <c r="D60" i="31"/>
  <c r="C61" i="31"/>
  <c r="D61" i="31"/>
  <c r="C62" i="31"/>
  <c r="D62" i="31"/>
  <c r="C63" i="31"/>
  <c r="D63" i="31"/>
  <c r="D59" i="31"/>
  <c r="C59" i="31"/>
  <c r="N42" i="31"/>
  <c r="M42" i="31"/>
  <c r="L42" i="31"/>
  <c r="K42" i="31"/>
  <c r="N39" i="31"/>
  <c r="M39" i="31"/>
  <c r="L39" i="31"/>
  <c r="K39" i="31"/>
  <c r="N41" i="31"/>
  <c r="M41" i="31"/>
  <c r="N40" i="31"/>
  <c r="M40" i="31"/>
  <c r="L41" i="31"/>
  <c r="K41" i="31"/>
  <c r="L40" i="31"/>
  <c r="K40" i="31"/>
  <c r="J41" i="31"/>
  <c r="I41" i="31"/>
  <c r="J40" i="31"/>
  <c r="I40" i="31"/>
  <c r="H41" i="31"/>
  <c r="G41" i="31"/>
  <c r="H40" i="31"/>
  <c r="G40" i="31"/>
  <c r="N38" i="31"/>
  <c r="M38" i="31"/>
  <c r="L38" i="31"/>
  <c r="K38" i="31"/>
  <c r="J38" i="31"/>
  <c r="I38" i="31"/>
  <c r="H38" i="31"/>
  <c r="G38" i="31"/>
  <c r="F42" i="31"/>
  <c r="E42" i="31"/>
  <c r="F41" i="31"/>
  <c r="E41" i="31"/>
  <c r="F40" i="31"/>
  <c r="E40" i="31"/>
  <c r="F39" i="31"/>
  <c r="E39" i="31"/>
  <c r="F38" i="31"/>
  <c r="E38" i="31"/>
  <c r="D39" i="31"/>
  <c r="D40" i="31"/>
  <c r="D41" i="31"/>
  <c r="D42" i="31"/>
  <c r="D38" i="31"/>
  <c r="C39" i="31"/>
  <c r="C40" i="31"/>
  <c r="C41" i="31"/>
  <c r="C42" i="31"/>
  <c r="C38" i="31"/>
  <c r="S10" i="22" a="1"/>
  <c r="S10" i="22" s="1"/>
  <c r="R10" i="22" a="1"/>
  <c r="R10" i="22" s="1"/>
  <c r="S9" i="22" a="1"/>
  <c r="S9" i="22" s="1"/>
  <c r="R9" i="22" a="1"/>
  <c r="R9" i="22" s="1"/>
  <c r="S8" i="22" a="1"/>
  <c r="S8" i="22" s="1"/>
  <c r="R8" i="22" a="1"/>
  <c r="R8" i="22" s="1"/>
  <c r="S7" i="22" a="1"/>
  <c r="S7" i="22" s="1"/>
  <c r="R7" i="22" a="1"/>
  <c r="R7" i="22" s="1"/>
  <c r="S6" i="22" a="1"/>
  <c r="S6" i="22" s="1"/>
  <c r="R6" i="22" a="1"/>
  <c r="R6" i="22" s="1"/>
  <c r="S10" i="19" a="1"/>
  <c r="S10" i="19" s="1"/>
  <c r="S9" i="19" a="1"/>
  <c r="S9" i="19" s="1"/>
  <c r="S8" i="19" a="1"/>
  <c r="S8" i="19" s="1"/>
  <c r="S7" i="19" a="1"/>
  <c r="S7" i="19" s="1"/>
  <c r="S6" i="19" a="1"/>
  <c r="S6" i="19" s="1"/>
  <c r="R10" i="19" a="1"/>
  <c r="R10" i="19" s="1"/>
  <c r="R9" i="19" a="1"/>
  <c r="R9" i="19" s="1"/>
  <c r="R8" i="19" a="1"/>
  <c r="R8" i="19" s="1"/>
  <c r="R6" i="19" a="1"/>
  <c r="R6" i="19" s="1"/>
  <c r="R7" i="19" a="1"/>
  <c r="R7" i="19" s="1"/>
  <c r="J56" i="31"/>
  <c r="I56" i="31"/>
  <c r="N57" i="31"/>
  <c r="M57" i="31"/>
  <c r="N56" i="31"/>
  <c r="M56" i="31"/>
  <c r="N55" i="31"/>
  <c r="M55" i="31"/>
  <c r="L57" i="31"/>
  <c r="K57" i="31"/>
  <c r="L56" i="31"/>
  <c r="K56" i="31"/>
  <c r="K55" i="31"/>
  <c r="F57" i="31"/>
  <c r="E57" i="31"/>
  <c r="F56" i="31"/>
  <c r="E56" i="31"/>
  <c r="F55" i="31"/>
  <c r="E55" i="31"/>
  <c r="D55" i="31"/>
  <c r="D56" i="31"/>
  <c r="D57" i="31"/>
  <c r="C55" i="31"/>
  <c r="C56" i="31"/>
  <c r="C57" i="31"/>
  <c r="S9" i="24" a="1"/>
  <c r="S9" i="24" s="1"/>
  <c r="R9" i="24" a="1"/>
  <c r="R9" i="24" s="1"/>
  <c r="S8" i="24" a="1"/>
  <c r="S8" i="24" s="1"/>
  <c r="R8" i="24" a="1"/>
  <c r="R8" i="24" s="1"/>
  <c r="S7" i="24" a="1"/>
  <c r="S7" i="24" s="1"/>
  <c r="R7" i="24" a="1"/>
  <c r="R7" i="24" s="1"/>
  <c r="S6" i="24" a="1"/>
  <c r="S6" i="24" s="1"/>
  <c r="J54" i="31" s="1"/>
  <c r="R6" i="24" a="1"/>
  <c r="R6" i="24" s="1"/>
  <c r="I54" i="31" s="1"/>
  <c r="N36" i="31"/>
  <c r="M36" i="31"/>
  <c r="N35" i="31"/>
  <c r="M35" i="31"/>
  <c r="N34" i="31"/>
  <c r="M34" i="31"/>
  <c r="N33" i="31"/>
  <c r="M33" i="31"/>
  <c r="L36" i="31"/>
  <c r="K36" i="31"/>
  <c r="L35" i="31"/>
  <c r="K35" i="31"/>
  <c r="K34" i="31"/>
  <c r="L33" i="31"/>
  <c r="K33" i="31"/>
  <c r="J35" i="31"/>
  <c r="I35" i="31"/>
  <c r="J33" i="31"/>
  <c r="I33" i="31"/>
  <c r="D33" i="31"/>
  <c r="S9" i="23" a="1"/>
  <c r="S9" i="23" s="1"/>
  <c r="F36" i="31" s="1"/>
  <c r="S8" i="23" a="1"/>
  <c r="S8" i="23" s="1"/>
  <c r="F35" i="31" s="1"/>
  <c r="R9" i="23" a="1"/>
  <c r="R9" i="23" s="1"/>
  <c r="E36" i="31" s="1"/>
  <c r="S7" i="23" a="1"/>
  <c r="S7" i="23" s="1"/>
  <c r="F34" i="31" s="1"/>
  <c r="R8" i="23" a="1"/>
  <c r="R8" i="23" s="1"/>
  <c r="E35" i="31" s="1"/>
  <c r="R7" i="23" a="1"/>
  <c r="R7" i="23" s="1"/>
  <c r="C34" i="31" s="1"/>
  <c r="S6" i="23" a="1"/>
  <c r="S6" i="23" s="1"/>
  <c r="F33" i="31" s="1"/>
  <c r="R6" i="23" a="1"/>
  <c r="R6" i="23" s="1"/>
  <c r="E33" i="31" s="1"/>
  <c r="N30" i="31"/>
  <c r="M30" i="31"/>
  <c r="N28" i="31"/>
  <c r="M28" i="31"/>
  <c r="N27" i="31"/>
  <c r="M27" i="31"/>
  <c r="N26" i="31"/>
  <c r="M26" i="31"/>
  <c r="N25" i="31"/>
  <c r="M25" i="31"/>
  <c r="N24" i="31"/>
  <c r="M24" i="31"/>
  <c r="N22" i="31"/>
  <c r="M22" i="31"/>
  <c r="N21" i="31"/>
  <c r="M21" i="31"/>
  <c r="K26" i="31"/>
  <c r="L26" i="31"/>
  <c r="K27" i="31"/>
  <c r="L27" i="31"/>
  <c r="K28" i="31"/>
  <c r="L28" i="31"/>
  <c r="K30" i="31"/>
  <c r="L30" i="31"/>
  <c r="L25" i="31"/>
  <c r="K25" i="31"/>
  <c r="L24" i="31"/>
  <c r="K24" i="31"/>
  <c r="L22" i="31"/>
  <c r="K22" i="31"/>
  <c r="L21" i="31"/>
  <c r="K21" i="31"/>
  <c r="H30" i="31"/>
  <c r="G30" i="31"/>
  <c r="H28" i="31"/>
  <c r="G28" i="31"/>
  <c r="H27" i="31"/>
  <c r="G27" i="31"/>
  <c r="H26" i="31"/>
  <c r="G26" i="31"/>
  <c r="H25" i="31"/>
  <c r="G25" i="31"/>
  <c r="D22" i="31"/>
  <c r="D24" i="31"/>
  <c r="D25" i="31"/>
  <c r="D26" i="31"/>
  <c r="D27" i="31"/>
  <c r="D28" i="31"/>
  <c r="D30" i="31"/>
  <c r="D21" i="31"/>
  <c r="C22" i="31"/>
  <c r="C24" i="31"/>
  <c r="C25" i="31"/>
  <c r="C26" i="31"/>
  <c r="C27" i="31"/>
  <c r="C28" i="31"/>
  <c r="C30" i="31"/>
  <c r="S14" i="21" a="1"/>
  <c r="S14" i="21" s="1"/>
  <c r="R14" i="21" a="1"/>
  <c r="R14" i="21" s="1"/>
  <c r="S13" i="21" a="1"/>
  <c r="S13" i="21" s="1"/>
  <c r="R13" i="21" a="1"/>
  <c r="R13" i="21" s="1"/>
  <c r="S12" i="21" a="1"/>
  <c r="S12" i="21" s="1"/>
  <c r="R12" i="21" a="1"/>
  <c r="R12" i="21" s="1"/>
  <c r="S11" i="21" a="1"/>
  <c r="S11" i="21" s="1"/>
  <c r="R11" i="21" a="1"/>
  <c r="R11" i="21" s="1"/>
  <c r="S10" i="21" a="1"/>
  <c r="S10" i="21" s="1"/>
  <c r="R10" i="21" a="1"/>
  <c r="R10" i="21" s="1"/>
  <c r="S9" i="21" a="1"/>
  <c r="S9" i="21" s="1"/>
  <c r="R9" i="21" a="1"/>
  <c r="R9" i="21" s="1"/>
  <c r="S8" i="21" a="1"/>
  <c r="S8" i="21" s="1"/>
  <c r="N23" i="31" s="1"/>
  <c r="R8" i="21" a="1"/>
  <c r="R8" i="21" s="1"/>
  <c r="M23" i="31" s="1"/>
  <c r="S7" i="21" a="1"/>
  <c r="S7" i="21" s="1"/>
  <c r="R7" i="21" a="1"/>
  <c r="R7" i="21" s="1"/>
  <c r="S6" i="21" a="1"/>
  <c r="S6" i="21" s="1"/>
  <c r="R6" i="21" a="1"/>
  <c r="R6" i="21" s="1"/>
  <c r="C21" i="31" s="1"/>
  <c r="H19" i="31"/>
  <c r="H17" i="31"/>
  <c r="H16" i="31"/>
  <c r="H15" i="31"/>
  <c r="H14" i="31"/>
  <c r="G19" i="31"/>
  <c r="G17" i="31"/>
  <c r="G16" i="31"/>
  <c r="G15" i="31"/>
  <c r="G14" i="31"/>
  <c r="L10" i="31"/>
  <c r="N19" i="31"/>
  <c r="N17" i="31"/>
  <c r="N16" i="31"/>
  <c r="N15" i="31"/>
  <c r="N14" i="31"/>
  <c r="N13" i="31"/>
  <c r="N12" i="31"/>
  <c r="N11" i="31"/>
  <c r="N10" i="31"/>
  <c r="M19" i="31"/>
  <c r="M17" i="31"/>
  <c r="M16" i="31"/>
  <c r="M15" i="31"/>
  <c r="M14" i="31"/>
  <c r="M13" i="31"/>
  <c r="M12" i="31"/>
  <c r="M11" i="31"/>
  <c r="M10" i="31"/>
  <c r="L19" i="31"/>
  <c r="K19" i="31"/>
  <c r="L17" i="31"/>
  <c r="K17" i="31"/>
  <c r="L16" i="31"/>
  <c r="K16" i="31"/>
  <c r="L15" i="31"/>
  <c r="K15" i="31"/>
  <c r="L14" i="31"/>
  <c r="K14" i="31"/>
  <c r="L13" i="31"/>
  <c r="K13" i="31"/>
  <c r="L12" i="31"/>
  <c r="K12" i="31"/>
  <c r="L11" i="31"/>
  <c r="K11" i="31"/>
  <c r="K10" i="31"/>
  <c r="D11" i="31"/>
  <c r="D12" i="31"/>
  <c r="D13" i="31"/>
  <c r="D14" i="31"/>
  <c r="D15" i="31"/>
  <c r="D16" i="31"/>
  <c r="D17" i="31"/>
  <c r="D19" i="31"/>
  <c r="D10" i="31"/>
  <c r="C11" i="31"/>
  <c r="C12" i="31"/>
  <c r="C13" i="31"/>
  <c r="C14" i="31"/>
  <c r="C15" i="31"/>
  <c r="C16" i="31"/>
  <c r="C17" i="31"/>
  <c r="C19" i="31"/>
  <c r="C10" i="31"/>
  <c r="S14" i="20" a="1"/>
  <c r="S14" i="20" s="1"/>
  <c r="S13" i="20" a="1"/>
  <c r="S13" i="20" s="1"/>
  <c r="S12" i="20" a="1"/>
  <c r="S12" i="20" s="1"/>
  <c r="S11" i="20" a="1"/>
  <c r="S11" i="20" s="1"/>
  <c r="S10" i="20" a="1"/>
  <c r="S10" i="20" s="1"/>
  <c r="S9" i="20" a="1"/>
  <c r="S9" i="20" s="1"/>
  <c r="S8" i="20" a="1"/>
  <c r="S8" i="20" s="1"/>
  <c r="R14" i="20" a="1"/>
  <c r="R14" i="20" s="1"/>
  <c r="R13" i="20" a="1"/>
  <c r="R13" i="20" s="1"/>
  <c r="R12" i="20" a="1"/>
  <c r="R12" i="20" s="1"/>
  <c r="R11" i="20" a="1"/>
  <c r="R11" i="20" s="1"/>
  <c r="R10" i="20" a="1"/>
  <c r="R10" i="20" s="1"/>
  <c r="R9" i="20" a="1"/>
  <c r="R9" i="20" s="1"/>
  <c r="R8" i="20" a="1"/>
  <c r="R8" i="20" s="1"/>
  <c r="S7" i="20" a="1"/>
  <c r="S7" i="20" s="1"/>
  <c r="R7" i="20" a="1"/>
  <c r="R7" i="20" s="1"/>
  <c r="S6" i="20" a="1"/>
  <c r="S6" i="20" s="1"/>
  <c r="R6" i="20" a="1"/>
  <c r="R6" i="20" s="1"/>
  <c r="D13" i="29"/>
  <c r="E13" i="29"/>
  <c r="F13" i="29"/>
  <c r="G13" i="29"/>
  <c r="H13" i="29"/>
  <c r="C13" i="29"/>
  <c r="A13" i="29"/>
  <c r="D12" i="29"/>
  <c r="E12" i="29"/>
  <c r="F12" i="29"/>
  <c r="G12" i="29"/>
  <c r="H12" i="29"/>
  <c r="C12" i="29"/>
  <c r="A12" i="29"/>
  <c r="D11" i="29"/>
  <c r="E11" i="29"/>
  <c r="F11" i="29"/>
  <c r="G11" i="29"/>
  <c r="H11" i="29"/>
  <c r="C11" i="29"/>
  <c r="A11" i="29"/>
  <c r="D10" i="29"/>
  <c r="E10" i="29"/>
  <c r="F10" i="29"/>
  <c r="G10" i="29"/>
  <c r="H10" i="29"/>
  <c r="C10" i="29"/>
  <c r="A10" i="29"/>
  <c r="D9" i="29"/>
  <c r="E9" i="29"/>
  <c r="F9" i="29"/>
  <c r="G9" i="29"/>
  <c r="H9" i="29"/>
  <c r="C9" i="29"/>
  <c r="A9" i="29"/>
  <c r="D8" i="29"/>
  <c r="E8" i="29"/>
  <c r="F8" i="29"/>
  <c r="G8" i="29"/>
  <c r="H8" i="29"/>
  <c r="C8" i="29"/>
  <c r="D54" i="31" l="1"/>
  <c r="C54" i="31"/>
  <c r="E54" i="31"/>
  <c r="K54" i="31"/>
  <c r="M54" i="31"/>
  <c r="F54" i="31"/>
  <c r="L54" i="31"/>
  <c r="N54" i="31"/>
  <c r="C36" i="31"/>
  <c r="D36" i="31"/>
  <c r="C35" i="31"/>
  <c r="D35" i="31"/>
  <c r="E34" i="31"/>
  <c r="D34" i="31"/>
  <c r="C33" i="31"/>
  <c r="C23" i="31"/>
  <c r="D23" i="31"/>
  <c r="K23" i="31"/>
  <c r="L23" i="31"/>
  <c r="H8" i="22" l="1"/>
  <c r="I32" i="28"/>
  <c r="D103" i="21"/>
  <c r="K35" i="28"/>
  <c r="I35" i="28"/>
  <c r="D35" i="28"/>
  <c r="K35" i="27"/>
  <c r="I35" i="27"/>
  <c r="H35" i="27"/>
  <c r="D35" i="27"/>
  <c r="F35" i="27" l="1"/>
  <c r="H35" i="28"/>
  <c r="F35" i="28"/>
  <c r="I34" i="28"/>
  <c r="J34" i="28" s="1"/>
  <c r="L34" i="28" s="1"/>
  <c r="H34" i="28"/>
  <c r="D34" i="28"/>
  <c r="F34" i="28" s="1"/>
  <c r="I33" i="28"/>
  <c r="J33" i="28" s="1"/>
  <c r="L33" i="28" s="1"/>
  <c r="D33" i="28"/>
  <c r="E33" i="28" s="1"/>
  <c r="H33" i="28" s="1"/>
  <c r="J32" i="28"/>
  <c r="L32" i="28" s="1"/>
  <c r="D32" i="28"/>
  <c r="E32" i="28" s="1"/>
  <c r="H32" i="28" s="1"/>
  <c r="K31" i="28"/>
  <c r="I31" i="28"/>
  <c r="J31" i="28" s="1"/>
  <c r="L31" i="28" s="1"/>
  <c r="D31" i="28"/>
  <c r="E31" i="28" s="1"/>
  <c r="H31" i="28" s="1"/>
  <c r="I34" i="27"/>
  <c r="J34" i="27" s="1"/>
  <c r="L34" i="27" s="1"/>
  <c r="D34" i="27"/>
  <c r="F34" i="27" s="1"/>
  <c r="I33" i="27"/>
  <c r="J33" i="27" s="1"/>
  <c r="L33" i="27" s="1"/>
  <c r="D33" i="27"/>
  <c r="E33" i="27" s="1"/>
  <c r="H33" i="27" s="1"/>
  <c r="I32" i="27"/>
  <c r="J32" i="27" s="1"/>
  <c r="L32" i="27" s="1"/>
  <c r="H32" i="27"/>
  <c r="D32" i="27"/>
  <c r="K31" i="27"/>
  <c r="I31" i="27"/>
  <c r="J31" i="27" s="1"/>
  <c r="H31" i="27"/>
  <c r="D31" i="27"/>
  <c r="H106" i="21"/>
  <c r="I106" i="21" s="1"/>
  <c r="K106" i="21" s="1"/>
  <c r="D106" i="21"/>
  <c r="G106" i="21" s="1"/>
  <c r="H105" i="21"/>
  <c r="I105" i="21" s="1"/>
  <c r="K105" i="21" s="1"/>
  <c r="G105" i="21"/>
  <c r="D105" i="21"/>
  <c r="H104" i="21"/>
  <c r="I104" i="21" s="1"/>
  <c r="G104" i="21"/>
  <c r="D104" i="21"/>
  <c r="K103" i="21"/>
  <c r="J103" i="21"/>
  <c r="I103" i="21"/>
  <c r="H103" i="21"/>
  <c r="G103" i="21"/>
  <c r="H106" i="20"/>
  <c r="I106" i="20" s="1"/>
  <c r="K106" i="20" s="1"/>
  <c r="D106" i="20"/>
  <c r="G106" i="20" s="1"/>
  <c r="H105" i="20"/>
  <c r="I105" i="20" s="1"/>
  <c r="K105" i="20" s="1"/>
  <c r="D105" i="20"/>
  <c r="G105" i="20" s="1"/>
  <c r="H104" i="20"/>
  <c r="I104" i="20" s="1"/>
  <c r="K104" i="20" s="1"/>
  <c r="G104" i="20"/>
  <c r="J103" i="20"/>
  <c r="H103" i="20"/>
  <c r="I103" i="20" s="1"/>
  <c r="K103" i="20" s="1"/>
  <c r="G103" i="20"/>
  <c r="L31" i="27" l="1"/>
  <c r="F9" i="27"/>
  <c r="F11" i="27"/>
  <c r="I7" i="27"/>
  <c r="I7" i="28"/>
  <c r="K7" i="27"/>
  <c r="I22" i="28"/>
  <c r="J22" i="28" s="1"/>
  <c r="L22" i="28" s="1"/>
  <c r="I10" i="28"/>
  <c r="J10" i="28" s="1"/>
  <c r="L10" i="28" s="1"/>
  <c r="I22" i="27"/>
  <c r="J22" i="27" s="1"/>
  <c r="L22" i="27" s="1"/>
  <c r="I10" i="27"/>
  <c r="J10" i="27" s="1"/>
  <c r="L10" i="27" s="1"/>
  <c r="H93" i="21"/>
  <c r="H81" i="21"/>
  <c r="G79" i="21"/>
  <c r="H93" i="20"/>
  <c r="H81" i="20"/>
  <c r="I81" i="20" s="1"/>
  <c r="K81" i="20" s="1"/>
  <c r="I8" i="28"/>
  <c r="L8" i="28" s="1"/>
  <c r="I8" i="27"/>
  <c r="J8" i="27" s="1"/>
  <c r="L8" i="27" s="1"/>
  <c r="H92" i="21"/>
  <c r="I92" i="21" s="1"/>
  <c r="K92" i="21" s="1"/>
  <c r="H92" i="20"/>
  <c r="I92" i="20" s="1"/>
  <c r="K92" i="20" s="1"/>
  <c r="H80" i="21"/>
  <c r="H80" i="20"/>
  <c r="I80" i="20" s="1"/>
  <c r="K80" i="20" s="1"/>
  <c r="K21" i="28"/>
  <c r="I21" i="28"/>
  <c r="J21" i="28" s="1"/>
  <c r="K21" i="27"/>
  <c r="I21" i="27"/>
  <c r="J21" i="27" s="1"/>
  <c r="K6" i="28"/>
  <c r="I6" i="28"/>
  <c r="J6" i="28" s="1"/>
  <c r="K6" i="27"/>
  <c r="I6" i="27"/>
  <c r="J6" i="27" s="1"/>
  <c r="I11" i="28"/>
  <c r="J11" i="28" s="1"/>
  <c r="L11" i="28" s="1"/>
  <c r="I11" i="27"/>
  <c r="J11" i="27" s="1"/>
  <c r="L11" i="27" s="1"/>
  <c r="H94" i="21"/>
  <c r="I94" i="21" s="1"/>
  <c r="K94" i="21" s="1"/>
  <c r="H82" i="21"/>
  <c r="H94" i="20"/>
  <c r="I94" i="20" s="1"/>
  <c r="K94" i="20" s="1"/>
  <c r="H82" i="20"/>
  <c r="D22" i="28"/>
  <c r="E22" i="28" s="1"/>
  <c r="H22" i="28" s="1"/>
  <c r="H21" i="28"/>
  <c r="D21" i="28"/>
  <c r="H11" i="28"/>
  <c r="D11" i="28"/>
  <c r="F11" i="28" s="1"/>
  <c r="D10" i="28"/>
  <c r="E10" i="28" s="1"/>
  <c r="H10" i="28" s="1"/>
  <c r="J9" i="28"/>
  <c r="K9" i="28" s="1"/>
  <c r="H9" i="28"/>
  <c r="D9" i="28"/>
  <c r="F9" i="28" s="1"/>
  <c r="D8" i="28"/>
  <c r="E8" i="28" s="1"/>
  <c r="F8" i="28" s="1"/>
  <c r="K7" i="28"/>
  <c r="H7" i="28"/>
  <c r="D7" i="28"/>
  <c r="F7" i="28" s="1"/>
  <c r="H6" i="28"/>
  <c r="D6" i="28"/>
  <c r="D22" i="27"/>
  <c r="E22" i="27" s="1"/>
  <c r="H22" i="27" s="1"/>
  <c r="H21" i="27"/>
  <c r="D21" i="27"/>
  <c r="H11" i="27"/>
  <c r="D11" i="27"/>
  <c r="D10" i="27"/>
  <c r="E10" i="27" s="1"/>
  <c r="H10" i="27" s="1"/>
  <c r="J9" i="27"/>
  <c r="K9" i="27" s="1"/>
  <c r="H9" i="27"/>
  <c r="D9" i="27"/>
  <c r="D8" i="27"/>
  <c r="E8" i="27" s="1"/>
  <c r="H7" i="27"/>
  <c r="D7" i="27"/>
  <c r="F7" i="27" s="1"/>
  <c r="H6" i="27"/>
  <c r="D6" i="27"/>
  <c r="J91" i="21"/>
  <c r="H91" i="21"/>
  <c r="I91" i="21" s="1"/>
  <c r="K91" i="21" s="1"/>
  <c r="J91" i="20"/>
  <c r="H91" i="20"/>
  <c r="I91" i="20" s="1"/>
  <c r="H79" i="20"/>
  <c r="I79" i="20" s="1"/>
  <c r="J79" i="21"/>
  <c r="H79" i="21"/>
  <c r="I79" i="21" s="1"/>
  <c r="J79" i="20"/>
  <c r="G94" i="21"/>
  <c r="I93" i="21"/>
  <c r="K93" i="21" s="1"/>
  <c r="D93" i="21"/>
  <c r="G93" i="21" s="1"/>
  <c r="G92" i="21"/>
  <c r="G91" i="21"/>
  <c r="I82" i="21"/>
  <c r="K82" i="21" s="1"/>
  <c r="G82" i="21"/>
  <c r="I81" i="21"/>
  <c r="K81" i="21" s="1"/>
  <c r="D81" i="21"/>
  <c r="G81" i="21" s="1"/>
  <c r="I80" i="21"/>
  <c r="K80" i="21" s="1"/>
  <c r="G80" i="21"/>
  <c r="G94" i="20"/>
  <c r="I93" i="20"/>
  <c r="K93" i="20" s="1"/>
  <c r="D93" i="20"/>
  <c r="G93" i="20" s="1"/>
  <c r="G92" i="20"/>
  <c r="G91" i="20"/>
  <c r="I82" i="20"/>
  <c r="K82" i="20" s="1"/>
  <c r="G82" i="20"/>
  <c r="D81" i="20"/>
  <c r="G80" i="20"/>
  <c r="G79" i="20"/>
  <c r="K7" i="8"/>
  <c r="K7" i="23"/>
  <c r="K52" i="25"/>
  <c r="K49" i="26"/>
  <c r="K35" i="26"/>
  <c r="K21" i="26"/>
  <c r="K7" i="26"/>
  <c r="K37" i="25"/>
  <c r="K22" i="25"/>
  <c r="K7" i="25"/>
  <c r="K65" i="22"/>
  <c r="K50" i="22"/>
  <c r="K35" i="22"/>
  <c r="K22" i="22"/>
  <c r="K7" i="22"/>
  <c r="K65" i="19"/>
  <c r="K50" i="19"/>
  <c r="K35" i="19"/>
  <c r="K22" i="19"/>
  <c r="K7" i="19"/>
  <c r="K50" i="24"/>
  <c r="K35" i="24"/>
  <c r="K22" i="24"/>
  <c r="K7" i="24"/>
  <c r="K50" i="23"/>
  <c r="K35" i="23"/>
  <c r="K22" i="23"/>
  <c r="K8" i="8"/>
  <c r="K36" i="23"/>
  <c r="K8" i="23"/>
  <c r="K36" i="24"/>
  <c r="K8" i="24"/>
  <c r="K50" i="15"/>
  <c r="K9" i="13"/>
  <c r="K51" i="26"/>
  <c r="K37" i="26"/>
  <c r="K23" i="26"/>
  <c r="K9" i="26"/>
  <c r="K54" i="25"/>
  <c r="K39" i="25"/>
  <c r="K24" i="25"/>
  <c r="K9" i="25"/>
  <c r="K37" i="22"/>
  <c r="K9" i="22"/>
  <c r="K52" i="19"/>
  <c r="K37" i="19"/>
  <c r="K9" i="19"/>
  <c r="F10" i="28" l="1"/>
  <c r="L6" i="27"/>
  <c r="F10" i="27"/>
  <c r="L6" i="28"/>
  <c r="L21" i="28"/>
  <c r="L21" i="27"/>
  <c r="H8" i="28"/>
  <c r="H8" i="27"/>
  <c r="F8" i="27"/>
  <c r="K91" i="20"/>
  <c r="K79" i="21"/>
  <c r="K79" i="20"/>
  <c r="H11" i="25"/>
  <c r="J11" i="26"/>
  <c r="H11" i="26"/>
  <c r="K48" i="8"/>
  <c r="H48" i="8"/>
  <c r="F48" i="8"/>
  <c r="K34" i="8"/>
  <c r="H34" i="8"/>
  <c r="F34" i="8"/>
  <c r="K21" i="8"/>
  <c r="H21" i="8"/>
  <c r="F21" i="8"/>
  <c r="D23" i="8"/>
  <c r="D22" i="8"/>
  <c r="D20" i="8"/>
  <c r="D50" i="8"/>
  <c r="D49" i="8"/>
  <c r="D47" i="8"/>
  <c r="J55" i="20" l="1"/>
  <c r="K6" i="23"/>
  <c r="K20" i="26"/>
  <c r="K48" i="26"/>
  <c r="I48" i="26"/>
  <c r="K51" i="25"/>
  <c r="I51" i="25"/>
  <c r="I36" i="25"/>
  <c r="I20" i="26"/>
  <c r="I21" i="25"/>
  <c r="I6" i="26"/>
  <c r="I6" i="25"/>
  <c r="K64" i="22"/>
  <c r="I64" i="22"/>
  <c r="K49" i="22"/>
  <c r="I49" i="22"/>
  <c r="K34" i="22"/>
  <c r="I34" i="22"/>
  <c r="H57" i="21"/>
  <c r="D57" i="21"/>
  <c r="G57" i="21" s="1"/>
  <c r="H69" i="21"/>
  <c r="D69" i="21"/>
  <c r="G69" i="21" s="1"/>
  <c r="D69" i="20"/>
  <c r="H69" i="20"/>
  <c r="I23" i="22"/>
  <c r="I50" i="26"/>
  <c r="E50" i="26"/>
  <c r="I53" i="25"/>
  <c r="E36" i="26"/>
  <c r="I38" i="25"/>
  <c r="I22" i="26"/>
  <c r="E22" i="26"/>
  <c r="I23" i="25"/>
  <c r="I8" i="26"/>
  <c r="E8" i="26"/>
  <c r="I8" i="25"/>
  <c r="I51" i="22"/>
  <c r="I51" i="19"/>
  <c r="I36" i="22"/>
  <c r="I36" i="19"/>
  <c r="I8" i="22"/>
  <c r="I8" i="19"/>
  <c r="H68" i="21"/>
  <c r="H68" i="20"/>
  <c r="H56" i="21"/>
  <c r="H56" i="20"/>
  <c r="I11" i="26"/>
  <c r="I53" i="26"/>
  <c r="I56" i="25"/>
  <c r="I39" i="26"/>
  <c r="I41" i="25"/>
  <c r="I25" i="26"/>
  <c r="I26" i="25"/>
  <c r="I67" i="22"/>
  <c r="I67" i="19"/>
  <c r="I54" i="22"/>
  <c r="I54" i="19"/>
  <c r="I39" i="22"/>
  <c r="I39" i="19"/>
  <c r="I24" i="22"/>
  <c r="I24" i="19"/>
  <c r="I11" i="22"/>
  <c r="I11" i="19"/>
  <c r="I52" i="24"/>
  <c r="I52" i="23"/>
  <c r="I38" i="23"/>
  <c r="I24" i="24"/>
  <c r="I24" i="23"/>
  <c r="I10" i="23"/>
  <c r="I10" i="24"/>
  <c r="H70" i="21"/>
  <c r="H70" i="20"/>
  <c r="H58" i="21"/>
  <c r="H58" i="20"/>
  <c r="H45" i="21"/>
  <c r="H45" i="20"/>
  <c r="H32" i="21"/>
  <c r="H32" i="20"/>
  <c r="H20" i="21"/>
  <c r="H20" i="20"/>
  <c r="H8" i="21"/>
  <c r="G70" i="21"/>
  <c r="G68" i="21"/>
  <c r="G67" i="21"/>
  <c r="G58" i="21"/>
  <c r="G56" i="21"/>
  <c r="G55" i="21"/>
  <c r="G45" i="21"/>
  <c r="G44" i="21"/>
  <c r="G43" i="21"/>
  <c r="G32" i="21"/>
  <c r="G31" i="21"/>
  <c r="G30" i="21"/>
  <c r="G20" i="21"/>
  <c r="G19" i="21"/>
  <c r="G8" i="21"/>
  <c r="H8" i="20"/>
  <c r="D57" i="20"/>
  <c r="H57" i="20"/>
  <c r="D44" i="21"/>
  <c r="H44" i="21"/>
  <c r="J31" i="20"/>
  <c r="H31" i="20"/>
  <c r="H31" i="21"/>
  <c r="H19" i="21"/>
  <c r="D31" i="21"/>
  <c r="D19" i="21"/>
  <c r="G8" i="20"/>
  <c r="G20" i="20"/>
  <c r="H19" i="20"/>
  <c r="J6" i="21"/>
  <c r="D7" i="21"/>
  <c r="H7" i="21"/>
  <c r="H6" i="20"/>
  <c r="D44" i="20"/>
  <c r="D31" i="20"/>
  <c r="D19" i="20"/>
  <c r="G19" i="20" s="1"/>
  <c r="D7" i="20"/>
  <c r="H7" i="20"/>
  <c r="I36" i="24"/>
  <c r="I36" i="23"/>
  <c r="I8" i="23"/>
  <c r="I8" i="24"/>
  <c r="I40" i="25"/>
  <c r="I55" i="25"/>
  <c r="I52" i="26"/>
  <c r="E38" i="26"/>
  <c r="I38" i="26"/>
  <c r="E10" i="26"/>
  <c r="I10" i="26"/>
  <c r="I24" i="26"/>
  <c r="E24" i="26"/>
  <c r="I25" i="25"/>
  <c r="I10" i="25"/>
  <c r="I53" i="22"/>
  <c r="I66" i="22"/>
  <c r="I66" i="19"/>
  <c r="I53" i="19"/>
  <c r="I38" i="19"/>
  <c r="I23" i="19"/>
  <c r="I10" i="19"/>
  <c r="I51" i="24"/>
  <c r="I37" i="24"/>
  <c r="I51" i="23"/>
  <c r="D37" i="23"/>
  <c r="E37" i="23" s="1"/>
  <c r="I37" i="23"/>
  <c r="I9" i="24"/>
  <c r="I23" i="24"/>
  <c r="I23" i="23"/>
  <c r="I9" i="23"/>
  <c r="K21" i="22"/>
  <c r="I21" i="22"/>
  <c r="K6" i="22"/>
  <c r="I6" i="22"/>
  <c r="K6" i="24"/>
  <c r="I6" i="24"/>
  <c r="K21" i="24"/>
  <c r="I21" i="24"/>
  <c r="K34" i="24"/>
  <c r="I34" i="24"/>
  <c r="K49" i="24"/>
  <c r="I49" i="24"/>
  <c r="I49" i="23"/>
  <c r="K34" i="23"/>
  <c r="I34" i="23"/>
  <c r="K21" i="23"/>
  <c r="I21" i="23"/>
  <c r="I6" i="23"/>
  <c r="D53" i="26" l="1"/>
  <c r="D52" i="26"/>
  <c r="E52" i="26" s="1"/>
  <c r="H52" i="26" s="1"/>
  <c r="D51" i="26"/>
  <c r="D50" i="26"/>
  <c r="D49" i="26"/>
  <c r="F49" i="26" s="1"/>
  <c r="D39" i="26"/>
  <c r="D38" i="26"/>
  <c r="D37" i="26"/>
  <c r="D36" i="26"/>
  <c r="F36" i="26" s="1"/>
  <c r="D35" i="26"/>
  <c r="F35" i="26" s="1"/>
  <c r="D25" i="26"/>
  <c r="D24" i="26"/>
  <c r="D23" i="26"/>
  <c r="D22" i="26"/>
  <c r="F22" i="26" s="1"/>
  <c r="D21" i="26"/>
  <c r="F21" i="26" s="1"/>
  <c r="D11" i="26"/>
  <c r="D10" i="26"/>
  <c r="D9" i="26"/>
  <c r="D8" i="26"/>
  <c r="F8" i="26" s="1"/>
  <c r="D7" i="26"/>
  <c r="L38" i="26"/>
  <c r="J53" i="26"/>
  <c r="L53" i="26" s="1"/>
  <c r="J52" i="26"/>
  <c r="L52" i="26" s="1"/>
  <c r="J51" i="26"/>
  <c r="J50" i="26"/>
  <c r="L50" i="26" s="1"/>
  <c r="J48" i="26"/>
  <c r="L48" i="26" s="1"/>
  <c r="J39" i="26"/>
  <c r="L39" i="26" s="1"/>
  <c r="J38" i="26"/>
  <c r="J37" i="26"/>
  <c r="J36" i="26"/>
  <c r="L36" i="26" s="1"/>
  <c r="J25" i="26"/>
  <c r="L25" i="26" s="1"/>
  <c r="J24" i="26"/>
  <c r="L24" i="26" s="1"/>
  <c r="J23" i="26"/>
  <c r="J22" i="26"/>
  <c r="L22" i="26" s="1"/>
  <c r="J20" i="26"/>
  <c r="L11" i="26"/>
  <c r="J10" i="26"/>
  <c r="L10" i="26" s="1"/>
  <c r="J9" i="26"/>
  <c r="J8" i="26"/>
  <c r="L8" i="26" s="1"/>
  <c r="J6" i="26"/>
  <c r="J56" i="25"/>
  <c r="L56" i="25" s="1"/>
  <c r="J55" i="25"/>
  <c r="L55" i="25" s="1"/>
  <c r="J54" i="25"/>
  <c r="J53" i="25"/>
  <c r="L53" i="25" s="1"/>
  <c r="J51" i="25"/>
  <c r="L51" i="25" s="1"/>
  <c r="J41" i="25"/>
  <c r="L41" i="25" s="1"/>
  <c r="J40" i="25"/>
  <c r="L40" i="25" s="1"/>
  <c r="J39" i="25"/>
  <c r="J38" i="25"/>
  <c r="J36" i="25"/>
  <c r="J26" i="25"/>
  <c r="L26" i="25" s="1"/>
  <c r="J25" i="25"/>
  <c r="L25" i="25" s="1"/>
  <c r="J24" i="25"/>
  <c r="J23" i="25"/>
  <c r="L23" i="25" s="1"/>
  <c r="J21" i="25"/>
  <c r="K21" i="25" s="1"/>
  <c r="J11" i="25"/>
  <c r="L11" i="25" s="1"/>
  <c r="J10" i="25"/>
  <c r="L10" i="25" s="1"/>
  <c r="J9" i="25"/>
  <c r="J8" i="25"/>
  <c r="L8" i="25" s="1"/>
  <c r="J6" i="25"/>
  <c r="K6" i="25" s="1"/>
  <c r="L38" i="25"/>
  <c r="D56" i="25"/>
  <c r="D55" i="25"/>
  <c r="E55" i="25" s="1"/>
  <c r="H55" i="25" s="1"/>
  <c r="D54" i="25"/>
  <c r="D53" i="25"/>
  <c r="D52" i="25"/>
  <c r="F52" i="25" s="1"/>
  <c r="D41" i="25"/>
  <c r="D40" i="25"/>
  <c r="E40" i="25" s="1"/>
  <c r="H40" i="25" s="1"/>
  <c r="D39" i="25"/>
  <c r="D38" i="25"/>
  <c r="D37" i="25"/>
  <c r="F37" i="25" s="1"/>
  <c r="D26" i="25"/>
  <c r="D25" i="25"/>
  <c r="E25" i="25" s="1"/>
  <c r="H25" i="25" s="1"/>
  <c r="D24" i="25"/>
  <c r="D23" i="25"/>
  <c r="D22" i="25"/>
  <c r="F22" i="25" s="1"/>
  <c r="D11" i="25"/>
  <c r="D10" i="25"/>
  <c r="E10" i="25" s="1"/>
  <c r="H10" i="25" s="1"/>
  <c r="D9" i="25"/>
  <c r="D8" i="25"/>
  <c r="D7" i="25"/>
  <c r="F7" i="25" s="1"/>
  <c r="D54" i="22"/>
  <c r="D53" i="22"/>
  <c r="E53" i="22" s="1"/>
  <c r="H53" i="22" s="1"/>
  <c r="D52" i="22"/>
  <c r="D51" i="22"/>
  <c r="F51" i="22" s="1"/>
  <c r="D50" i="22"/>
  <c r="F50" i="22" s="1"/>
  <c r="D24" i="22"/>
  <c r="D23" i="22"/>
  <c r="E23" i="22" s="1"/>
  <c r="H23" i="22" s="1"/>
  <c r="D22" i="22"/>
  <c r="D67" i="22"/>
  <c r="D66" i="22"/>
  <c r="E66" i="22" s="1"/>
  <c r="D65" i="22"/>
  <c r="D35" i="22"/>
  <c r="F35" i="22" s="1"/>
  <c r="H53" i="26"/>
  <c r="H51" i="26"/>
  <c r="H50" i="26"/>
  <c r="F50" i="26"/>
  <c r="H49" i="26"/>
  <c r="H48" i="26"/>
  <c r="D48" i="26"/>
  <c r="H39" i="26"/>
  <c r="H38" i="26"/>
  <c r="H37" i="26"/>
  <c r="H36" i="26"/>
  <c r="H35" i="26"/>
  <c r="D34" i="26"/>
  <c r="H25" i="26"/>
  <c r="H24" i="26"/>
  <c r="H23" i="26"/>
  <c r="H22" i="26"/>
  <c r="H21" i="26"/>
  <c r="H20" i="26"/>
  <c r="D20" i="26"/>
  <c r="H10" i="26"/>
  <c r="H9" i="26"/>
  <c r="H8" i="26"/>
  <c r="H7" i="26"/>
  <c r="F7" i="26"/>
  <c r="H6" i="26"/>
  <c r="D6" i="26"/>
  <c r="H56" i="25"/>
  <c r="H54" i="25"/>
  <c r="H52" i="25"/>
  <c r="H51" i="25"/>
  <c r="D51" i="25"/>
  <c r="H41" i="25"/>
  <c r="H39" i="25"/>
  <c r="H37" i="25"/>
  <c r="H36" i="25"/>
  <c r="D36" i="25"/>
  <c r="H26" i="25"/>
  <c r="H24" i="25"/>
  <c r="H22" i="25"/>
  <c r="H21" i="25"/>
  <c r="D21" i="25"/>
  <c r="H9" i="25"/>
  <c r="H7" i="25"/>
  <c r="H6" i="25"/>
  <c r="D6" i="25"/>
  <c r="F37" i="23"/>
  <c r="F50" i="23"/>
  <c r="F49" i="23"/>
  <c r="D52" i="23"/>
  <c r="F52" i="23" s="1"/>
  <c r="D51" i="23"/>
  <c r="D50" i="23"/>
  <c r="D49" i="23"/>
  <c r="D24" i="23"/>
  <c r="F24" i="23" s="1"/>
  <c r="D23" i="23"/>
  <c r="D22" i="23"/>
  <c r="F22" i="23" s="1"/>
  <c r="D21" i="23"/>
  <c r="F21" i="23" s="1"/>
  <c r="D24" i="24"/>
  <c r="D23" i="24"/>
  <c r="D22" i="24"/>
  <c r="D21" i="24"/>
  <c r="D52" i="24"/>
  <c r="D51" i="24"/>
  <c r="E51" i="24" s="1"/>
  <c r="H51" i="24" s="1"/>
  <c r="D50" i="24"/>
  <c r="F50" i="24" s="1"/>
  <c r="D49" i="24"/>
  <c r="D67" i="19"/>
  <c r="D66" i="19"/>
  <c r="E66" i="19" s="1"/>
  <c r="D65" i="19"/>
  <c r="F65" i="19" s="1"/>
  <c r="D64" i="19"/>
  <c r="D54" i="19"/>
  <c r="D53" i="19"/>
  <c r="E53" i="19" s="1"/>
  <c r="H53" i="19" s="1"/>
  <c r="D52" i="19"/>
  <c r="D51" i="19"/>
  <c r="D50" i="19"/>
  <c r="F50" i="19" s="1"/>
  <c r="D49" i="19"/>
  <c r="F49" i="19" s="1"/>
  <c r="D39" i="19"/>
  <c r="D38" i="19"/>
  <c r="E38" i="19" s="1"/>
  <c r="D37" i="19"/>
  <c r="D36" i="19"/>
  <c r="D35" i="19"/>
  <c r="F35" i="19" s="1"/>
  <c r="D34" i="19"/>
  <c r="F34" i="19" s="1"/>
  <c r="D24" i="19"/>
  <c r="D23" i="19"/>
  <c r="E23" i="19" s="1"/>
  <c r="D22" i="19"/>
  <c r="D21" i="19"/>
  <c r="F21" i="19" s="1"/>
  <c r="J52" i="24"/>
  <c r="L52" i="24" s="1"/>
  <c r="H52" i="24"/>
  <c r="J51" i="24"/>
  <c r="L51" i="24" s="1"/>
  <c r="H50" i="24"/>
  <c r="J49" i="24"/>
  <c r="L49" i="24" s="1"/>
  <c r="H49" i="24"/>
  <c r="J38" i="24"/>
  <c r="L38" i="24" s="1"/>
  <c r="H38" i="24"/>
  <c r="D38" i="24"/>
  <c r="J37" i="24"/>
  <c r="L37" i="24" s="1"/>
  <c r="D37" i="24"/>
  <c r="E37" i="24" s="1"/>
  <c r="H37" i="24" s="1"/>
  <c r="J36" i="24"/>
  <c r="H36" i="24"/>
  <c r="D36" i="24"/>
  <c r="H35" i="24"/>
  <c r="D35" i="24"/>
  <c r="F35" i="24" s="1"/>
  <c r="J34" i="24"/>
  <c r="L34" i="24" s="1"/>
  <c r="H34" i="24"/>
  <c r="D34" i="24"/>
  <c r="J24" i="24"/>
  <c r="L24" i="24" s="1"/>
  <c r="H24" i="24"/>
  <c r="J23" i="24"/>
  <c r="L23" i="24" s="1"/>
  <c r="H23" i="24"/>
  <c r="H22" i="24"/>
  <c r="F22" i="24"/>
  <c r="J21" i="24"/>
  <c r="H21" i="24"/>
  <c r="J10" i="24"/>
  <c r="L10" i="24" s="1"/>
  <c r="H10" i="24"/>
  <c r="D10" i="24"/>
  <c r="J9" i="24"/>
  <c r="L9" i="24" s="1"/>
  <c r="H9" i="24"/>
  <c r="D9" i="24"/>
  <c r="J8" i="24"/>
  <c r="D8" i="24"/>
  <c r="E8" i="24" s="1"/>
  <c r="H8" i="24" s="1"/>
  <c r="H7" i="24"/>
  <c r="D7" i="24"/>
  <c r="F7" i="24" s="1"/>
  <c r="J6" i="24"/>
  <c r="H6" i="24"/>
  <c r="D6" i="24"/>
  <c r="J52" i="23"/>
  <c r="L52" i="23" s="1"/>
  <c r="H52" i="23"/>
  <c r="J51" i="23"/>
  <c r="L51" i="23" s="1"/>
  <c r="H50" i="23"/>
  <c r="J49" i="23"/>
  <c r="K49" i="23" s="1"/>
  <c r="H49" i="23"/>
  <c r="J38" i="23"/>
  <c r="L38" i="23" s="1"/>
  <c r="H38" i="23"/>
  <c r="D38" i="23"/>
  <c r="F38" i="23" s="1"/>
  <c r="J37" i="23"/>
  <c r="L37" i="23" s="1"/>
  <c r="H37" i="23"/>
  <c r="J36" i="23"/>
  <c r="D36" i="23"/>
  <c r="H35" i="23"/>
  <c r="D35" i="23"/>
  <c r="F35" i="23" s="1"/>
  <c r="J34" i="23"/>
  <c r="L34" i="23" s="1"/>
  <c r="H34" i="23"/>
  <c r="D34" i="23"/>
  <c r="F34" i="23" s="1"/>
  <c r="J24" i="23"/>
  <c r="L24" i="23" s="1"/>
  <c r="H24" i="23"/>
  <c r="J23" i="23"/>
  <c r="L23" i="23" s="1"/>
  <c r="H23" i="23"/>
  <c r="H22" i="23"/>
  <c r="J21" i="23"/>
  <c r="L21" i="23" s="1"/>
  <c r="H21" i="23"/>
  <c r="J10" i="23"/>
  <c r="L10" i="23" s="1"/>
  <c r="H10" i="23"/>
  <c r="D10" i="23"/>
  <c r="F10" i="23" s="1"/>
  <c r="J9" i="23"/>
  <c r="L9" i="23" s="1"/>
  <c r="H9" i="23"/>
  <c r="D9" i="23"/>
  <c r="J8" i="23"/>
  <c r="D8" i="23"/>
  <c r="H7" i="23"/>
  <c r="D7" i="23"/>
  <c r="F7" i="23" s="1"/>
  <c r="J6" i="23"/>
  <c r="L6" i="23" s="1"/>
  <c r="H6" i="23"/>
  <c r="D6" i="23"/>
  <c r="F6" i="23" s="1"/>
  <c r="L50" i="8"/>
  <c r="L49" i="8"/>
  <c r="L47" i="8"/>
  <c r="L37" i="8"/>
  <c r="L36" i="8"/>
  <c r="L35" i="8"/>
  <c r="L33" i="8"/>
  <c r="L23" i="8"/>
  <c r="L22" i="8"/>
  <c r="L20" i="8"/>
  <c r="L10" i="8"/>
  <c r="L9" i="8"/>
  <c r="J50" i="8"/>
  <c r="J49" i="8"/>
  <c r="J47" i="8"/>
  <c r="J37" i="8"/>
  <c r="J36" i="8"/>
  <c r="J35" i="8"/>
  <c r="J33" i="8"/>
  <c r="J23" i="8"/>
  <c r="J22" i="8"/>
  <c r="J20" i="8"/>
  <c r="J10" i="8"/>
  <c r="J9" i="8"/>
  <c r="J8" i="8"/>
  <c r="J6" i="8"/>
  <c r="D37" i="8"/>
  <c r="D36" i="8"/>
  <c r="D35" i="8"/>
  <c r="D33" i="8"/>
  <c r="D10" i="8"/>
  <c r="D9" i="8"/>
  <c r="D8" i="8"/>
  <c r="D7" i="8"/>
  <c r="J67" i="21"/>
  <c r="H67" i="21"/>
  <c r="I67" i="21" s="1"/>
  <c r="J55" i="21"/>
  <c r="H55" i="21"/>
  <c r="I55" i="21" s="1"/>
  <c r="D55" i="21"/>
  <c r="J43" i="21"/>
  <c r="H43" i="21"/>
  <c r="J30" i="21"/>
  <c r="H30" i="21"/>
  <c r="I30" i="21" s="1"/>
  <c r="J18" i="21"/>
  <c r="H18" i="21"/>
  <c r="I18" i="21" s="1"/>
  <c r="H6" i="21"/>
  <c r="I6" i="21" s="1"/>
  <c r="I70" i="21"/>
  <c r="K70" i="21" s="1"/>
  <c r="I69" i="21"/>
  <c r="I68" i="21"/>
  <c r="I58" i="21"/>
  <c r="K58" i="21" s="1"/>
  <c r="I57" i="21"/>
  <c r="K57" i="21" s="1"/>
  <c r="I56" i="21"/>
  <c r="I45" i="21"/>
  <c r="K45" i="21" s="1"/>
  <c r="I44" i="21"/>
  <c r="K44" i="21" s="1"/>
  <c r="I43" i="21"/>
  <c r="I32" i="21"/>
  <c r="K32" i="21" s="1"/>
  <c r="I31" i="21"/>
  <c r="K31" i="21" s="1"/>
  <c r="I20" i="21"/>
  <c r="K20" i="21" s="1"/>
  <c r="I19" i="21"/>
  <c r="K19" i="21" s="1"/>
  <c r="I8" i="21"/>
  <c r="K8" i="21" s="1"/>
  <c r="I7" i="21"/>
  <c r="K7" i="21" s="1"/>
  <c r="J67" i="20"/>
  <c r="J43" i="20"/>
  <c r="J30" i="20"/>
  <c r="J18" i="20"/>
  <c r="J6" i="20"/>
  <c r="I70" i="20"/>
  <c r="K70" i="20" s="1"/>
  <c r="I69" i="20"/>
  <c r="K69" i="20" s="1"/>
  <c r="I68" i="20"/>
  <c r="K68" i="20" s="1"/>
  <c r="I67" i="20"/>
  <c r="I58" i="20"/>
  <c r="K58" i="20" s="1"/>
  <c r="I57" i="20"/>
  <c r="K57" i="20" s="1"/>
  <c r="I56" i="20"/>
  <c r="K56" i="20" s="1"/>
  <c r="I55" i="20"/>
  <c r="I45" i="20"/>
  <c r="I44" i="20"/>
  <c r="K44" i="20" s="1"/>
  <c r="I43" i="20"/>
  <c r="I32" i="20"/>
  <c r="K32" i="20" s="1"/>
  <c r="I31" i="20"/>
  <c r="K31" i="20" s="1"/>
  <c r="I30" i="20"/>
  <c r="I20" i="20"/>
  <c r="K20" i="20" s="1"/>
  <c r="I19" i="20"/>
  <c r="K19" i="20" s="1"/>
  <c r="I18" i="20"/>
  <c r="I8" i="20"/>
  <c r="K8" i="20" s="1"/>
  <c r="I7" i="20"/>
  <c r="K7" i="20" s="1"/>
  <c r="I6" i="20"/>
  <c r="J67" i="22"/>
  <c r="L67" i="22" s="1"/>
  <c r="H67" i="22"/>
  <c r="J66" i="22"/>
  <c r="L66" i="22" s="1"/>
  <c r="H66" i="22"/>
  <c r="H65" i="22"/>
  <c r="F65" i="22"/>
  <c r="J64" i="22"/>
  <c r="L64" i="22" s="1"/>
  <c r="H64" i="22"/>
  <c r="D64" i="22"/>
  <c r="J54" i="22"/>
  <c r="L54" i="22" s="1"/>
  <c r="H54" i="22"/>
  <c r="J53" i="22"/>
  <c r="L53" i="22" s="1"/>
  <c r="J52" i="22"/>
  <c r="H52" i="22"/>
  <c r="J51" i="22"/>
  <c r="L51" i="22" s="1"/>
  <c r="H51" i="22"/>
  <c r="H50" i="22"/>
  <c r="J49" i="22"/>
  <c r="L49" i="22" s="1"/>
  <c r="H49" i="22"/>
  <c r="D49" i="22"/>
  <c r="F49" i="22" s="1"/>
  <c r="J39" i="22"/>
  <c r="L39" i="22" s="1"/>
  <c r="H39" i="22"/>
  <c r="D39" i="22"/>
  <c r="J38" i="22"/>
  <c r="L38" i="22" s="1"/>
  <c r="H38" i="22"/>
  <c r="D38" i="22"/>
  <c r="J37" i="22"/>
  <c r="H37" i="22"/>
  <c r="D37" i="22"/>
  <c r="J36" i="22"/>
  <c r="L36" i="22" s="1"/>
  <c r="H36" i="22"/>
  <c r="D36" i="22"/>
  <c r="F36" i="22" s="1"/>
  <c r="H35" i="22"/>
  <c r="J34" i="22"/>
  <c r="L34" i="22" s="1"/>
  <c r="H34" i="22"/>
  <c r="D34" i="22"/>
  <c r="F34" i="22" s="1"/>
  <c r="J24" i="22"/>
  <c r="L24" i="22" s="1"/>
  <c r="H24" i="22"/>
  <c r="J23" i="22"/>
  <c r="L23" i="22" s="1"/>
  <c r="H22" i="22"/>
  <c r="F22" i="22"/>
  <c r="J21" i="22"/>
  <c r="L21" i="22" s="1"/>
  <c r="H21" i="22"/>
  <c r="D21" i="22"/>
  <c r="F21" i="22" s="1"/>
  <c r="J11" i="22"/>
  <c r="L11" i="22" s="1"/>
  <c r="H11" i="22"/>
  <c r="D11" i="22"/>
  <c r="F11" i="22" s="1"/>
  <c r="J10" i="22"/>
  <c r="L10" i="22" s="1"/>
  <c r="H10" i="22"/>
  <c r="D10" i="22"/>
  <c r="F10" i="22" s="1"/>
  <c r="J9" i="22"/>
  <c r="H9" i="22"/>
  <c r="D9" i="22"/>
  <c r="F9" i="22" s="1"/>
  <c r="J8" i="22"/>
  <c r="L8" i="22" s="1"/>
  <c r="D8" i="22"/>
  <c r="F8" i="22" s="1"/>
  <c r="H7" i="22"/>
  <c r="D7" i="22"/>
  <c r="F7" i="22" s="1"/>
  <c r="J6" i="22"/>
  <c r="H6" i="22"/>
  <c r="D6" i="22"/>
  <c r="F6" i="22" s="1"/>
  <c r="K69" i="21"/>
  <c r="K68" i="21"/>
  <c r="K56" i="21"/>
  <c r="G18" i="21"/>
  <c r="G7" i="21"/>
  <c r="G6" i="21"/>
  <c r="G70" i="20"/>
  <c r="G69" i="20"/>
  <c r="G68" i="20"/>
  <c r="G67" i="20"/>
  <c r="G58" i="20"/>
  <c r="G57" i="20"/>
  <c r="G56" i="20"/>
  <c r="G55" i="20"/>
  <c r="K45" i="20"/>
  <c r="G45" i="20"/>
  <c r="G44" i="20"/>
  <c r="G43" i="20"/>
  <c r="G32" i="20"/>
  <c r="G31" i="20"/>
  <c r="G30" i="20"/>
  <c r="G18" i="20"/>
  <c r="G7" i="20"/>
  <c r="G6" i="20"/>
  <c r="D11" i="19"/>
  <c r="F11" i="19" s="1"/>
  <c r="D10" i="19"/>
  <c r="D9" i="19"/>
  <c r="F9" i="19" s="1"/>
  <c r="D8" i="19"/>
  <c r="F8" i="19" s="1"/>
  <c r="D7" i="19"/>
  <c r="F7" i="19" s="1"/>
  <c r="K64" i="19"/>
  <c r="K6" i="19"/>
  <c r="K21" i="19"/>
  <c r="K34" i="19"/>
  <c r="K49" i="19"/>
  <c r="J67" i="19"/>
  <c r="L67" i="19" s="1"/>
  <c r="J66" i="19"/>
  <c r="L66" i="19" s="1"/>
  <c r="J64" i="19"/>
  <c r="L64" i="19" s="1"/>
  <c r="J54" i="19"/>
  <c r="L54" i="19" s="1"/>
  <c r="J53" i="19"/>
  <c r="L53" i="19" s="1"/>
  <c r="J52" i="19"/>
  <c r="J51" i="19"/>
  <c r="L51" i="19" s="1"/>
  <c r="J49" i="19"/>
  <c r="L49" i="19" s="1"/>
  <c r="J39" i="19"/>
  <c r="L39" i="19" s="1"/>
  <c r="J38" i="19"/>
  <c r="L38" i="19" s="1"/>
  <c r="J37" i="19"/>
  <c r="J36" i="19"/>
  <c r="L36" i="19" s="1"/>
  <c r="J34" i="19"/>
  <c r="J24" i="19"/>
  <c r="L24" i="19" s="1"/>
  <c r="J23" i="19"/>
  <c r="L23" i="19" s="1"/>
  <c r="J21" i="19"/>
  <c r="J11" i="19"/>
  <c r="L11" i="19" s="1"/>
  <c r="J10" i="19"/>
  <c r="L10" i="19" s="1"/>
  <c r="J9" i="19"/>
  <c r="J8" i="19"/>
  <c r="L8" i="19" s="1"/>
  <c r="J6" i="19"/>
  <c r="L6" i="19" s="1"/>
  <c r="H67" i="19"/>
  <c r="H66" i="19"/>
  <c r="H65" i="19"/>
  <c r="H64" i="19"/>
  <c r="H54" i="19"/>
  <c r="H52" i="19"/>
  <c r="H50" i="19"/>
  <c r="H49" i="19"/>
  <c r="H39" i="19"/>
  <c r="H38" i="19"/>
  <c r="H37" i="19"/>
  <c r="H36" i="19"/>
  <c r="F36" i="19"/>
  <c r="H35" i="19"/>
  <c r="H34" i="19"/>
  <c r="H24" i="19"/>
  <c r="H23" i="19"/>
  <c r="H22" i="19"/>
  <c r="F22" i="19"/>
  <c r="H21" i="19"/>
  <c r="H11" i="19"/>
  <c r="H9" i="19"/>
  <c r="H8" i="19"/>
  <c r="H7" i="19"/>
  <c r="H6" i="19"/>
  <c r="D6" i="19"/>
  <c r="F6" i="19" s="1"/>
  <c r="E8" i="23" l="1"/>
  <c r="H8" i="23" s="1"/>
  <c r="E51" i="23"/>
  <c r="H51" i="23" s="1"/>
  <c r="L34" i="19"/>
  <c r="E10" i="19"/>
  <c r="H10" i="19" s="1"/>
  <c r="E51" i="19"/>
  <c r="H51" i="19" s="1"/>
  <c r="E53" i="25"/>
  <c r="H53" i="25" s="1"/>
  <c r="F38" i="25"/>
  <c r="E38" i="25"/>
  <c r="H38" i="25" s="1"/>
  <c r="E23" i="25"/>
  <c r="H23" i="25" s="1"/>
  <c r="E8" i="25"/>
  <c r="H8" i="25" s="1"/>
  <c r="E36" i="23"/>
  <c r="L6" i="22"/>
  <c r="L6" i="24"/>
  <c r="L21" i="24"/>
  <c r="K67" i="21"/>
  <c r="K43" i="21"/>
  <c r="K18" i="21"/>
  <c r="K55" i="21"/>
  <c r="K30" i="21"/>
  <c r="K67" i="20"/>
  <c r="K43" i="20"/>
  <c r="K30" i="20"/>
  <c r="K18" i="20"/>
  <c r="K55" i="20"/>
  <c r="K6" i="20"/>
  <c r="L21" i="19"/>
  <c r="J6" i="17"/>
  <c r="K6" i="17" s="1"/>
  <c r="G6" i="17"/>
  <c r="F9" i="15"/>
  <c r="F10" i="15"/>
  <c r="F11" i="15"/>
  <c r="F8" i="15"/>
  <c r="F6" i="15"/>
  <c r="D25" i="13"/>
  <c r="H64" i="15"/>
  <c r="H23" i="15"/>
  <c r="H50" i="8"/>
  <c r="K36" i="15"/>
  <c r="K47" i="8"/>
  <c r="K33" i="8"/>
  <c r="K20" i="8"/>
  <c r="K6" i="8"/>
  <c r="K61" i="15"/>
  <c r="K47" i="15"/>
  <c r="K33" i="15"/>
  <c r="K20" i="15"/>
  <c r="K6" i="15"/>
  <c r="K48" i="13"/>
  <c r="K34" i="13"/>
  <c r="K20" i="13"/>
  <c r="K6" i="13"/>
  <c r="J18" i="17"/>
  <c r="K18" i="17" s="1"/>
  <c r="J30" i="17"/>
  <c r="K30" i="17" s="1"/>
  <c r="J43" i="17"/>
  <c r="K43" i="17" s="1"/>
  <c r="J55" i="17"/>
  <c r="K55" i="17" s="1"/>
  <c r="J67" i="17"/>
  <c r="K49" i="13"/>
  <c r="G18" i="17"/>
  <c r="G30" i="17"/>
  <c r="G43" i="17"/>
  <c r="G55" i="17"/>
  <c r="F51" i="23" l="1"/>
  <c r="F8" i="23"/>
  <c r="F51" i="19"/>
  <c r="F10" i="19"/>
  <c r="F53" i="25"/>
  <c r="F8" i="25"/>
  <c r="F23" i="25"/>
  <c r="F36" i="23"/>
  <c r="K67" i="17"/>
  <c r="G67" i="17"/>
  <c r="K68" i="17"/>
  <c r="G68" i="17"/>
  <c r="G56" i="17"/>
  <c r="K56" i="17"/>
  <c r="I50" i="13"/>
  <c r="D50" i="13"/>
  <c r="D36" i="13"/>
  <c r="I22" i="13"/>
  <c r="D22" i="13"/>
  <c r="D8" i="13"/>
  <c r="I49" i="15"/>
  <c r="D49" i="15"/>
  <c r="L35" i="15"/>
  <c r="D35" i="15"/>
  <c r="D8" i="15"/>
  <c r="H36" i="13" l="1"/>
  <c r="H22" i="13"/>
  <c r="I35" i="13"/>
  <c r="I21" i="13"/>
  <c r="K35" i="13"/>
  <c r="K7" i="13"/>
  <c r="K21" i="13"/>
  <c r="H7" i="13"/>
  <c r="H21" i="13"/>
  <c r="H35" i="13"/>
  <c r="H49" i="13"/>
  <c r="F49" i="13"/>
  <c r="F35" i="13"/>
  <c r="F21" i="13"/>
  <c r="F7" i="13"/>
  <c r="I48" i="15"/>
  <c r="H35" i="15"/>
  <c r="K62" i="15"/>
  <c r="K48" i="15"/>
  <c r="K34" i="15"/>
  <c r="H62" i="15"/>
  <c r="H48" i="15"/>
  <c r="H34" i="15"/>
  <c r="F62" i="15"/>
  <c r="F48" i="15"/>
  <c r="F34" i="15"/>
  <c r="K21" i="15"/>
  <c r="F21" i="15"/>
  <c r="H21" i="15"/>
  <c r="H8" i="15"/>
  <c r="K7" i="15"/>
  <c r="H7" i="15"/>
  <c r="F7" i="15"/>
  <c r="F7" i="8"/>
  <c r="L50" i="13" l="1"/>
  <c r="I36" i="13"/>
  <c r="L36" i="13" s="1"/>
  <c r="L22" i="13"/>
  <c r="I8" i="13"/>
  <c r="L8" i="13" s="1"/>
  <c r="L49" i="15"/>
  <c r="I35" i="15"/>
  <c r="H8" i="13"/>
  <c r="H50" i="13"/>
  <c r="H49" i="15"/>
  <c r="F8" i="13"/>
  <c r="F22" i="13"/>
  <c r="F50" i="13"/>
  <c r="F36" i="13"/>
  <c r="F49" i="15"/>
  <c r="F35" i="15"/>
  <c r="I8" i="15"/>
  <c r="L8" i="15" s="1"/>
  <c r="K70" i="17"/>
  <c r="G70" i="17"/>
  <c r="K69" i="17"/>
  <c r="G69" i="17"/>
  <c r="K58" i="17"/>
  <c r="G58" i="17"/>
  <c r="K57" i="17"/>
  <c r="G57" i="17"/>
  <c r="K45" i="17"/>
  <c r="G45" i="17"/>
  <c r="K44" i="17"/>
  <c r="G44" i="17"/>
  <c r="K32" i="17"/>
  <c r="G32" i="17"/>
  <c r="K31" i="17"/>
  <c r="G31" i="17"/>
  <c r="K20" i="17"/>
  <c r="G20" i="17"/>
  <c r="K19" i="17"/>
  <c r="K8" i="17"/>
  <c r="K7" i="17"/>
  <c r="G7" i="17"/>
  <c r="H37" i="8"/>
  <c r="H23" i="8"/>
  <c r="H10" i="8"/>
  <c r="D64" i="15"/>
  <c r="L64" i="15"/>
  <c r="D52" i="15"/>
  <c r="L52" i="15"/>
  <c r="H52" i="15"/>
  <c r="D38" i="15"/>
  <c r="L38" i="15"/>
  <c r="H38" i="15"/>
  <c r="D23" i="15"/>
  <c r="L23" i="15"/>
  <c r="D11" i="15"/>
  <c r="L11" i="15"/>
  <c r="H11" i="15"/>
  <c r="D53" i="13"/>
  <c r="L53" i="13"/>
  <c r="H53" i="13"/>
  <c r="D39" i="13"/>
  <c r="L39" i="13"/>
  <c r="H39" i="13"/>
  <c r="L25" i="13"/>
  <c r="H25" i="13"/>
  <c r="L11" i="13"/>
  <c r="D11" i="13"/>
  <c r="K35" i="8" l="1"/>
  <c r="H47" i="15"/>
  <c r="K9" i="15"/>
  <c r="L9" i="15" s="1"/>
  <c r="K37" i="13"/>
  <c r="K23" i="13"/>
  <c r="K51" i="13"/>
  <c r="H37" i="13"/>
  <c r="H23" i="13"/>
  <c r="H9" i="13"/>
  <c r="D9" i="13"/>
  <c r="H50" i="15"/>
  <c r="H36" i="15"/>
  <c r="D36" i="15"/>
  <c r="H9" i="15"/>
  <c r="D9" i="15"/>
  <c r="H35" i="8"/>
  <c r="H8" i="8"/>
  <c r="H52" i="13"/>
  <c r="H38" i="13"/>
  <c r="D38" i="13"/>
  <c r="H24" i="13"/>
  <c r="H10" i="13"/>
  <c r="D10" i="13"/>
  <c r="H63" i="15"/>
  <c r="H51" i="15"/>
  <c r="H37" i="15"/>
  <c r="D37" i="15"/>
  <c r="H22" i="15"/>
  <c r="H10" i="15"/>
  <c r="H49" i="8"/>
  <c r="H36" i="8"/>
  <c r="H22" i="8"/>
  <c r="H9" i="8"/>
  <c r="H48" i="13"/>
  <c r="H34" i="13"/>
  <c r="H20" i="13"/>
  <c r="D20" i="13"/>
  <c r="H6" i="13"/>
  <c r="D6" i="13"/>
  <c r="H61" i="15"/>
  <c r="L61" i="15"/>
  <c r="D63" i="15"/>
  <c r="D61" i="15"/>
  <c r="D47" i="15"/>
  <c r="H33" i="15"/>
  <c r="D33" i="15"/>
  <c r="H20" i="15"/>
  <c r="D22" i="15"/>
  <c r="D20" i="15"/>
  <c r="H6" i="15"/>
  <c r="H47" i="8"/>
  <c r="H33" i="8"/>
  <c r="H20" i="8"/>
  <c r="H6" i="8"/>
  <c r="L63" i="15"/>
  <c r="L6" i="8" l="1"/>
  <c r="L52" i="13" l="1"/>
  <c r="L38" i="13"/>
  <c r="L24" i="13"/>
  <c r="D6" i="8" l="1"/>
  <c r="D52" i="13"/>
  <c r="L51" i="13"/>
  <c r="H51" i="13"/>
  <c r="D51" i="13"/>
  <c r="L48" i="13"/>
  <c r="D48" i="13"/>
  <c r="L37" i="13"/>
  <c r="D37" i="13"/>
  <c r="L34" i="13"/>
  <c r="D34" i="13"/>
  <c r="D24" i="13"/>
  <c r="L23" i="13"/>
  <c r="D23" i="13"/>
  <c r="L20" i="13"/>
  <c r="L37" i="15"/>
  <c r="L36" i="15"/>
  <c r="L33" i="15"/>
  <c r="L10" i="15"/>
  <c r="D10" i="15"/>
  <c r="L6" i="15"/>
  <c r="D6" i="15"/>
  <c r="L51" i="15"/>
  <c r="D51" i="15"/>
  <c r="D50" i="15"/>
  <c r="L47" i="15"/>
  <c r="L22" i="15"/>
  <c r="L20" i="15"/>
  <c r="L10" i="13" l="1"/>
  <c r="L6" i="13"/>
  <c r="K6" i="21"/>
  <c r="K34" i="26"/>
  <c r="K36" i="25"/>
  <c r="K6" i="26"/>
  <c r="L9" i="13"/>
  <c r="L50" i="15"/>
  <c r="L8" i="8"/>
  <c r="K104"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tc={7491D488-F5BF-49E8-8C73-E84E1E307511}</author>
    <author>tc={45CCAC29-C698-4DBA-87F3-2F98341117FC}</author>
  </authors>
  <commentList>
    <comment ref="L34" authorId="0" shapeId="0" xr:uid="{7491D488-F5BF-49E8-8C73-E84E1E307511}">
      <text>
        <t>[Threaded comment]
Your version of Excel allows you to read this threaded comment; however, any edits to it will get removed if the file is opened in a newer version of Excel. Learn more: https://go.microsoft.com/fwlink/?linkid=870924
Comment:
    Manual entry</t>
      </text>
    </comment>
    <comment ref="L55" authorId="1" shapeId="0" xr:uid="{45CCAC29-C698-4DBA-87F3-2F98341117FC}">
      <text>
        <t>[Threaded comment]
Your version of Excel allows you to read this threaded comment; however, any edits to it will get removed if the file is opened in a newer version of Excel. Learn more: https://go.microsoft.com/fwlink/?linkid=870924
Comment:
    Manual entry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<sst xmlns="http://schemas.openxmlformats.org/spreadsheetml/2006/main" count="2659" uniqueCount="402">
  <si>
    <t>Plan Provider</t>
  </si>
  <si>
    <t>Manulife</t>
  </si>
  <si>
    <t>Plan Name</t>
  </si>
  <si>
    <t>Premium Terms</t>
  </si>
  <si>
    <t>Income Features and Options</t>
  </si>
  <si>
    <t>GIO</t>
  </si>
  <si>
    <t>Riders</t>
  </si>
  <si>
    <t>Plan</t>
  </si>
  <si>
    <t>Annual Premium</t>
  </si>
  <si>
    <t>Total Prem</t>
  </si>
  <si>
    <t>Payout Term</t>
  </si>
  <si>
    <t>Guaranteed Annual 
Income</t>
  </si>
  <si>
    <t>Total Guaranteed Income (A)</t>
  </si>
  <si>
    <t>Total Non-guaranteed payout (B)</t>
  </si>
  <si>
    <t>Total payout (A+B)</t>
  </si>
  <si>
    <t>Overview</t>
  </si>
  <si>
    <t>Etiqa</t>
  </si>
  <si>
    <t>Highest</t>
  </si>
  <si>
    <t>2nd Highest</t>
  </si>
  <si>
    <t>Enrich Retirement</t>
  </si>
  <si>
    <t>Death Benefit</t>
  </si>
  <si>
    <t>Maturity Benefit</t>
  </si>
  <si>
    <t>Yes, upon reaching selected Retirement Age</t>
  </si>
  <si>
    <t>Reversionary Bonus (RB): $15 per $1,000 of total premiums paid on annual premium mode (excluding the premiums paid for premium waiver upon TPD)</t>
  </si>
  <si>
    <t>Capital Guaranteed</t>
  </si>
  <si>
    <t>Coverage</t>
  </si>
  <si>
    <t>Etiqa Enrich Retirement</t>
  </si>
  <si>
    <t>Manulife RetireReady Plus (III)</t>
  </si>
  <si>
    <t>RetireReady Plus (III)</t>
  </si>
  <si>
    <t xml:space="preserve">Other Non-guaranteed Bonuses </t>
  </si>
  <si>
    <t xml:space="preserve">Non-guaranteed Income Feature </t>
  </si>
  <si>
    <t>Issuance Basis</t>
  </si>
  <si>
    <t>Flexibility to Adjust Income Payout Period  After Policy Has Started</t>
  </si>
  <si>
    <r>
      <t xml:space="preserve">Based on MNS, ALB 44 / ANB 45. </t>
    </r>
    <r>
      <rPr>
        <b/>
        <sz val="11"/>
        <color rgb="FF0000CC"/>
        <rFont val="Calibri"/>
        <family val="2"/>
        <scheme val="minor"/>
      </rPr>
      <t>Premium term 5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</si>
  <si>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 xml:space="preserve">Based on MNS, ALB 44 / ANB 45. </t>
    </r>
    <r>
      <rPr>
        <b/>
        <sz val="11"/>
        <color rgb="FF0000CC"/>
        <rFont val="Calibri"/>
        <family val="2"/>
        <scheme val="minor"/>
      </rPr>
      <t>Premium term 10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</si>
  <si>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Based on MNS, ALB 49 / ANB 50.</t>
    </r>
    <r>
      <rPr>
        <b/>
        <sz val="11"/>
        <color rgb="FF0000CC"/>
        <rFont val="Calibri"/>
        <family val="2"/>
        <scheme val="minor"/>
      </rPr>
      <t xml:space="preserve"> Premium term 5 years</t>
    </r>
    <r>
      <rPr>
        <b/>
        <sz val="11"/>
        <rFont val="Calibri"/>
        <family val="2"/>
        <scheme val="minor"/>
      </rPr>
      <t>.</t>
    </r>
    <r>
      <rPr>
        <b/>
        <sz val="11"/>
        <color rgb="FF008080"/>
        <rFont val="Calibri"/>
        <family val="2"/>
        <scheme val="minor"/>
      </rPr>
      <t xml:space="preserve"> Payout 20 years</t>
    </r>
    <r>
      <rPr>
        <b/>
        <sz val="11"/>
        <rFont val="Calibri"/>
        <family val="2"/>
        <scheme val="minor"/>
      </rPr>
      <t xml:space="preserve">.  </t>
    </r>
  </si>
  <si>
    <r>
      <t xml:space="preserve">Based on MNS, ALB 49 / ANB 50. </t>
    </r>
    <r>
      <rPr>
        <b/>
        <sz val="11"/>
        <color rgb="FF0000CC"/>
        <rFont val="Calibri"/>
        <family val="2"/>
        <scheme val="minor"/>
      </rPr>
      <t>Premium term 10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</si>
  <si>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 xml:space="preserve">Based on MNS, ALB 34 / ANB 35. </t>
    </r>
    <r>
      <rPr>
        <b/>
        <sz val="11"/>
        <color rgb="FF0000CC"/>
        <rFont val="Calibri"/>
        <family val="2"/>
        <scheme val="minor"/>
      </rPr>
      <t>Premium term 20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</si>
  <si>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Based on MNS, ALB 39 / ANB 40.</t>
    </r>
    <r>
      <rPr>
        <b/>
        <sz val="11"/>
        <color rgb="FF0000CC"/>
        <rFont val="Calibri"/>
        <family val="2"/>
        <scheme val="minor"/>
      </rPr>
      <t xml:space="preserve"> Premium term 10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</si>
  <si>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Based on MNS, ALB 39 / ANB 40.</t>
    </r>
    <r>
      <rPr>
        <b/>
        <sz val="11"/>
        <color rgb="FF0000CC"/>
        <rFont val="Calibri"/>
        <family val="2"/>
        <scheme val="minor"/>
      </rPr>
      <t xml:space="preserve"> Premium term 20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</si>
  <si>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r>
      <t xml:space="preserve">Based on MNS, ALB 24 / ANB 25. </t>
    </r>
    <r>
      <rPr>
        <b/>
        <sz val="11"/>
        <color rgb="FF0000CC"/>
        <rFont val="Calibri"/>
        <family val="2"/>
        <scheme val="minor"/>
      </rPr>
      <t xml:space="preserve">Premium term 10 years. </t>
    </r>
    <r>
      <rPr>
        <b/>
        <sz val="11"/>
        <color rgb="FF008080"/>
        <rFont val="Calibri"/>
        <family val="2"/>
        <scheme val="minor"/>
      </rPr>
      <t>Payout 20 years</t>
    </r>
    <r>
      <rPr>
        <b/>
        <sz val="11"/>
        <rFont val="Calibri"/>
        <family val="2"/>
        <scheme val="minor"/>
      </rPr>
      <t xml:space="preserve">.  </t>
    </r>
  </si>
  <si>
    <r>
      <t xml:space="preserve">Based on MNS, ALB 24 / ANB 25. </t>
    </r>
    <r>
      <rPr>
        <b/>
        <sz val="11"/>
        <color rgb="FF0000CC"/>
        <rFont val="Calibri"/>
        <family val="2"/>
        <scheme val="minor"/>
      </rPr>
      <t xml:space="preserve">Premium term 20 years. </t>
    </r>
    <r>
      <rPr>
        <b/>
        <sz val="11"/>
        <color rgb="FF008080"/>
        <rFont val="Calibri"/>
        <family val="2"/>
        <scheme val="minor"/>
      </rPr>
      <t>Payout 20 years.</t>
    </r>
    <r>
      <rPr>
        <b/>
        <sz val="11"/>
        <rFont val="Calibri"/>
        <family val="2"/>
        <scheme val="minor"/>
      </rPr>
      <t xml:space="preserve">  </t>
    </r>
  </si>
  <si>
    <r>
      <t xml:space="preserve">Based on MNS, ALB 29 / ANB 30. </t>
    </r>
    <r>
      <rPr>
        <b/>
        <sz val="11"/>
        <color rgb="FF0000CC"/>
        <rFont val="Calibri"/>
        <family val="2"/>
        <scheme val="minor"/>
      </rPr>
      <t xml:space="preserve">Premium term 10 years. </t>
    </r>
    <r>
      <rPr>
        <b/>
        <sz val="11"/>
        <color rgb="FF008080"/>
        <rFont val="Calibri"/>
        <family val="2"/>
        <scheme val="minor"/>
      </rPr>
      <t>Payout 20 years</t>
    </r>
    <r>
      <rPr>
        <b/>
        <sz val="11"/>
        <rFont val="Calibri"/>
        <family val="2"/>
        <scheme val="minor"/>
      </rPr>
      <t xml:space="preserve">.  </t>
    </r>
  </si>
  <si>
    <r>
      <t xml:space="preserve">Based on MNS, ALB 29 / ANB 30. </t>
    </r>
    <r>
      <rPr>
        <b/>
        <sz val="11"/>
        <color rgb="FF0000CC"/>
        <rFont val="Calibri"/>
        <family val="2"/>
        <scheme val="minor"/>
      </rPr>
      <t xml:space="preserve">Premium term 20 years. </t>
    </r>
    <r>
      <rPr>
        <b/>
        <sz val="11"/>
        <color rgb="FF008080"/>
        <rFont val="Calibri"/>
        <family val="2"/>
        <scheme val="minor"/>
      </rPr>
      <t>Payout 20 years</t>
    </r>
    <r>
      <rPr>
        <b/>
        <sz val="11"/>
        <rFont val="Calibri"/>
        <family val="2"/>
        <scheme val="minor"/>
      </rPr>
      <t xml:space="preserve">.  </t>
    </r>
  </si>
  <si>
    <t>Secondary Insured Option</t>
  </si>
  <si>
    <t>Yes</t>
  </si>
  <si>
    <t>Yes, cannot be exercised more than three times. (Not applicable for SRS)</t>
  </si>
  <si>
    <r>
      <t xml:space="preserve">Based on MNS, ALB 34 / ANB 35. </t>
    </r>
    <r>
      <rPr>
        <b/>
        <sz val="11"/>
        <color rgb="FF0000CC"/>
        <rFont val="Calibri"/>
        <family val="2"/>
        <scheme val="minor"/>
      </rPr>
      <t>Premium term 10 years</t>
    </r>
    <r>
      <rPr>
        <b/>
        <sz val="11"/>
        <rFont val="Calibri"/>
        <family val="2"/>
        <scheme val="minor"/>
      </rPr>
      <t xml:space="preserve">. </t>
    </r>
    <r>
      <rPr>
        <b/>
        <sz val="11"/>
        <color rgb="FF008080"/>
        <rFont val="Calibri"/>
        <family val="2"/>
        <scheme val="minor"/>
      </rPr>
      <t>Payout 20 years</t>
    </r>
    <r>
      <rPr>
        <b/>
        <sz val="11"/>
        <rFont val="Calibri"/>
        <family val="2"/>
        <scheme val="minor"/>
      </rPr>
      <t>.</t>
    </r>
  </si>
  <si>
    <r>
      <t xml:space="preserve">Based on MNS, ALB 39 / ANB 40. </t>
    </r>
    <r>
      <rPr>
        <b/>
        <sz val="11"/>
        <color rgb="FF0000CC"/>
        <rFont val="Calibri"/>
        <family val="2"/>
        <scheme val="minor"/>
      </rPr>
      <t>Premium term 5 years</t>
    </r>
    <r>
      <rPr>
        <b/>
        <sz val="11"/>
        <rFont val="Calibri"/>
        <family val="2"/>
        <scheme val="minor"/>
      </rPr>
      <t xml:space="preserve">. </t>
    </r>
    <r>
      <rPr>
        <b/>
        <sz val="11"/>
        <color rgb="FF008080"/>
        <rFont val="Calibri"/>
        <family val="2"/>
        <scheme val="minor"/>
      </rPr>
      <t>Payout 20 years</t>
    </r>
    <r>
      <rPr>
        <b/>
        <sz val="11"/>
        <rFont val="Calibri"/>
        <family val="2"/>
        <scheme val="minor"/>
      </rPr>
      <t xml:space="preserve">.  </t>
    </r>
  </si>
  <si>
    <t xml:space="preserve">Notes: </t>
  </si>
  <si>
    <t>Single Premium</t>
  </si>
  <si>
    <t>Singlife</t>
  </si>
  <si>
    <t>Gro Retire Flex Pro</t>
  </si>
  <si>
    <t>Income</t>
  </si>
  <si>
    <t>Income Gro Retire Flex Pro</t>
  </si>
  <si>
    <t xml:space="preserve">For single premium payment mode:
Yes, upon reaching selected Retirement Age
For other premium payment mode: 
Depends on the premium term, accumulation period, payout period chosen and the entry age. 
</t>
  </si>
  <si>
    <t>China Taiping</t>
  </si>
  <si>
    <t>10/20/30 years
(subject to entry age of life insured + premium term + accumulation period + income period, up to a maximum of ANB100)</t>
  </si>
  <si>
    <t>• Death</t>
  </si>
  <si>
    <t>China Life</t>
  </si>
  <si>
    <t>Prosperous Retirement</t>
  </si>
  <si>
    <t>Starts after premium payment term</t>
  </si>
  <si>
    <t>10/20/30 years</t>
  </si>
  <si>
    <t>Yes, 5 years after end of premium payment term</t>
  </si>
  <si>
    <t>China Life Prosperous Retirement</t>
  </si>
  <si>
    <t>i-Retire (II)</t>
  </si>
  <si>
    <t xml:space="preserve">Par Fund Returns </t>
  </si>
  <si>
    <t>China Taiping i-Retire (II)</t>
  </si>
  <si>
    <r>
      <t xml:space="preserve">Based on </t>
    </r>
    <r>
      <rPr>
        <b/>
        <sz val="11"/>
        <color rgb="FF0000CC"/>
        <rFont val="Calibri"/>
        <family val="2"/>
        <scheme val="minor"/>
      </rPr>
      <t>MNS ALB44/ANB45</t>
    </r>
    <r>
      <rPr>
        <b/>
        <sz val="11"/>
        <rFont val="Calibri"/>
        <family val="2"/>
        <scheme val="minor"/>
      </rPr>
      <t xml:space="preserve"> Single Premium. </t>
    </r>
    <r>
      <rPr>
        <b/>
        <sz val="11"/>
        <color rgb="FF008080"/>
        <rFont val="Calibri"/>
        <family val="2"/>
        <scheme val="minor"/>
      </rPr>
      <t>Payout 20 years</t>
    </r>
    <r>
      <rPr>
        <b/>
        <sz val="11"/>
        <rFont val="Calibri"/>
        <family val="2"/>
        <scheme val="minor"/>
      </rPr>
      <t xml:space="preserve">.  </t>
    </r>
  </si>
  <si>
    <r>
      <t xml:space="preserve">Based on </t>
    </r>
    <r>
      <rPr>
        <b/>
        <sz val="11"/>
        <color rgb="FF0000CC"/>
        <rFont val="Calibri"/>
        <family val="2"/>
        <scheme val="minor"/>
      </rPr>
      <t>MNS ALB49/ANB50</t>
    </r>
    <r>
      <rPr>
        <b/>
        <sz val="11"/>
        <rFont val="Calibri"/>
        <family val="2"/>
        <scheme val="minor"/>
      </rPr>
      <t>. Single Premium</t>
    </r>
    <r>
      <rPr>
        <b/>
        <sz val="11"/>
        <color rgb="FF0000CC"/>
        <rFont val="Calibri"/>
        <family val="2"/>
        <scheme val="minor"/>
      </rPr>
      <t xml:space="preserve">. </t>
    </r>
    <r>
      <rPr>
        <b/>
        <sz val="11"/>
        <color rgb="FF008080"/>
        <rFont val="Calibri"/>
        <family val="2"/>
        <scheme val="minor"/>
      </rPr>
      <t>Payout 20 years</t>
    </r>
    <r>
      <rPr>
        <b/>
        <sz val="11"/>
        <rFont val="Calibri"/>
        <family val="2"/>
        <scheme val="minor"/>
      </rPr>
      <t xml:space="preserve">.  </t>
    </r>
  </si>
  <si>
    <t>(i) China Taiping i-Retire (II) &amp; Etiqa Enrich Retirement have been left out of comparison as they do not have premium payment term of 20 years.</t>
  </si>
  <si>
    <t>Singlife Flexi Retirement II</t>
  </si>
  <si>
    <r>
      <t xml:space="preserve">Based on </t>
    </r>
    <r>
      <rPr>
        <b/>
        <sz val="11"/>
        <color rgb="FF0000CC"/>
        <rFont val="Calibri"/>
        <family val="2"/>
        <scheme val="minor"/>
      </rPr>
      <t>MNS ALB 39/ANB40.</t>
    </r>
    <r>
      <rPr>
        <b/>
        <sz val="11"/>
        <rFont val="Calibri"/>
        <family val="2"/>
        <scheme val="minor"/>
      </rPr>
      <t xml:space="preserve"> Single Premium</t>
    </r>
    <r>
      <rPr>
        <b/>
        <sz val="11"/>
        <color rgb="FF0000CC"/>
        <rFont val="Calibri"/>
        <family val="2"/>
        <scheme val="minor"/>
      </rPr>
      <t xml:space="preserve">. </t>
    </r>
    <r>
      <rPr>
        <b/>
        <sz val="11"/>
        <color rgb="FF008080"/>
        <rFont val="Calibri"/>
        <family val="2"/>
        <scheme val="minor"/>
      </rPr>
      <t>Payout 20 years</t>
    </r>
    <r>
      <rPr>
        <b/>
        <sz val="11"/>
        <rFont val="Calibri"/>
        <family val="2"/>
        <scheme val="minor"/>
      </rPr>
      <t xml:space="preserve">.  </t>
    </r>
  </si>
  <si>
    <r>
      <t xml:space="preserve">Based on </t>
    </r>
    <r>
      <rPr>
        <b/>
        <sz val="11"/>
        <color rgb="FF0000CC"/>
        <rFont val="Calibri"/>
        <family val="2"/>
        <scheme val="minor"/>
      </rPr>
      <t>MNS ALB 34/ANB35.</t>
    </r>
    <r>
      <rPr>
        <b/>
        <sz val="11"/>
        <rFont val="Calibri"/>
        <family val="2"/>
        <scheme val="minor"/>
      </rPr>
      <t xml:space="preserve"> Single Premium. </t>
    </r>
    <r>
      <rPr>
        <b/>
        <sz val="11"/>
        <color rgb="FF008080"/>
        <rFont val="Calibri"/>
        <family val="2"/>
        <scheme val="minor"/>
      </rPr>
      <t>Payout 20 years</t>
    </r>
    <r>
      <rPr>
        <b/>
        <sz val="11"/>
        <rFont val="Calibri"/>
        <family val="2"/>
        <scheme val="minor"/>
      </rPr>
      <t xml:space="preserve">.  </t>
    </r>
  </si>
  <si>
    <r>
      <t xml:space="preserve">Based on </t>
    </r>
    <r>
      <rPr>
        <b/>
        <sz val="11"/>
        <color rgb="FF0000CC"/>
        <rFont val="Calibri"/>
        <family val="2"/>
        <scheme val="minor"/>
      </rPr>
      <t>MNS ALB 29/ANB30</t>
    </r>
    <r>
      <rPr>
        <b/>
        <sz val="11"/>
        <rFont val="Calibri"/>
        <family val="2"/>
        <scheme val="minor"/>
      </rPr>
      <t xml:space="preserve">. Single Premium. </t>
    </r>
    <r>
      <rPr>
        <b/>
        <sz val="11"/>
        <color rgb="FF008080"/>
        <rFont val="Calibri"/>
        <family val="2"/>
        <scheme val="minor"/>
      </rPr>
      <t>Payout 20 years</t>
    </r>
    <r>
      <rPr>
        <b/>
        <sz val="11"/>
        <rFont val="Calibri"/>
        <family val="2"/>
        <scheme val="minor"/>
      </rPr>
      <t xml:space="preserve">.  </t>
    </r>
  </si>
  <si>
    <t xml:space="preserve">Flexi Retirement II
</t>
  </si>
  <si>
    <t>Change of Life Insured</t>
  </si>
  <si>
    <t xml:space="preserve">Guaranteed SV </t>
  </si>
  <si>
    <t xml:space="preserve">Non-Guaranteed SV </t>
  </si>
  <si>
    <t xml:space="preserve">Total SV 
</t>
  </si>
  <si>
    <t>At the End of Accumulation Period</t>
  </si>
  <si>
    <t>At the End of Policy Term</t>
  </si>
  <si>
    <t>Capital Guaranteed 
(at the end of accumulation period)</t>
  </si>
  <si>
    <t xml:space="preserve">Total SV </t>
  </si>
  <si>
    <t>Guaranteed Yield @ maturity</t>
  </si>
  <si>
    <t>Total Yield 
@ maturity 
(IRR@4.25%)</t>
  </si>
  <si>
    <t>Accumulation 15 years for Singlife Flexi Retirement II; Accumulation 16 years for other plans.  Guaranteed Annual income $12K</t>
  </si>
  <si>
    <t>Accumulation 20 years for Singlife Flexi Retirement II; Accumulation 21 years for other plans.  Guaranteed Annual income $12K</t>
  </si>
  <si>
    <t>Notes:</t>
  </si>
  <si>
    <t>Accumulation 25 years for Singlife Flexi Retirement II; Accumulation 26 years for other plans.  Guaranteed Annual income $12K</t>
  </si>
  <si>
    <t xml:space="preserve">(i) China Taiping i-Retire (II) has been excluded as its max. accumulation period is up to 25 years. </t>
  </si>
  <si>
    <t>(ii) For Singlife Flexi Retirement II, accumulation period selected is 25 years, start of payout year is at ANB67. This is to align the start payout year with other similar other plans above at ALB66/ANB67</t>
  </si>
  <si>
    <t>(ii) For Singlife Flexi Retirement II, accumulation period selected is 30 years, start of payout year is at ANB67. This is to align the start payout year with other similar other plans above at ALB66/ANB67</t>
  </si>
  <si>
    <t>Accumulation 30 years for Singlife Flexi Retirement II; Accumulation 31 years for other plans.  Guaranteed Annual income $12K</t>
  </si>
  <si>
    <t>Accumulation 35 years for Singlife Flexi Retirement II; Accumulation 36 years for other plans.  Guaranteed Annual income $12K</t>
  </si>
  <si>
    <t xml:space="preserve">(i) For the above comparison, we have aligned the age at end of accumulation period to that of Manulife RetireReady Plus (III) which is 65 ALB. </t>
  </si>
  <si>
    <t xml:space="preserve">(ii) For Income Gro Retire Flex Pro, the accumulation period starts from policy entry date whereas the rest starts from end of premium payment term, hence its accumulation period will be longer. </t>
  </si>
  <si>
    <t xml:space="preserve">(ii) For the above comparison, we have aligned the age at end of accumulation period to that of Manulife RetireReady Plus (III) which is 65 ALB. </t>
  </si>
  <si>
    <t xml:space="preserve">(iii) For Income Gro Retire Flex Pro, the accumulation period starts from policy entry date whereas the rest starts from end of premium payment term, hence its accumulation period will be longer. </t>
  </si>
  <si>
    <t>(ii) For Singlife Flexi Retirement II, accumulation period selected is 35 years, start of payout year is at ANB67. This is to align the start payout year with other similar other plans above at ALB66/ANB67.</t>
  </si>
  <si>
    <t>(i) For Singlife Flexi Retirement II, accumulation period selected is 20 years, start of payout year is at ANB67. This is to align the start payout year with other similar other plans above at ALB66/ANB67.</t>
  </si>
  <si>
    <t>Accumulation 40 years for Singlife Flexi Retirement II; Accumulation 41 years for other plans.  Guaranteed Annual income $12K</t>
  </si>
  <si>
    <r>
      <t xml:space="preserve">Based on </t>
    </r>
    <r>
      <rPr>
        <b/>
        <sz val="11"/>
        <color rgb="FF0000CC"/>
        <rFont val="Calibri"/>
        <family val="2"/>
        <scheme val="minor"/>
      </rPr>
      <t>MNS ALB 24/ANB25</t>
    </r>
    <r>
      <rPr>
        <b/>
        <sz val="11"/>
        <rFont val="Calibri"/>
        <family val="2"/>
        <scheme val="minor"/>
      </rPr>
      <t>. Single Premium.</t>
    </r>
    <r>
      <rPr>
        <b/>
        <sz val="11"/>
        <color rgb="FF0000CC"/>
        <rFont val="Calibri"/>
        <family val="2"/>
        <scheme val="minor"/>
      </rPr>
      <t xml:space="preserve"> </t>
    </r>
    <r>
      <rPr>
        <b/>
        <sz val="11"/>
        <color rgb="FF008080"/>
        <rFont val="Calibri"/>
        <family val="2"/>
        <scheme val="minor"/>
      </rPr>
      <t>Payout 20 years</t>
    </r>
    <r>
      <rPr>
        <b/>
        <sz val="11"/>
        <rFont val="Calibri"/>
        <family val="2"/>
        <scheme val="minor"/>
      </rPr>
      <t xml:space="preserve">.  </t>
    </r>
  </si>
  <si>
    <t>(ii) For Singlife Flexi Retirement II, accumulation period selected is 40 years, start of payout year is at ANB67. This is to align the start payout year with the other 2 plans above at ALB66.</t>
  </si>
  <si>
    <r>
      <t>Accumulation</t>
    </r>
    <r>
      <rPr>
        <b/>
        <sz val="11"/>
        <color rgb="FF0000CC"/>
        <rFont val="Calibri"/>
        <family val="2"/>
        <scheme val="minor"/>
      </rPr>
      <t xml:space="preserve"> 31 years </t>
    </r>
    <r>
      <rPr>
        <b/>
        <sz val="11"/>
        <rFont val="Calibri"/>
        <family val="2"/>
        <scheme val="minor"/>
      </rPr>
      <t xml:space="preserve">for Gro Retire Flex Pro, </t>
    </r>
    <r>
      <rPr>
        <b/>
        <sz val="11"/>
        <color rgb="FF0000CC"/>
        <rFont val="Calibri"/>
        <family val="2"/>
        <scheme val="minor"/>
      </rPr>
      <t>21 years</t>
    </r>
    <r>
      <rPr>
        <b/>
        <sz val="11"/>
        <rFont val="Calibri"/>
        <family val="2"/>
        <scheme val="minor"/>
      </rPr>
      <t xml:space="preserve"> for the rest. Guaranteed Annual income $12K</t>
    </r>
  </si>
  <si>
    <r>
      <t xml:space="preserve">Accumulation </t>
    </r>
    <r>
      <rPr>
        <b/>
        <sz val="11"/>
        <color rgb="FF0000CC"/>
        <rFont val="Calibri"/>
        <family val="2"/>
        <scheme val="minor"/>
      </rPr>
      <t>31 years</t>
    </r>
    <r>
      <rPr>
        <b/>
        <sz val="11"/>
        <rFont val="Calibri"/>
        <family val="2"/>
        <scheme val="minor"/>
      </rPr>
      <t xml:space="preserve"> for Gro Retire Flex Pro,</t>
    </r>
    <r>
      <rPr>
        <b/>
        <sz val="11"/>
        <color rgb="FFFF0000"/>
        <rFont val="Calibri"/>
        <family val="2"/>
        <scheme val="minor"/>
      </rPr>
      <t xml:space="preserve"> </t>
    </r>
    <r>
      <rPr>
        <b/>
        <sz val="11"/>
        <color rgb="FF0000CC"/>
        <rFont val="Calibri"/>
        <family val="2"/>
        <scheme val="minor"/>
      </rPr>
      <t>11 years</t>
    </r>
    <r>
      <rPr>
        <b/>
        <sz val="11"/>
        <color rgb="FFFF0000"/>
        <rFont val="Calibri"/>
        <family val="2"/>
        <scheme val="minor"/>
      </rPr>
      <t xml:space="preserve"> </t>
    </r>
    <r>
      <rPr>
        <b/>
        <sz val="11"/>
        <rFont val="Calibri"/>
        <family val="2"/>
        <scheme val="minor"/>
      </rPr>
      <t>for the rest. Guaranteed Annual income $12K</t>
    </r>
  </si>
  <si>
    <r>
      <t>Accumulation</t>
    </r>
    <r>
      <rPr>
        <b/>
        <sz val="11"/>
        <color rgb="FFFF0000"/>
        <rFont val="Calibri"/>
        <family val="2"/>
        <scheme val="minor"/>
      </rPr>
      <t xml:space="preserve"> </t>
    </r>
    <r>
      <rPr>
        <b/>
        <sz val="11"/>
        <color rgb="FF0000CC"/>
        <rFont val="Calibri"/>
        <family val="2"/>
        <scheme val="minor"/>
      </rPr>
      <t>26 years</t>
    </r>
    <r>
      <rPr>
        <b/>
        <sz val="11"/>
        <rFont val="Calibri"/>
        <family val="2"/>
        <scheme val="minor"/>
      </rPr>
      <t xml:space="preserve"> for Gro Retire Flex, </t>
    </r>
    <r>
      <rPr>
        <b/>
        <sz val="11"/>
        <color rgb="FF0000CC"/>
        <rFont val="Calibri"/>
        <family val="2"/>
        <scheme val="minor"/>
      </rPr>
      <t xml:space="preserve">21 years </t>
    </r>
    <r>
      <rPr>
        <b/>
        <sz val="11"/>
        <rFont val="Calibri"/>
        <family val="2"/>
        <scheme val="minor"/>
      </rPr>
      <t>for the rest. Guaranteed Annual income $12K</t>
    </r>
  </si>
  <si>
    <r>
      <t xml:space="preserve">Accumulation </t>
    </r>
    <r>
      <rPr>
        <b/>
        <sz val="11"/>
        <color rgb="FF0000CC"/>
        <rFont val="Calibri"/>
        <family val="2"/>
        <scheme val="minor"/>
      </rPr>
      <t>26 years</t>
    </r>
    <r>
      <rPr>
        <b/>
        <sz val="11"/>
        <rFont val="Calibri"/>
        <family val="2"/>
        <scheme val="minor"/>
      </rPr>
      <t xml:space="preserve"> for Gro Retire Flex Pro, </t>
    </r>
    <r>
      <rPr>
        <b/>
        <sz val="11"/>
        <color rgb="FF0000CC"/>
        <rFont val="Calibri"/>
        <family val="2"/>
        <scheme val="minor"/>
      </rPr>
      <t xml:space="preserve">16 years </t>
    </r>
    <r>
      <rPr>
        <b/>
        <sz val="11"/>
        <rFont val="Calibri"/>
        <family val="2"/>
        <scheme val="minor"/>
      </rPr>
      <t>for the rest.   Guaranteed Annual income $12K</t>
    </r>
  </si>
  <si>
    <r>
      <t xml:space="preserve">Accumulation </t>
    </r>
    <r>
      <rPr>
        <b/>
        <sz val="11"/>
        <color rgb="FF0000CC"/>
        <rFont val="Calibri"/>
        <family val="2"/>
        <scheme val="minor"/>
      </rPr>
      <t xml:space="preserve">36 years </t>
    </r>
    <r>
      <rPr>
        <b/>
        <sz val="11"/>
        <rFont val="Calibri"/>
        <family val="2"/>
        <scheme val="minor"/>
      </rPr>
      <t xml:space="preserve">for Gro Retire Flex Pro, </t>
    </r>
    <r>
      <rPr>
        <b/>
        <sz val="11"/>
        <color rgb="FF0000CC"/>
        <rFont val="Calibri"/>
        <family val="2"/>
        <scheme val="minor"/>
      </rPr>
      <t>16 years</t>
    </r>
    <r>
      <rPr>
        <b/>
        <sz val="11"/>
        <rFont val="Calibri"/>
        <family val="2"/>
        <scheme val="minor"/>
      </rPr>
      <t xml:space="preserve"> for the rest.  Guaranteed Annual income $12K</t>
    </r>
  </si>
  <si>
    <r>
      <t xml:space="preserve">Accumulation </t>
    </r>
    <r>
      <rPr>
        <b/>
        <sz val="11"/>
        <color rgb="FF0000CC"/>
        <rFont val="Calibri"/>
        <family val="2"/>
        <scheme val="minor"/>
      </rPr>
      <t>36 years</t>
    </r>
    <r>
      <rPr>
        <b/>
        <sz val="11"/>
        <rFont val="Calibri"/>
        <family val="2"/>
        <scheme val="minor"/>
      </rPr>
      <t xml:space="preserve"> for Gro Retire Flex Pro, </t>
    </r>
    <r>
      <rPr>
        <b/>
        <sz val="11"/>
        <color rgb="FF0000CC"/>
        <rFont val="Calibri"/>
        <family val="2"/>
        <scheme val="minor"/>
      </rPr>
      <t xml:space="preserve">26 years </t>
    </r>
    <r>
      <rPr>
        <b/>
        <sz val="11"/>
        <rFont val="Calibri"/>
        <family val="2"/>
        <scheme val="minor"/>
      </rPr>
      <t>for the rest.  Guaranteed Annual income $12K</t>
    </r>
  </si>
  <si>
    <r>
      <t xml:space="preserve">Accumulation </t>
    </r>
    <r>
      <rPr>
        <b/>
        <sz val="11"/>
        <color rgb="FF0000CC"/>
        <rFont val="Calibri"/>
        <family val="2"/>
        <scheme val="minor"/>
      </rPr>
      <t xml:space="preserve">41 years </t>
    </r>
    <r>
      <rPr>
        <b/>
        <sz val="11"/>
        <rFont val="Calibri"/>
        <family val="2"/>
        <scheme val="minor"/>
      </rPr>
      <t xml:space="preserve">for Gro Retire Flex Pro, </t>
    </r>
    <r>
      <rPr>
        <b/>
        <sz val="11"/>
        <color rgb="FF0000CC"/>
        <rFont val="Calibri"/>
        <family val="2"/>
        <scheme val="minor"/>
      </rPr>
      <t xml:space="preserve">31 years </t>
    </r>
    <r>
      <rPr>
        <b/>
        <sz val="11"/>
        <rFont val="Calibri"/>
        <family val="2"/>
        <scheme val="minor"/>
      </rPr>
      <t>for the rest.  Guaranteed Annual income $12K</t>
    </r>
  </si>
  <si>
    <r>
      <t xml:space="preserve">Accumulation </t>
    </r>
    <r>
      <rPr>
        <b/>
        <sz val="11"/>
        <color rgb="FF0000CC"/>
        <rFont val="Calibri"/>
        <family val="2"/>
        <scheme val="minor"/>
      </rPr>
      <t>26 years</t>
    </r>
    <r>
      <rPr>
        <b/>
        <sz val="11"/>
        <rFont val="Calibri"/>
        <family val="2"/>
        <scheme val="minor"/>
      </rPr>
      <t xml:space="preserve"> for Gro Retire Flex Pro,</t>
    </r>
    <r>
      <rPr>
        <b/>
        <sz val="11"/>
        <color rgb="FF0000CC"/>
        <rFont val="Calibri"/>
        <family val="2"/>
        <scheme val="minor"/>
      </rPr>
      <t xml:space="preserve"> 6 years</t>
    </r>
    <r>
      <rPr>
        <b/>
        <sz val="11"/>
        <rFont val="Calibri"/>
        <family val="2"/>
        <scheme val="minor"/>
      </rPr>
      <t xml:space="preserve"> for the rest.   Guaranteed Annual income $12K</t>
    </r>
  </si>
  <si>
    <r>
      <t>Accumulation</t>
    </r>
    <r>
      <rPr>
        <b/>
        <sz val="11"/>
        <color rgb="FFFF0000"/>
        <rFont val="Calibri"/>
        <family val="2"/>
        <scheme val="minor"/>
      </rPr>
      <t xml:space="preserve"> </t>
    </r>
    <r>
      <rPr>
        <b/>
        <sz val="11"/>
        <color rgb="FF0000CC"/>
        <rFont val="Calibri"/>
        <family val="2"/>
        <scheme val="minor"/>
      </rPr>
      <t>21 years</t>
    </r>
    <r>
      <rPr>
        <b/>
        <sz val="11"/>
        <rFont val="Calibri"/>
        <family val="2"/>
        <scheme val="minor"/>
      </rPr>
      <t xml:space="preserve"> for Gro Retire Flex Pro, </t>
    </r>
    <r>
      <rPr>
        <b/>
        <sz val="11"/>
        <color rgb="FF0000CC"/>
        <rFont val="Calibri"/>
        <family val="2"/>
        <scheme val="minor"/>
      </rPr>
      <t>16 years</t>
    </r>
    <r>
      <rPr>
        <b/>
        <sz val="11"/>
        <rFont val="Calibri"/>
        <family val="2"/>
        <scheme val="minor"/>
      </rPr>
      <t xml:space="preserve"> for the rest.  Guaranteed Annual income $12K</t>
    </r>
  </si>
  <si>
    <r>
      <t xml:space="preserve">Accumulation </t>
    </r>
    <r>
      <rPr>
        <b/>
        <sz val="11"/>
        <color rgb="FF0000CC"/>
        <rFont val="Calibri"/>
        <family val="2"/>
        <scheme val="minor"/>
      </rPr>
      <t>21 years</t>
    </r>
    <r>
      <rPr>
        <b/>
        <sz val="11"/>
        <color rgb="FFFF0000"/>
        <rFont val="Calibri"/>
        <family val="2"/>
        <scheme val="minor"/>
      </rPr>
      <t xml:space="preserve"> </t>
    </r>
    <r>
      <rPr>
        <b/>
        <sz val="11"/>
        <rFont val="Calibri"/>
        <family val="2"/>
        <scheme val="minor"/>
      </rPr>
      <t xml:space="preserve">for Gro Retire Flex Pro, </t>
    </r>
    <r>
      <rPr>
        <b/>
        <sz val="11"/>
        <color rgb="FF0000CC"/>
        <rFont val="Calibri"/>
        <family val="2"/>
        <scheme val="minor"/>
      </rPr>
      <t>11 years</t>
    </r>
    <r>
      <rPr>
        <b/>
        <sz val="11"/>
        <rFont val="Calibri"/>
        <family val="2"/>
        <scheme val="minor"/>
      </rPr>
      <t xml:space="preserve"> for the rest. Guaranteed Annual income $12K</t>
    </r>
  </si>
  <si>
    <r>
      <t>Accumulation</t>
    </r>
    <r>
      <rPr>
        <b/>
        <sz val="11"/>
        <color rgb="FFFF0000"/>
        <rFont val="Calibri"/>
        <family val="2"/>
        <scheme val="minor"/>
      </rPr>
      <t xml:space="preserve"> </t>
    </r>
    <r>
      <rPr>
        <b/>
        <sz val="11"/>
        <color rgb="FF0000CC"/>
        <rFont val="Calibri"/>
        <family val="2"/>
        <scheme val="minor"/>
      </rPr>
      <t>16 years</t>
    </r>
    <r>
      <rPr>
        <b/>
        <sz val="11"/>
        <rFont val="Calibri"/>
        <family val="2"/>
        <scheme val="minor"/>
      </rPr>
      <t xml:space="preserve"> for Gro Retire Flex Pro, </t>
    </r>
    <r>
      <rPr>
        <b/>
        <sz val="11"/>
        <color rgb="FF0000CC"/>
        <rFont val="Calibri"/>
        <family val="2"/>
        <scheme val="minor"/>
      </rPr>
      <t>11 years</t>
    </r>
    <r>
      <rPr>
        <b/>
        <sz val="11"/>
        <rFont val="Calibri"/>
        <family val="2"/>
        <scheme val="minor"/>
      </rPr>
      <t xml:space="preserve"> for the rest. Guaranteed Annual income $12K</t>
    </r>
  </si>
  <si>
    <r>
      <t xml:space="preserve">Accumulation </t>
    </r>
    <r>
      <rPr>
        <b/>
        <sz val="11"/>
        <color rgb="FF0000CC"/>
        <rFont val="Calibri"/>
        <family val="2"/>
        <scheme val="minor"/>
      </rPr>
      <t>16 years</t>
    </r>
    <r>
      <rPr>
        <b/>
        <sz val="11"/>
        <color rgb="FFFF0000"/>
        <rFont val="Calibri"/>
        <family val="2"/>
        <scheme val="minor"/>
      </rPr>
      <t xml:space="preserve"> </t>
    </r>
    <r>
      <rPr>
        <b/>
        <sz val="11"/>
        <rFont val="Calibri"/>
        <family val="2"/>
        <scheme val="minor"/>
      </rPr>
      <t xml:space="preserve">for Gro Retire Flex Pro, </t>
    </r>
    <r>
      <rPr>
        <b/>
        <sz val="11"/>
        <color rgb="FF0000CC"/>
        <rFont val="Calibri"/>
        <family val="2"/>
        <scheme val="minor"/>
      </rPr>
      <t>6 years</t>
    </r>
    <r>
      <rPr>
        <b/>
        <sz val="11"/>
        <rFont val="Calibri"/>
        <family val="2"/>
        <scheme val="minor"/>
      </rPr>
      <t xml:space="preserve"> for the rest. Guaranteed Annual income $12K</t>
    </r>
  </si>
  <si>
    <t xml:space="preserve">-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For China Taiping i-Retire II and Income Gro Retire Flex Pro, the accumulation period for single premium mode starts from policy commencement while for the rest of the plans, they start from end of premium payment term. 
- At maturity, Manulife RetireReady Plus (III) &amp; Income Gro Retire Flex Pro payout the last guaranteed monthly income, non-guaranteed cash bonus and any accumulated retirement income benefit which has built up with interest.
- Do note that only single premium payment option for Income Gro Retire Flex Pro is capital guaranteed at the end of accumulation period/upon reaching selected retirement age. It may not be 100% capital guaranteed upon reaching selected Retirement Age for other premium payment term options. 
</t>
  </si>
  <si>
    <t>Accumulation 40 years for Singlife Flexi Retirement II; Accumulation 41 years for other plans.</t>
  </si>
  <si>
    <t>Accumulation 15 years for Singlife Flexi Retirement II; Accumulation 16 years for other plans.</t>
  </si>
  <si>
    <t>Accumulation 20 years for Singlife Flexi Retirement II; Accumulation 21 years for other plans.</t>
  </si>
  <si>
    <t xml:space="preserve">Accumulation 25 years for Singlife Flexi Retirement II; Accumulation 26 years for other plans. </t>
  </si>
  <si>
    <t>Accumulation 30 years for Singlife Flexi Retirement II; Accumulation 31 years for other plans.</t>
  </si>
  <si>
    <t>Accumulation 35 years for Singlife Flexi Retirement II; Accumulation 36 years for other plans.</t>
  </si>
  <si>
    <t xml:space="preserve">Accumulation 20 years for Singlife Flexi Retirement II; Accumulation 21 years for other plans. </t>
  </si>
  <si>
    <r>
      <t>Accumulation</t>
    </r>
    <r>
      <rPr>
        <b/>
        <sz val="11"/>
        <color rgb="FF0000CC"/>
        <rFont val="Calibri"/>
        <family val="2"/>
        <scheme val="minor"/>
      </rPr>
      <t xml:space="preserve"> 41 years </t>
    </r>
    <r>
      <rPr>
        <b/>
        <sz val="11"/>
        <rFont val="Calibri"/>
        <family val="2"/>
        <scheme val="minor"/>
      </rPr>
      <t>for Gro Retire Flex,</t>
    </r>
    <r>
      <rPr>
        <b/>
        <sz val="11"/>
        <color rgb="FF0000CC"/>
        <rFont val="Calibri"/>
        <family val="2"/>
        <scheme val="minor"/>
      </rPr>
      <t xml:space="preserve"> 21 years</t>
    </r>
    <r>
      <rPr>
        <b/>
        <sz val="11"/>
        <color rgb="FFFF0000"/>
        <rFont val="Calibri"/>
        <family val="2"/>
        <scheme val="minor"/>
      </rPr>
      <t xml:space="preserve"> </t>
    </r>
    <r>
      <rPr>
        <b/>
        <sz val="11"/>
        <rFont val="Calibri"/>
        <family val="2"/>
        <scheme val="minor"/>
      </rPr>
      <t>for the rest.</t>
    </r>
  </si>
  <si>
    <t>3-year average (2021 to 2023): 1.00%
5-year average (2019 to 2023): 0.93%
10-year average (2014 to 2023): 0.88%</t>
  </si>
  <si>
    <t>(iii) For Manulife RetireReady Plus (III), there is no accumulation period to be selected and it is based on retirement age. The selected retirement age is ALB65, start of payout is at ALB66.</t>
  </si>
  <si>
    <t>(ii) For Manulife RetireReady Plus (III), there is no accumulation period to be selected and it is based on retirement age. The selected retirement age is ALB65, start of payout is at ALB66.</t>
  </si>
  <si>
    <t>(i) For Singlife Flexi Retirement II, accumulation period selected is 15 years, start of payout year is at ANB67. This is to align the start payout year with other similar other plans above at ALB66/ANB67.</t>
  </si>
  <si>
    <t>(iv) Due to plan design of Etiqa Enrich Retirement, the retirement income payout starts 1 year earlier than the rest of the plans in the comparison and the policy term is also 1 year shorter.</t>
  </si>
  <si>
    <t>(iii) Due to plan design of Etiqa Enrich Retirement, the retirement income payout starts 1 year earlier than the rest of the plans in the comparison and the policy term is also 1 year shorter.</t>
  </si>
  <si>
    <t>(i) Due to plan design of Etiqa Enrich Retirement, the retirement income payout starts 1 year earlier than the rest of the plans in the comparison and the policy term is also 1 year shorter.</t>
  </si>
  <si>
    <t>-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At maturity, Manulife RetireReady Plus (III) payouts the last guaranteed monthly income, non-guaranteed cash bonus and any accumulated retirement income benefit which has built up with interest. While for China Life Prosperous Retirement, it pays out both guaranteed maturity value and non-guaranteed terminal bonus as maturity benefits. 
- All plans in the comparison are capital guaranteed at the end of accumulation period/upon reaching selected retirement age.
- Comparison for Etiqa Enrich Retirement is based on level income payout type.
- The accumulation period for Income Gro Retire Flex starts from policy entry date; the accumulation period for all the other plans start after premium payment term.
- Total payout, total guaranteed yields at maturity and total yield at maturity for China Life Prosperous Retirement consist of retirement age lump sum, monthly payouts, guaranteed maturity value and non-guaranteed terminal bonus at maturity.</t>
  </si>
  <si>
    <t>-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At maturity, Manulife RetireReady Plus (III) payouts the last guaranteed monthly income, non-guaranteed cash bonus and any accumulated retirement income benefit which has built up with interest. While for China Life Prosperous Retirement, it pays out both guaranteed maturity value and non-guaranteed terminal bonus as maturity benefits. 
- Comparison for Etiqa Enrich Retirement is based on level income payout type.
- The accumulation period for Income Gro Retire Flex Pro starts from policy entry date; the accumulation period for all the other plans start after premium payment term.
- Total payout, total guaranteed yields at maturity and total yield at maturity for China Life Prosperous Retirement consist of retirement age lump sum, monthly payouts, guaranteed maturity value and non-guaranteed terminal bonus at maturity.</t>
  </si>
  <si>
    <t xml:space="preserve">-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At maturity, Manulife RetireReady Plus (III) payouts the last guaranteed monthly income, non-guaranteed cash bonus and any accumulated retirement income benefit which has built up with interest. While for China Life Prosperous Retirement, it pays out both guaranteed maturity value and non-guaranteed terminal bonus as maturity benefits. 
- Comparison for Etiqa Enrich Retirement is based on level income payout type.
- The accumulation period for Income Gro Retire Flex Pro starts from policy entry date; the accumulation period for all the other plans start after premium payment term.
- Total payout, total guaranteed yields at maturity and total yield at maturity for China Life Prosperous Retirement consist of retirement age lump sum, monthly payouts, guaranteed maturity value and non-guaranteed terminal bonus at maturity.
</t>
  </si>
  <si>
    <t>-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At maturity, Manulife RetireReady Plus (III) payouts the last guaranteed monthly income, non-guaranteed cash bonus and any accumulated retirement income benefit which has built up with interest. While for China Life Prosperous Retirement, it pays out both guaranteed maturity value and non-guaranteed terminal bonus as maturity benefits. 
- All plans in the comparison are capital guaranteed at the end of accumulation period/upon reaching selected retirement age.
- Comparison for Etiqa Enrich Retirement is based on level income payout type.
- The accumulation period for Income Gro Retire Flex starts from policy entry date; the accumulation period for all the other plans start after premium payment term.
- Total payout, total guaranteed yields and total yield at maturity at maturity for China Life Prosperous Retirement consist of retirement age lump sum, monthly payouts, guaranteed maturity value and non-guaranteed terminal bonus at maturity.</t>
  </si>
  <si>
    <t>(i) For Singlife Flexi Retirement II, accumulation period selected is 10 years, start of payout year is at ANB67. This is to align the start payout year with other similar other plans above at ALB66/ANB67.</t>
  </si>
  <si>
    <t>Accumulation 10 years for Singlife Flexi Retirement II; Accumulation 11 years for other plans.</t>
  </si>
  <si>
    <t>Accumulation 5 years for Singlife Flexi Retirement II; Accumulation 6 years for other plans.</t>
  </si>
  <si>
    <t>(i) For Singlife Flexi Retirement II, accumulation period selected is 5 years, start of payout year is at ANB67. This is to align the start payout year with other similar other plans above at ALB66/ANB67.</t>
  </si>
  <si>
    <t>(ii) Due to plan design, China Life Prosperous Retirement, China Taiping i-Retire (II), Etiqa Enrich Retirement and Income Gro Retire Flex Pro are excluded from the comparison</t>
  </si>
  <si>
    <t>(ii) Due to plan design, Etiqa Enrich Retirement is excluded from the comparison</t>
  </si>
  <si>
    <t xml:space="preserve">(i) For the above comparison, we have aligned the age at end of accumulation period to that of Manulife RetireReady Plus (III) which is 70 ALB. </t>
  </si>
  <si>
    <t>(ii) For Manulife RetireReady Plus (III), there is no accumulation period to be selected and it is based on retirement age. The selected retirement age is ALB70, start of payout is at ALB71.</t>
  </si>
  <si>
    <t>(i) For Singlife Flexi Retirement II, accumulation period selected is 10 years, start of payout year is at ANB72. This is to align the start payout year with other similar other plans above at ALB71/ANB72.</t>
  </si>
  <si>
    <t>Based on Retirement Age 70(ALB), payout at Age 71 (ALB)</t>
  </si>
  <si>
    <t>Provider</t>
  </si>
  <si>
    <t>Non-providers Products</t>
  </si>
  <si>
    <t>Features Overview</t>
  </si>
  <si>
    <t>Features</t>
  </si>
  <si>
    <t>✔️</t>
  </si>
  <si>
    <t>Singlife Flexi Retirement (II)</t>
  </si>
  <si>
    <t>China Life Properous Retirement</t>
  </si>
  <si>
    <t>Summary</t>
  </si>
  <si>
    <t>Eitqa Enrich Retirement</t>
  </si>
  <si>
    <t>Guaranteed Yield</t>
  </si>
  <si>
    <t>Total Yield</t>
  </si>
  <si>
    <t>Best Values (based on value comparison)</t>
  </si>
  <si>
    <t>Guaranteed SV 
(Hide)</t>
  </si>
  <si>
    <t>Non-Guaranteed SV 
(Hide)</t>
  </si>
  <si>
    <t xml:space="preserve">Total SV 
(Hide)
</t>
  </si>
  <si>
    <t>Guaranteed Annual 
Income
(Hide)</t>
  </si>
  <si>
    <t>Endowment Retirement Product Comparison</t>
  </si>
  <si>
    <t>Product Info</t>
  </si>
  <si>
    <t>AIA Smart Flexi Growth</t>
  </si>
  <si>
    <t>AIA Smart Flexi Rewards (II)</t>
  </si>
  <si>
    <t>AIA Retirement Saver (IV)</t>
  </si>
  <si>
    <t>GREAT Prime Rewards 3</t>
  </si>
  <si>
    <t xml:space="preserve">GREAT Retire Income </t>
  </si>
  <si>
    <t>PRUActive Retirement II</t>
  </si>
  <si>
    <t>https://www.prudential.com.sg/products/wealth-accumulation/retirement/pruactive-retirement-ii</t>
  </si>
  <si>
    <r>
      <rPr>
        <b/>
        <u/>
        <sz val="11"/>
        <color theme="1"/>
        <rFont val="Calibri"/>
        <family val="2"/>
        <scheme val="minor"/>
      </rPr>
      <t>Certainty</t>
    </r>
    <r>
      <rPr>
        <sz val="11"/>
        <color theme="1"/>
        <rFont val="Calibri"/>
        <family val="2"/>
        <scheme val="minor"/>
      </rPr>
      <t xml:space="preserve">
- Competitive guaranteed yield at maturity 
- 100% capital guaranteed upon reaching selected Retirement Age
</t>
    </r>
    <r>
      <rPr>
        <b/>
        <u/>
        <sz val="11"/>
        <color theme="1"/>
        <rFont val="Calibri"/>
        <family val="2"/>
        <scheme val="minor"/>
      </rPr>
      <t>Flexibility</t>
    </r>
    <r>
      <rPr>
        <sz val="11"/>
        <color theme="1"/>
        <rFont val="Calibri"/>
        <family val="2"/>
        <scheme val="minor"/>
      </rPr>
      <t xml:space="preserve">
- Wide range of premium payment term options Single Premium (SRS option available), 5,10,15,20,25 years
- Flexibility to choose the retirement age, depending on premium term, accumulation period 
- Flexible payout period for retirement income from 5 years up to ANB120 of life insured
- Flexibility for clients to adjust income payout period to meet their changing life goals. 
- Option to receive a non-guaranteed bonus in a lump sum or spread it into your monthly income upon reaching chosen retirement age
- Offers flexibility to change the life assured during the policy term with no cap and more certainty with no premium changes for the basic plan upon change of Life Assured 
</t>
    </r>
    <r>
      <rPr>
        <b/>
        <u/>
        <sz val="11"/>
        <color theme="1"/>
        <rFont val="Calibri"/>
        <family val="2"/>
        <scheme val="minor"/>
      </rPr>
      <t>Others Benefits</t>
    </r>
    <r>
      <rPr>
        <sz val="11"/>
        <color theme="1"/>
        <rFont val="Calibri"/>
        <family val="2"/>
        <scheme val="minor"/>
      </rPr>
      <t xml:space="preserve">
- Waiver of Premiums upon TPD (before ANB 70)
- Availability of an EasyTerm rider that pays out a lump-sum of up to 5 times of annual premium in the event of Death, TI or TPD, the only plan in this suite with such a rider.
- Availability of optional Singlife Care Income Plus Cover rider that provides Fast Forward Option to receive Care Income Benefit in one lump sum during Income Payout Period</t>
    </r>
  </si>
  <si>
    <r>
      <rPr>
        <b/>
        <u/>
        <sz val="11"/>
        <color theme="1"/>
        <rFont val="Calibri"/>
        <family val="2"/>
        <scheme val="minor"/>
      </rPr>
      <t>Certainty</t>
    </r>
    <r>
      <rPr>
        <sz val="11"/>
        <color theme="1"/>
        <rFont val="Calibri"/>
        <family val="2"/>
        <scheme val="minor"/>
      </rPr>
      <t xml:space="preserve">
- Relatively competitve in guaranteed yield at maturity for most ages and payment terms, including single premium option.
- Competitve in total yield at maturity for most ages and payment terms, including single premium option.
- 100% capital guaranteed upon reaching selected Retirement Age
</t>
    </r>
    <r>
      <rPr>
        <b/>
        <u/>
        <sz val="11"/>
        <color theme="1"/>
        <rFont val="Calibri"/>
        <family val="2"/>
        <scheme val="minor"/>
      </rPr>
      <t>Flexibility</t>
    </r>
    <r>
      <rPr>
        <sz val="11"/>
        <color theme="1"/>
        <rFont val="Calibri"/>
        <family val="2"/>
        <scheme val="minor"/>
      </rPr>
      <t xml:space="preserve">
- Flexibility in payout commencement age by allowing clients to choose their preferred accumulation period in intervals of 1 year.
- Allows clients to adjust the income payout period anytime before the diagnosis of Loss of Independence.
</t>
    </r>
    <r>
      <rPr>
        <b/>
        <u/>
        <sz val="11"/>
        <color theme="1"/>
        <rFont val="Calibri"/>
        <family val="2"/>
        <scheme val="minor"/>
      </rPr>
      <t>Other Benefits</t>
    </r>
    <r>
      <rPr>
        <sz val="11"/>
        <color theme="1"/>
        <rFont val="Calibri"/>
        <family val="2"/>
        <scheme val="minor"/>
      </rPr>
      <t xml:space="preserve">
- Highest non-guaranteed interest rate at 3.25%p.a. (IIRR 4.25%) for its accumulated option as compared to other plans above
- Loss of Independence (LOI) benefit which pays 24 months of the prevailing GMI in one lump sum on top of the guaranteed monthly income if life insured meets the LOI definition at any time during the policy term</t>
    </r>
  </si>
  <si>
    <r>
      <rPr>
        <b/>
        <sz val="11"/>
        <color rgb="FF0000CC"/>
        <rFont val="Aptos Narrow"/>
        <family val="2"/>
      </rPr>
      <t>SP (SRS available) /</t>
    </r>
    <r>
      <rPr>
        <sz val="11"/>
        <rFont val="Aptos Narrow"/>
        <family val="2"/>
      </rPr>
      <t xml:space="preserve">
5/ 10/ 15/ 20/ 25 years
</t>
    </r>
  </si>
  <si>
    <r>
      <rPr>
        <sz val="11"/>
        <rFont val="Aptos Narrow"/>
        <family val="2"/>
      </rPr>
      <t>Starts after premium payment term</t>
    </r>
    <r>
      <rPr>
        <sz val="11"/>
        <color rgb="FF0000CC"/>
        <rFont val="Aptos Narrow"/>
        <family val="2"/>
      </rPr>
      <t xml:space="preserve">
</t>
    </r>
    <r>
      <rPr>
        <b/>
        <sz val="11"/>
        <color rgb="FF0000CC"/>
        <rFont val="Aptos Narrow"/>
        <family val="2"/>
      </rPr>
      <t>- 4 to 40 years for SP
- 5 to 40 for premium payment term 5 years
- 0 to 40 years for premium payment term 10, 15.20, 25 years
(Subject to Entry Age + Premium Payment Term + Accumulation Period &lt;= 80 ANB)</t>
    </r>
  </si>
  <si>
    <r>
      <t xml:space="preserve">•Death
•TI
</t>
    </r>
    <r>
      <rPr>
        <b/>
        <sz val="11"/>
        <color rgb="FF0000CC"/>
        <rFont val="Aptos Narrow"/>
        <family val="2"/>
      </rPr>
      <t xml:space="preserve">•Waiver of Premiums upon TPD (before ANB70)
</t>
    </r>
  </si>
  <si>
    <r>
      <t xml:space="preserve">•Death
•TI
</t>
    </r>
    <r>
      <rPr>
        <b/>
        <sz val="11"/>
        <color rgb="FF0000CC"/>
        <rFont val="Aptos Narrow"/>
        <family val="2"/>
      </rPr>
      <t>•Major Cancer Benefit</t>
    </r>
  </si>
  <si>
    <r>
      <rPr>
        <u/>
        <sz val="11"/>
        <rFont val="Aptos Narrow"/>
        <family val="2"/>
      </rPr>
      <t>SIO Riders</t>
    </r>
    <r>
      <rPr>
        <sz val="11"/>
        <rFont val="Aptos Narrow"/>
        <family val="2"/>
      </rPr>
      <t xml:space="preserve">
•	Premium Wavier Rider 
•	Payer Benefit Rider
•	Enhanced Payer Benefit Rider</t>
    </r>
  </si>
  <si>
    <t>AIA</t>
  </si>
  <si>
    <t>Great Eastern</t>
  </si>
  <si>
    <t>Prudential</t>
  </si>
  <si>
    <r>
      <t xml:space="preserve">- 10/20 years
- </t>
    </r>
    <r>
      <rPr>
        <b/>
        <sz val="11"/>
        <color rgb="FF0000CC"/>
        <rFont val="Aptos Narrow"/>
        <family val="2"/>
      </rPr>
      <t>up to ALB100</t>
    </r>
    <r>
      <rPr>
        <sz val="11"/>
        <rFont val="Aptos Narrow"/>
        <family val="2"/>
      </rPr>
      <t xml:space="preserve">
* Payout till ALB100 subject to entry age + accumulation period &gt;= 60</t>
    </r>
  </si>
  <si>
    <r>
      <rPr>
        <sz val="11"/>
        <rFont val="Aptos Narrow"/>
        <family val="2"/>
      </rPr>
      <t>Age 50</t>
    </r>
    <r>
      <rPr>
        <sz val="11"/>
        <color theme="1"/>
        <rFont val="Aptos Narrow"/>
        <family val="2"/>
      </rPr>
      <t xml:space="preserve">/55/60/65/70 </t>
    </r>
  </si>
  <si>
    <t>Age 60/65</t>
  </si>
  <si>
    <t>Age 55/60/65/70/75</t>
  </si>
  <si>
    <t>10/20 years</t>
  </si>
  <si>
    <t>Based on a %  (determined by Singlife) of the Guaranteed Monthly Income (GMI)</t>
  </si>
  <si>
    <t>Based on a % of the Sum Insured</t>
  </si>
  <si>
    <t xml:space="preserve">Determined by Etiqa annually and credited to the policy on the following Policy anniversary.
</t>
  </si>
  <si>
    <t xml:space="preserve">Based on a % of the selected GMI and the % varies by the selected retirement age, income payout period, premium payment term, entry age and gender.
</t>
  </si>
  <si>
    <t>Declared yearly and it is paid together with the monthly cash benefit</t>
  </si>
  <si>
    <t>-Reversionary Bonus (RB): $10 per $1,000 total annual premiums paid 
- Performance Bonus (on surrender, claim and maturity)</t>
  </si>
  <si>
    <t>a) The last MTI (consisting of GMI, MCB (if any) and AMI (if any));
b) Re-invested GMI, AMI and MCB which has accumulated with interest as at the date of maturity;
less any outstanding amount owing to Singlife
MTI = Monthly Total Income
GMI = Guaranteed Monthly Income
AMI = Additional Monthly Income
MCB = Monthly Cash Bonus</t>
  </si>
  <si>
    <r>
      <rPr>
        <b/>
        <sz val="11"/>
        <color rgb="FF0000CC"/>
        <rFont val="Aptos Narrow"/>
        <family val="2"/>
      </rPr>
      <t>a) A multiple of sum assured (refer to below*); and</t>
    </r>
    <r>
      <rPr>
        <sz val="11"/>
        <rFont val="Aptos Narrow"/>
        <family val="2"/>
      </rPr>
      <t xml:space="preserve">
b) a non-guaranteed terminal bonus (if any), less amounts owing to China Life
</t>
    </r>
    <r>
      <rPr>
        <b/>
        <sz val="11"/>
        <color rgb="FF0000CC"/>
        <rFont val="Aptos Narrow"/>
        <family val="2"/>
      </rPr>
      <t>*Multiple of sum assured
For policy term 20 – 29 years: 30x of sum insured
For policy term 30 – 39 years: 36x of sum insured
For policy term 40 – 49 years: 42x of sum insured
For policy term 50 years and above: 48x of sum insured</t>
    </r>
  </si>
  <si>
    <t>Any monthly income deposited with China Taiping plus interest accrued.</t>
  </si>
  <si>
    <t>a) Last monthly retirement income (if insured opt to receive monthly retirement income mode)
b) Any reversionary bonus
c) Any performance bonus
d) Any accumulated total retirement income plus any non-guaranteed interest
less any outstanding amount owing to Etiqa</t>
  </si>
  <si>
    <t>a) The last GMI;
b) The last CB;
c) Any accumulated RIB which has built up with interest.
less any outstanding amount owing to Manulife
GMI = Guaranteed Monthly Income
CB = Cash Bonus</t>
  </si>
  <si>
    <t xml:space="preserve">a) The last monthly cash benefit;
b) The last Cash Bonus;
c) Any accumulated retirement income which has built up with interest
less any outstanding amount owing to Income
</t>
  </si>
  <si>
    <r>
      <t xml:space="preserve">•Guaranteed monthly cash benefit 
•Any non-guaranteed Cash Bonus 
</t>
    </r>
    <r>
      <rPr>
        <u/>
        <sz val="11"/>
        <rFont val="Aptos Narrow"/>
        <family val="2"/>
      </rPr>
      <t xml:space="preserve">Options for income payouts
</t>
    </r>
    <r>
      <rPr>
        <sz val="11"/>
        <rFont val="Aptos Narrow"/>
        <family val="2"/>
      </rPr>
      <t xml:space="preserve">i) Receive as a payout
ii) Accumulate with Income at the prevailing interest rate, currently at 3% p.a.(IIRR 4.25%)
iii) Fully or partially withdraw the retirement income which has built up with interest at any time. </t>
    </r>
  </si>
  <si>
    <r>
      <t xml:space="preserve">• Guaranteed monthly income (GMI)
• Any non-guaranteed cash bonus (CB)
</t>
    </r>
    <r>
      <rPr>
        <u/>
        <sz val="11"/>
        <rFont val="Aptos Narrow"/>
        <family val="2"/>
      </rPr>
      <t>Options for income payouts</t>
    </r>
    <r>
      <rPr>
        <sz val="11"/>
        <rFont val="Aptos Narrow"/>
        <family val="2"/>
      </rPr>
      <t xml:space="preserve">
i) Receive the Retirement Income Benefit (RIB) consisting of the GMI and non-guaranteed CB
ii) Accumulate the RIB with Manulife at a non-guaranteed interest rate of 3% a year (at IRR 4.25%). 
iii) Fully or partially withdraw the retirement income which has built up with interest at any time. 
</t>
    </r>
  </si>
  <si>
    <r>
      <t>• Guaranteed monthly retirement income</t>
    </r>
    <r>
      <rPr>
        <b/>
        <sz val="11"/>
        <color rgb="FF0000CC"/>
        <rFont val="Aptos Narrow"/>
        <family val="2"/>
      </rPr>
      <t xml:space="preserve"> (Income Payout type: Level or Inflated)
</t>
    </r>
    <r>
      <rPr>
        <sz val="11"/>
        <rFont val="Aptos Narrow"/>
        <family val="2"/>
      </rPr>
      <t xml:space="preserve">- Inflated Monthly Retirement Income  is incremental at 2% p.a. at the beginning of every Policy year, starting from the second Policy year of paying the monthly payout. The inflated monthly payouts will remain constant throughout the Policy year until the next increment.
• Non-guaranteed monthly retirement income
</t>
    </r>
    <r>
      <rPr>
        <u/>
        <sz val="11"/>
        <rFont val="Aptos Narrow"/>
        <family val="2"/>
      </rPr>
      <t>Options for income payouts</t>
    </r>
    <r>
      <rPr>
        <sz val="11"/>
        <rFont val="Aptos Narrow"/>
        <family val="2"/>
      </rPr>
      <t xml:space="preserve">
i) Choice to receive monthly retirement income 
ii) Accumulate retirement income at 1.20% p.a non-guaranteed interest
ii) Receive a partial lump sum payout via a partial surrender of the policy and receive a reduced retirement income starting 1 month after policy anniversary following selected retirement age
iv) Receive a full lump sum payout via a full surrender of the policy.
</t>
    </r>
  </si>
  <si>
    <r>
      <t xml:space="preserve">• Guaranteed monthly income (GMI)
• Any non-guaranteed monthly cash bonus (CB)
</t>
    </r>
    <r>
      <rPr>
        <u/>
        <sz val="11"/>
        <color rgb="FF000000"/>
        <rFont val="Aptos Narrow"/>
        <family val="2"/>
      </rPr>
      <t>Options for income payouts</t>
    </r>
    <r>
      <rPr>
        <sz val="11"/>
        <color rgb="FF000000"/>
        <rFont val="Aptos Narrow"/>
        <family val="2"/>
      </rPr>
      <t xml:space="preserve">
i) Receive as a payout (Default)
ii)</t>
    </r>
    <r>
      <rPr>
        <b/>
        <sz val="11"/>
        <color rgb="FF0000CC"/>
        <rFont val="Aptos Narrow"/>
        <family val="2"/>
      </rPr>
      <t>Accumulate with Income at the prevailing interest rate, currently at 3.25%p.a</t>
    </r>
    <r>
      <rPr>
        <sz val="11"/>
        <color rgb="FF000000"/>
        <rFont val="Aptos Narrow"/>
        <family val="2"/>
      </rPr>
      <t>. (IIRR 4.25%)</t>
    </r>
  </si>
  <si>
    <r>
      <t xml:space="preserve">• Guaranteed Monthly Retirement Income (GRI)
• Non-Guaranteed Monthly Retirement Income (NGRI)
</t>
    </r>
    <r>
      <rPr>
        <u/>
        <sz val="11"/>
        <color rgb="FF000000"/>
        <rFont val="Aptos Narrow"/>
        <family val="2"/>
      </rPr>
      <t>Options for income payouts</t>
    </r>
    <r>
      <rPr>
        <sz val="11"/>
        <color rgb="FF000000"/>
        <rFont val="Aptos Narrow"/>
        <family val="2"/>
      </rPr>
      <t xml:space="preserve">
i) Receive GRI and NGRI
ii) Accumulate GRI and NGRI with China Life at prevailing non guaranteed interest rate
Prevailing nonguaranteed interest rate is 2.75% p.a. based on the illustrated investment rate of return of 4.25% p.a. 
(or 1.75% p.a. if the illustrated investment rate of return is 3.00% p.a.)</t>
    </r>
  </si>
  <si>
    <r>
      <t>• Guaranteed monthly income (GMI)
• Monthly Cash Bonus (MCB)</t>
    </r>
    <r>
      <rPr>
        <b/>
        <sz val="11"/>
        <color rgb="FF0000CC"/>
        <rFont val="Aptos Narrow"/>
        <family val="2"/>
      </rPr>
      <t xml:space="preserve">
• Additional Monthly Income (AMI)</t>
    </r>
    <r>
      <rPr>
        <sz val="11"/>
        <color rgb="FF000000"/>
        <rFont val="Aptos Narrow"/>
        <family val="2"/>
      </rPr>
      <t xml:space="preserve">
</t>
    </r>
    <r>
      <rPr>
        <u/>
        <sz val="11"/>
        <color rgb="FF000000"/>
        <rFont val="Aptos Narrow"/>
        <family val="2"/>
      </rPr>
      <t xml:space="preserve">
Options for income payouts
</t>
    </r>
    <r>
      <rPr>
        <sz val="11"/>
        <color rgb="FF000000"/>
        <rFont val="Aptos Narrow"/>
        <family val="2"/>
      </rPr>
      <t>i) Receive Monthly Total Income (GMI + non-guaranteed MCB + AMI)
ii) Reinvest Monthly Total Income at 3% p.a. (non-guaranteed interest)
iii) Withdraw the accumulated Reversionary Bonus in one lump sum at the end of the accumulation period or convert the accumulated Reversionary Bonus into AMI
iv) Withdraw fully or partially the Monthly Total Income that has been reinvested
iv) Withdraw fully or partially the Accumulated Reversionary Bonus before the end of the Accumulation Period
v) Receive a full lump sum payout via a full surrender of the policy.</t>
    </r>
    <r>
      <rPr>
        <sz val="11"/>
        <rFont val="Aptos Narrow"/>
        <family val="2"/>
      </rPr>
      <t xml:space="preserve">
</t>
    </r>
  </si>
  <si>
    <t>• Dread Disease Premium Waiver
•Enhanced Payor Premium Waiver
• Cancer Premium Waiver (GIO)
*Note: Riders are not available for single premium term</t>
  </si>
  <si>
    <t>Retrenchment Benefit</t>
  </si>
  <si>
    <r>
      <rPr>
        <b/>
        <sz val="11"/>
        <color rgb="FF0000CC"/>
        <rFont val="Aptos Narrow"/>
        <family val="2"/>
      </rPr>
      <t>Yes</t>
    </r>
    <r>
      <rPr>
        <sz val="11"/>
        <rFont val="Aptos Narrow"/>
        <family val="2"/>
      </rPr>
      <t xml:space="preserve">
- Can be exercised once during policy term
- Pay 12 times of sum insured, subject to a maximum amount of $30,000 payable if life insured is involuntarily unemployed for more than 6 months during premium term</t>
    </r>
  </si>
  <si>
    <r>
      <rPr>
        <b/>
        <sz val="11"/>
        <color rgb="FF0000CC"/>
        <rFont val="Aptos Narrow"/>
        <family val="2"/>
      </rPr>
      <t>Yes</t>
    </r>
    <r>
      <rPr>
        <sz val="11"/>
        <rFont val="Aptos Narrow"/>
        <family val="2"/>
      </rPr>
      <t xml:space="preserve">
- Can be exercised once during policy term
- Pay Single Premium: 12.5% of SP; Regular Premium: 50% of the Total Annual Mode Premium</t>
    </r>
  </si>
  <si>
    <r>
      <rPr>
        <b/>
        <sz val="11"/>
        <color rgb="FF0000CC"/>
        <rFont val="Aptos Narrow"/>
        <family val="2"/>
      </rPr>
      <t>Yes</t>
    </r>
    <r>
      <rPr>
        <sz val="11"/>
        <rFont val="Aptos Narrow"/>
        <family val="2"/>
      </rPr>
      <t xml:space="preserve">
- Do not have to pay the premiums for the basic policy and Gro Retire Flex Pro – Protection Benefit rider for six months from the next premium due date onwards.
- Single Premium: 12.5% of SP; Reguar Premium: 50% of the Total Annual Mode Premium</t>
    </r>
  </si>
  <si>
    <t xml:space="preserve">SRS Option </t>
  </si>
  <si>
    <t>Disability Income Payout
(Additional Payouts)</t>
  </si>
  <si>
    <r>
      <t xml:space="preserve">Based on </t>
    </r>
    <r>
      <rPr>
        <b/>
        <sz val="11"/>
        <color rgb="FF0000CC"/>
        <rFont val="Aptos Narrow"/>
        <family val="2"/>
      </rPr>
      <t>MNS ALB 24/ANB25</t>
    </r>
    <r>
      <rPr>
        <b/>
        <sz val="11"/>
        <rFont val="Aptos Narrow"/>
        <family val="2"/>
      </rPr>
      <t>. Single Premium $100k.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</si>
  <si>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29/ANB30</t>
    </r>
    <r>
      <rPr>
        <b/>
        <sz val="11"/>
        <rFont val="Aptos Narrow"/>
        <family val="2"/>
      </rPr>
      <t xml:space="preserve">. Single Premium $100k.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</si>
  <si>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34/ANB35.</t>
    </r>
    <r>
      <rPr>
        <b/>
        <sz val="11"/>
        <rFont val="Aptos Narrow"/>
        <family val="2"/>
      </rPr>
      <t xml:space="preserve"> Single Premium $100k.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</si>
  <si>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39/ANB40.</t>
    </r>
    <r>
      <rPr>
        <b/>
        <sz val="11"/>
        <rFont val="Aptos Narrow"/>
        <family val="2"/>
      </rPr>
      <t xml:space="preserve"> Single Premium $100k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</si>
  <si>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ALB44/ANB45</t>
    </r>
    <r>
      <rPr>
        <b/>
        <sz val="11"/>
        <rFont val="Aptos Narrow"/>
        <family val="2"/>
      </rPr>
      <t xml:space="preserve"> Single Premium $100k.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</si>
  <si>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ALB49/ANB50</t>
    </r>
    <r>
      <rPr>
        <b/>
        <sz val="11"/>
        <rFont val="Aptos Narrow"/>
        <family val="2"/>
      </rPr>
      <t>. Single Premium $100k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</si>
  <si>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ALB54/ANB55</t>
    </r>
    <r>
      <rPr>
        <b/>
        <sz val="11"/>
        <rFont val="Aptos Narrow"/>
        <family val="2"/>
      </rPr>
      <t>. Single Premium $100k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</si>
  <si>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ALB59/ANB60</t>
    </r>
    <r>
      <rPr>
        <b/>
        <sz val="11"/>
        <rFont val="Aptos Narrow"/>
        <family val="2"/>
      </rPr>
      <t>. Single Premium $100k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</si>
  <si>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24/ANB25</t>
    </r>
    <r>
      <rPr>
        <b/>
        <sz val="11"/>
        <rFont val="Aptos Narrow"/>
        <family val="2"/>
      </rPr>
      <t>. Single Premium $200k.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</si>
  <si>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29/ANB30</t>
    </r>
    <r>
      <rPr>
        <b/>
        <sz val="11"/>
        <rFont val="Aptos Narrow"/>
        <family val="2"/>
      </rPr>
      <t xml:space="preserve">. Single Premium $200k.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</si>
  <si>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34/ANB35.</t>
    </r>
    <r>
      <rPr>
        <b/>
        <sz val="11"/>
        <rFont val="Aptos Narrow"/>
        <family val="2"/>
      </rPr>
      <t xml:space="preserve"> Single Premium $200k.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</si>
  <si>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 39/ANB40.</t>
    </r>
    <r>
      <rPr>
        <b/>
        <sz val="11"/>
        <rFont val="Aptos Narrow"/>
        <family val="2"/>
      </rPr>
      <t xml:space="preserve"> Single Premium $200k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</si>
  <si>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ALB44/ANB45.</t>
    </r>
    <r>
      <rPr>
        <b/>
        <sz val="11"/>
        <rFont val="Aptos Narrow"/>
        <family val="2"/>
      </rPr>
      <t xml:space="preserve"> Single Premium $200k.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</si>
  <si>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ALB49/ANB50</t>
    </r>
    <r>
      <rPr>
        <b/>
        <sz val="11"/>
        <rFont val="Aptos Narrow"/>
        <family val="2"/>
      </rPr>
      <t>. Single Premium $200k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</si>
  <si>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ALB54/ANB55</t>
    </r>
    <r>
      <rPr>
        <b/>
        <sz val="11"/>
        <rFont val="Aptos Narrow"/>
        <family val="2"/>
      </rPr>
      <t>. Single Premium $200k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</si>
  <si>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t>
    </r>
    <r>
      <rPr>
        <b/>
        <sz val="11"/>
        <color rgb="FF0000CC"/>
        <rFont val="Aptos Narrow"/>
        <family val="2"/>
      </rPr>
      <t>MNS ALB59/ANB60</t>
    </r>
    <r>
      <rPr>
        <b/>
        <sz val="11"/>
        <rFont val="Aptos Narrow"/>
        <family val="2"/>
      </rPr>
      <t>. Single Premium $200k</t>
    </r>
    <r>
      <rPr>
        <b/>
        <sz val="11"/>
        <color rgb="FF0000CC"/>
        <rFont val="Aptos Narrow"/>
        <family val="2"/>
      </rPr>
      <t xml:space="preserve">. </t>
    </r>
    <r>
      <rPr>
        <b/>
        <sz val="11"/>
        <color rgb="FF008080"/>
        <rFont val="Aptos Narrow"/>
        <family val="2"/>
      </rPr>
      <t>Payout 20 years</t>
    </r>
    <r>
      <rPr>
        <b/>
        <sz val="11"/>
        <rFont val="Aptos Narrow"/>
        <family val="2"/>
      </rPr>
      <t xml:space="preserve">.  </t>
    </r>
  </si>
  <si>
    <r>
      <t xml:space="preserve">Based on MNS, ALB 24 / ANB 25. </t>
    </r>
    <r>
      <rPr>
        <b/>
        <sz val="11"/>
        <color rgb="FF0000CC"/>
        <rFont val="Aptos Narrow"/>
        <family val="2"/>
      </rPr>
      <t xml:space="preserve">Premium term 10 years.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</si>
  <si>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 xml:space="preserve">41 years </t>
    </r>
    <r>
      <rPr>
        <b/>
        <sz val="11"/>
        <rFont val="Aptos Narrow"/>
        <family val="2"/>
      </rPr>
      <t xml:space="preserve">for Gro Retire Flex Pro, </t>
    </r>
    <r>
      <rPr>
        <b/>
        <sz val="11"/>
        <color rgb="FF0000CC"/>
        <rFont val="Aptos Narrow"/>
        <family val="2"/>
      </rPr>
      <t xml:space="preserve">31 years </t>
    </r>
    <r>
      <rPr>
        <b/>
        <sz val="11"/>
        <rFont val="Aptos Narrow"/>
        <family val="2"/>
      </rPr>
      <t xml:space="preserve">for the rest except Etiqa Enrich Retirement of </t>
    </r>
    <r>
      <rPr>
        <b/>
        <sz val="11"/>
        <color rgb="FF0000CC"/>
        <rFont val="Aptos Narrow"/>
        <family val="2"/>
      </rPr>
      <t>30 years</t>
    </r>
  </si>
  <si>
    <r>
      <t xml:space="preserve">Based on MNS, ALB 24 / ANB 25. </t>
    </r>
    <r>
      <rPr>
        <b/>
        <sz val="11"/>
        <color rgb="FF0000CC"/>
        <rFont val="Aptos Narrow"/>
        <family val="2"/>
      </rPr>
      <t xml:space="preserve">Premium term 20 years. </t>
    </r>
    <r>
      <rPr>
        <b/>
        <sz val="11"/>
        <color rgb="FF008080"/>
        <rFont val="Aptos Narrow"/>
        <family val="2"/>
      </rPr>
      <t>Payout 20 years.</t>
    </r>
    <r>
      <rPr>
        <b/>
        <sz val="11"/>
        <rFont val="Aptos Narrow"/>
        <family val="2"/>
      </rPr>
      <t xml:space="preserve">  </t>
    </r>
  </si>
  <si>
    <r>
      <t>Accumulation</t>
    </r>
    <r>
      <rPr>
        <b/>
        <sz val="11"/>
        <color rgb="FF0000CC"/>
        <rFont val="Aptos Narrow"/>
        <family val="2"/>
      </rPr>
      <t xml:space="preserve"> 41 years </t>
    </r>
    <r>
      <rPr>
        <b/>
        <sz val="11"/>
        <rFont val="Aptos Narrow"/>
        <family val="2"/>
      </rPr>
      <t>for Gro Retire Flex,</t>
    </r>
    <r>
      <rPr>
        <b/>
        <sz val="11"/>
        <color rgb="FF0000CC"/>
        <rFont val="Aptos Narrow"/>
        <family val="2"/>
      </rPr>
      <t xml:space="preserve"> 21 years</t>
    </r>
    <r>
      <rPr>
        <b/>
        <sz val="11"/>
        <color rgb="FFFF0000"/>
        <rFont val="Aptos Narrow"/>
        <family val="2"/>
      </rPr>
      <t xml:space="preserve"> </t>
    </r>
    <r>
      <rPr>
        <b/>
        <sz val="11"/>
        <rFont val="Aptos Narrow"/>
        <family val="2"/>
      </rPr>
      <t>for the rest.</t>
    </r>
  </si>
  <si>
    <r>
      <t xml:space="preserve">Based on MNS, ALB 29 / ANB 30. </t>
    </r>
    <r>
      <rPr>
        <b/>
        <sz val="11"/>
        <color rgb="FF0000CC"/>
        <rFont val="Aptos Narrow"/>
        <family val="2"/>
      </rPr>
      <t xml:space="preserve">Premium term 10 years.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</si>
  <si>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36 years</t>
    </r>
    <r>
      <rPr>
        <b/>
        <sz val="11"/>
        <rFont val="Aptos Narrow"/>
        <family val="2"/>
      </rPr>
      <t xml:space="preserve"> for Gro Retire Flex Pro, </t>
    </r>
    <r>
      <rPr>
        <b/>
        <sz val="11"/>
        <color rgb="FF0000CC"/>
        <rFont val="Aptos Narrow"/>
        <family val="2"/>
      </rPr>
      <t xml:space="preserve">26 years </t>
    </r>
    <r>
      <rPr>
        <b/>
        <sz val="11"/>
        <rFont val="Aptos Narrow"/>
        <family val="2"/>
      </rPr>
      <t>for the rest except Etiqa Enrich Retirement of</t>
    </r>
    <r>
      <rPr>
        <b/>
        <sz val="11"/>
        <color rgb="FF0000CC"/>
        <rFont val="Aptos Narrow"/>
        <family val="2"/>
      </rPr>
      <t xml:space="preserve"> 25 years</t>
    </r>
  </si>
  <si>
    <r>
      <t xml:space="preserve">Based on MNS, ALB 29 / ANB 30. </t>
    </r>
    <r>
      <rPr>
        <b/>
        <sz val="11"/>
        <color rgb="FF0000CC"/>
        <rFont val="Aptos Narrow"/>
        <family val="2"/>
      </rPr>
      <t xml:space="preserve">Premium term 20 years.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</si>
  <si>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 xml:space="preserve">36 years </t>
    </r>
    <r>
      <rPr>
        <b/>
        <sz val="11"/>
        <rFont val="Aptos Narrow"/>
        <family val="2"/>
      </rPr>
      <t xml:space="preserve">for Gro Retire Flex Pro, </t>
    </r>
    <r>
      <rPr>
        <b/>
        <sz val="11"/>
        <color rgb="FF0000CC"/>
        <rFont val="Aptos Narrow"/>
        <family val="2"/>
      </rPr>
      <t>16 years</t>
    </r>
    <r>
      <rPr>
        <b/>
        <sz val="11"/>
        <rFont val="Aptos Narrow"/>
        <family val="2"/>
      </rPr>
      <t xml:space="preserve"> for the rest. </t>
    </r>
  </si>
  <si>
    <r>
      <t xml:space="preserve">Based on MNS, ALB 34 / ANB 35. </t>
    </r>
    <r>
      <rPr>
        <b/>
        <sz val="11"/>
        <color rgb="FF0000CC"/>
        <rFont val="Aptos Narrow"/>
        <family val="2"/>
      </rPr>
      <t>Premium term 10 years</t>
    </r>
    <r>
      <rPr>
        <b/>
        <sz val="11"/>
        <rFont val="Aptos Narrow"/>
        <family val="2"/>
      </rPr>
      <t xml:space="preserve">. </t>
    </r>
    <r>
      <rPr>
        <b/>
        <sz val="11"/>
        <color rgb="FF008080"/>
        <rFont val="Aptos Narrow"/>
        <family val="2"/>
      </rPr>
      <t>Payout 20 years</t>
    </r>
    <r>
      <rPr>
        <b/>
        <sz val="11"/>
        <rFont val="Aptos Narrow"/>
        <family val="2"/>
      </rPr>
      <t>.</t>
    </r>
  </si>
  <si>
    <r>
      <t>Accumulation</t>
    </r>
    <r>
      <rPr>
        <b/>
        <sz val="11"/>
        <color rgb="FF0000CC"/>
        <rFont val="Aptos Narrow"/>
        <family val="2"/>
      </rPr>
      <t xml:space="preserve"> 31 years </t>
    </r>
    <r>
      <rPr>
        <b/>
        <sz val="11"/>
        <rFont val="Aptos Narrow"/>
        <family val="2"/>
      </rPr>
      <t xml:space="preserve">for Gro Retire Flex Pro, </t>
    </r>
    <r>
      <rPr>
        <b/>
        <sz val="11"/>
        <color rgb="FF0000CC"/>
        <rFont val="Aptos Narrow"/>
        <family val="2"/>
      </rPr>
      <t>21 years</t>
    </r>
    <r>
      <rPr>
        <b/>
        <sz val="11"/>
        <rFont val="Aptos Narrow"/>
        <family val="2"/>
      </rPr>
      <t xml:space="preserve"> for the rest except Etiqa Enrich Retirement of </t>
    </r>
    <r>
      <rPr>
        <b/>
        <sz val="11"/>
        <color rgb="FF0000CC"/>
        <rFont val="Aptos Narrow"/>
        <family val="2"/>
      </rPr>
      <t>20 years</t>
    </r>
    <r>
      <rPr>
        <b/>
        <sz val="11"/>
        <rFont val="Aptos Narrow"/>
        <family val="2"/>
      </rPr>
      <t>. Annual Premiums $12K</t>
    </r>
  </si>
  <si>
    <r>
      <t xml:space="preserve">Based on MNS, ALB 34 / ANB 35. </t>
    </r>
    <r>
      <rPr>
        <b/>
        <sz val="11"/>
        <color rgb="FF0000CC"/>
        <rFont val="Aptos Narrow"/>
        <family val="2"/>
      </rPr>
      <t>Premium term 20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</si>
  <si>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31 years</t>
    </r>
    <r>
      <rPr>
        <b/>
        <sz val="11"/>
        <rFont val="Aptos Narrow"/>
        <family val="2"/>
      </rPr>
      <t xml:space="preserve"> for Gro Retire Flex Pro,</t>
    </r>
    <r>
      <rPr>
        <b/>
        <sz val="11"/>
        <color rgb="FFFF0000"/>
        <rFont val="Aptos Narrow"/>
        <family val="2"/>
      </rPr>
      <t xml:space="preserve"> </t>
    </r>
    <r>
      <rPr>
        <b/>
        <sz val="11"/>
        <color rgb="FF0000CC"/>
        <rFont val="Aptos Narrow"/>
        <family val="2"/>
      </rPr>
      <t>11 years</t>
    </r>
    <r>
      <rPr>
        <b/>
        <sz val="11"/>
        <color rgb="FFFF0000"/>
        <rFont val="Aptos Narrow"/>
        <family val="2"/>
      </rPr>
      <t xml:space="preserve"> </t>
    </r>
    <r>
      <rPr>
        <b/>
        <sz val="11"/>
        <rFont val="Aptos Narrow"/>
        <family val="2"/>
      </rPr>
      <t>for the rest. Annual Premiums $12K</t>
    </r>
  </si>
  <si>
    <r>
      <t xml:space="preserve">Based on MNS, ALB 39 / ANB 40. </t>
    </r>
    <r>
      <rPr>
        <b/>
        <sz val="11"/>
        <color rgb="FF0000CC"/>
        <rFont val="Aptos Narrow"/>
        <family val="2"/>
      </rPr>
      <t>Premium term 5 years</t>
    </r>
    <r>
      <rPr>
        <b/>
        <sz val="11"/>
        <rFont val="Aptos Narrow"/>
        <family val="2"/>
      </rPr>
      <t xml:space="preserve">. </t>
    </r>
    <r>
      <rPr>
        <b/>
        <sz val="11"/>
        <color rgb="FF008080"/>
        <rFont val="Aptos Narrow"/>
        <family val="2"/>
      </rPr>
      <t>Payout 20 years</t>
    </r>
    <r>
      <rPr>
        <b/>
        <sz val="11"/>
        <rFont val="Aptos Narrow"/>
        <family val="2"/>
      </rPr>
      <t xml:space="preserve">.  </t>
    </r>
  </si>
  <si>
    <r>
      <t>Accumulation</t>
    </r>
    <r>
      <rPr>
        <b/>
        <sz val="11"/>
        <color rgb="FFFF0000"/>
        <rFont val="Aptos Narrow"/>
        <family val="2"/>
      </rPr>
      <t xml:space="preserve"> </t>
    </r>
    <r>
      <rPr>
        <b/>
        <sz val="11"/>
        <color rgb="FF0000CC"/>
        <rFont val="Aptos Narrow"/>
        <family val="2"/>
      </rPr>
      <t>26 years</t>
    </r>
    <r>
      <rPr>
        <b/>
        <sz val="11"/>
        <rFont val="Aptos Narrow"/>
        <family val="2"/>
      </rPr>
      <t xml:space="preserve"> for Gro Retire Flex, </t>
    </r>
    <r>
      <rPr>
        <b/>
        <sz val="11"/>
        <color rgb="FF0000CC"/>
        <rFont val="Aptos Narrow"/>
        <family val="2"/>
      </rPr>
      <t xml:space="preserve">21 years </t>
    </r>
    <r>
      <rPr>
        <b/>
        <sz val="11"/>
        <rFont val="Aptos Narrow"/>
        <family val="2"/>
      </rPr>
      <t xml:space="preserve">for the rest except Etiqa Enrich Retirement of </t>
    </r>
    <r>
      <rPr>
        <b/>
        <sz val="11"/>
        <color rgb="FF0000CC"/>
        <rFont val="Aptos Narrow"/>
        <family val="2"/>
      </rPr>
      <t>20 years</t>
    </r>
    <r>
      <rPr>
        <b/>
        <sz val="11"/>
        <rFont val="Aptos Narrow"/>
        <family val="2"/>
      </rPr>
      <t>. Annual Premiums $12K</t>
    </r>
  </si>
  <si>
    <r>
      <t>Based on MNS, ALB 39 / ANB 40.</t>
    </r>
    <r>
      <rPr>
        <b/>
        <sz val="11"/>
        <color rgb="FF0000CC"/>
        <rFont val="Aptos Narrow"/>
        <family val="2"/>
      </rPr>
      <t xml:space="preserve"> Premium term 10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</si>
  <si>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26 years</t>
    </r>
    <r>
      <rPr>
        <b/>
        <sz val="11"/>
        <rFont val="Aptos Narrow"/>
        <family val="2"/>
      </rPr>
      <t xml:space="preserve"> for Gro Retire Flex Pro, </t>
    </r>
    <r>
      <rPr>
        <b/>
        <sz val="11"/>
        <color rgb="FF0000CC"/>
        <rFont val="Aptos Narrow"/>
        <family val="2"/>
      </rPr>
      <t xml:space="preserve">16 years </t>
    </r>
    <r>
      <rPr>
        <b/>
        <sz val="11"/>
        <rFont val="Aptos Narrow"/>
        <family val="2"/>
      </rPr>
      <t xml:space="preserve">for the rest except Etiqa Enrich Retirement of </t>
    </r>
    <r>
      <rPr>
        <b/>
        <sz val="11"/>
        <color rgb="FF0000CC"/>
        <rFont val="Aptos Narrow"/>
        <family val="2"/>
      </rPr>
      <t>15 years</t>
    </r>
    <r>
      <rPr>
        <b/>
        <sz val="11"/>
        <rFont val="Aptos Narrow"/>
        <family val="2"/>
      </rPr>
      <t>.  Annual Premiums $12K</t>
    </r>
  </si>
  <si>
    <r>
      <t>Based on MNS, ALB 39 / ANB 40.</t>
    </r>
    <r>
      <rPr>
        <b/>
        <sz val="11"/>
        <color rgb="FF0000CC"/>
        <rFont val="Aptos Narrow"/>
        <family val="2"/>
      </rPr>
      <t xml:space="preserve"> Premium term 20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</si>
  <si>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26 years</t>
    </r>
    <r>
      <rPr>
        <b/>
        <sz val="11"/>
        <rFont val="Aptos Narrow"/>
        <family val="2"/>
      </rPr>
      <t xml:space="preserve"> for Gro Retire Flex Pro,</t>
    </r>
    <r>
      <rPr>
        <b/>
        <sz val="11"/>
        <color rgb="FF0000CC"/>
        <rFont val="Aptos Narrow"/>
        <family val="2"/>
      </rPr>
      <t xml:space="preserve"> 6 years</t>
    </r>
    <r>
      <rPr>
        <b/>
        <sz val="11"/>
        <rFont val="Aptos Narrow"/>
        <family val="2"/>
      </rPr>
      <t xml:space="preserve"> for the rest.  Annual Premiums $12K</t>
    </r>
  </si>
  <si>
    <r>
      <t>Accumulation</t>
    </r>
    <r>
      <rPr>
        <b/>
        <sz val="11"/>
        <color rgb="FF0000CC"/>
        <rFont val="Aptos Narrow"/>
        <family val="2"/>
      </rPr>
      <t xml:space="preserve"> 31 years </t>
    </r>
    <r>
      <rPr>
        <b/>
        <sz val="11"/>
        <rFont val="Aptos Narrow"/>
        <family val="2"/>
      </rPr>
      <t xml:space="preserve">for Gro Retire Flex Pro, </t>
    </r>
    <r>
      <rPr>
        <b/>
        <sz val="11"/>
        <color rgb="FF0000CC"/>
        <rFont val="Aptos Narrow"/>
        <family val="2"/>
      </rPr>
      <t>21 years</t>
    </r>
    <r>
      <rPr>
        <b/>
        <sz val="11"/>
        <rFont val="Aptos Narrow"/>
        <family val="2"/>
      </rPr>
      <t xml:space="preserve"> for the rest except Etiqa Enrich Retirement of</t>
    </r>
    <r>
      <rPr>
        <b/>
        <sz val="11"/>
        <color rgb="FF0000CC"/>
        <rFont val="Aptos Narrow"/>
        <family val="2"/>
      </rPr>
      <t xml:space="preserve"> 20 years</t>
    </r>
    <r>
      <rPr>
        <b/>
        <sz val="11"/>
        <rFont val="Aptos Narrow"/>
        <family val="2"/>
      </rPr>
      <t>. Annual Premiums $24K</t>
    </r>
  </si>
  <si>
    <r>
      <t xml:space="preserve">Accumulation </t>
    </r>
    <r>
      <rPr>
        <b/>
        <sz val="11"/>
        <color rgb="FF0000CC"/>
        <rFont val="Aptos Narrow"/>
        <family val="2"/>
      </rPr>
      <t>31 years</t>
    </r>
    <r>
      <rPr>
        <b/>
        <sz val="11"/>
        <rFont val="Aptos Narrow"/>
        <family val="2"/>
      </rPr>
      <t xml:space="preserve"> for Gro Retire Flex Pro,</t>
    </r>
    <r>
      <rPr>
        <b/>
        <sz val="11"/>
        <color rgb="FFFF0000"/>
        <rFont val="Aptos Narrow"/>
        <family val="2"/>
      </rPr>
      <t xml:space="preserve"> </t>
    </r>
    <r>
      <rPr>
        <b/>
        <sz val="11"/>
        <color rgb="FF0000CC"/>
        <rFont val="Aptos Narrow"/>
        <family val="2"/>
      </rPr>
      <t>11 years</t>
    </r>
    <r>
      <rPr>
        <b/>
        <sz val="11"/>
        <color rgb="FFFF0000"/>
        <rFont val="Aptos Narrow"/>
        <family val="2"/>
      </rPr>
      <t xml:space="preserve"> </t>
    </r>
    <r>
      <rPr>
        <b/>
        <sz val="11"/>
        <rFont val="Aptos Narrow"/>
        <family val="2"/>
      </rPr>
      <t>for the rest. Annual Premiums $24K</t>
    </r>
  </si>
  <si>
    <r>
      <t>Accumulation</t>
    </r>
    <r>
      <rPr>
        <b/>
        <sz val="11"/>
        <color rgb="FFFF0000"/>
        <rFont val="Aptos Narrow"/>
        <family val="2"/>
      </rPr>
      <t xml:space="preserve"> </t>
    </r>
    <r>
      <rPr>
        <b/>
        <sz val="11"/>
        <color rgb="FF0000CC"/>
        <rFont val="Aptos Narrow"/>
        <family val="2"/>
      </rPr>
      <t>26 years</t>
    </r>
    <r>
      <rPr>
        <b/>
        <sz val="11"/>
        <rFont val="Aptos Narrow"/>
        <family val="2"/>
      </rPr>
      <t xml:space="preserve"> for Gro Retire Flex, </t>
    </r>
    <r>
      <rPr>
        <b/>
        <sz val="11"/>
        <color rgb="FF0000CC"/>
        <rFont val="Aptos Narrow"/>
        <family val="2"/>
      </rPr>
      <t xml:space="preserve">21 years </t>
    </r>
    <r>
      <rPr>
        <b/>
        <sz val="11"/>
        <rFont val="Aptos Narrow"/>
        <family val="2"/>
      </rPr>
      <t xml:space="preserve">for the rest except Etiqa Enrich Retirement of </t>
    </r>
    <r>
      <rPr>
        <b/>
        <sz val="11"/>
        <color rgb="FF0000CC"/>
        <rFont val="Aptos Narrow"/>
        <family val="2"/>
      </rPr>
      <t>20 years.</t>
    </r>
    <r>
      <rPr>
        <b/>
        <sz val="11"/>
        <rFont val="Aptos Narrow"/>
        <family val="2"/>
      </rPr>
      <t xml:space="preserve"> Annual Premiums $24K</t>
    </r>
  </si>
  <si>
    <r>
      <t xml:space="preserve">Accumulation </t>
    </r>
    <r>
      <rPr>
        <b/>
        <sz val="11"/>
        <color rgb="FF0000CC"/>
        <rFont val="Aptos Narrow"/>
        <family val="2"/>
      </rPr>
      <t>26 years</t>
    </r>
    <r>
      <rPr>
        <b/>
        <sz val="11"/>
        <rFont val="Aptos Narrow"/>
        <family val="2"/>
      </rPr>
      <t xml:space="preserve"> for Gro Retire Flex Pro, </t>
    </r>
    <r>
      <rPr>
        <b/>
        <sz val="11"/>
        <color rgb="FF0000CC"/>
        <rFont val="Aptos Narrow"/>
        <family val="2"/>
      </rPr>
      <t xml:space="preserve">16 years </t>
    </r>
    <r>
      <rPr>
        <b/>
        <sz val="11"/>
        <rFont val="Aptos Narrow"/>
        <family val="2"/>
      </rPr>
      <t xml:space="preserve">for the rest except Etiqa Enrich Retirement of </t>
    </r>
    <r>
      <rPr>
        <b/>
        <sz val="11"/>
        <color rgb="FF0000CC"/>
        <rFont val="Aptos Narrow"/>
        <family val="2"/>
      </rPr>
      <t>15 years</t>
    </r>
    <r>
      <rPr>
        <b/>
        <sz val="11"/>
        <rFont val="Aptos Narrow"/>
        <family val="2"/>
      </rPr>
      <t>.  Annual Premiums $24K</t>
    </r>
  </si>
  <si>
    <r>
      <t xml:space="preserve">Accumulation </t>
    </r>
    <r>
      <rPr>
        <b/>
        <sz val="11"/>
        <color rgb="FF0000CC"/>
        <rFont val="Aptos Narrow"/>
        <family val="2"/>
      </rPr>
      <t>26 years</t>
    </r>
    <r>
      <rPr>
        <b/>
        <sz val="11"/>
        <rFont val="Aptos Narrow"/>
        <family val="2"/>
      </rPr>
      <t xml:space="preserve"> for Gro Retire Flex Pro,</t>
    </r>
    <r>
      <rPr>
        <b/>
        <sz val="11"/>
        <color rgb="FF0000CC"/>
        <rFont val="Aptos Narrow"/>
        <family val="2"/>
      </rPr>
      <t xml:space="preserve"> 6 years</t>
    </r>
    <r>
      <rPr>
        <b/>
        <sz val="11"/>
        <rFont val="Aptos Narrow"/>
        <family val="2"/>
      </rPr>
      <t xml:space="preserve"> for the rest. Annual Premiums $24K</t>
    </r>
  </si>
  <si>
    <r>
      <t xml:space="preserve">Based on MNS, ALB 44 / ANB 45. </t>
    </r>
    <r>
      <rPr>
        <b/>
        <sz val="11"/>
        <color rgb="FF0000CC"/>
        <rFont val="Aptos Narrow"/>
        <family val="2"/>
      </rPr>
      <t>Premium term 5 years</t>
    </r>
    <r>
      <rPr>
        <b/>
        <sz val="11"/>
        <rFont val="Aptos Narrow"/>
        <family val="2"/>
      </rPr>
      <t xml:space="preserve">. </t>
    </r>
    <r>
      <rPr>
        <b/>
        <sz val="11"/>
        <color rgb="FF008080"/>
        <rFont val="Aptos Narrow"/>
        <family val="2"/>
      </rPr>
      <t>Payout 20 years</t>
    </r>
    <r>
      <rPr>
        <b/>
        <sz val="11"/>
        <rFont val="Aptos Narrow"/>
        <family val="2"/>
      </rPr>
      <t xml:space="preserve">.  </t>
    </r>
  </si>
  <si>
    <r>
      <t>Accumulation</t>
    </r>
    <r>
      <rPr>
        <b/>
        <sz val="11"/>
        <color rgb="FFFF0000"/>
        <rFont val="Aptos Narrow"/>
        <family val="2"/>
      </rPr>
      <t xml:space="preserve"> </t>
    </r>
    <r>
      <rPr>
        <b/>
        <sz val="11"/>
        <color rgb="FF0000CC"/>
        <rFont val="Aptos Narrow"/>
        <family val="2"/>
      </rPr>
      <t>21 years</t>
    </r>
    <r>
      <rPr>
        <b/>
        <sz val="11"/>
        <rFont val="Aptos Narrow"/>
        <family val="2"/>
      </rPr>
      <t xml:space="preserve"> for Gro Retire Flex Pro, </t>
    </r>
    <r>
      <rPr>
        <b/>
        <sz val="11"/>
        <color rgb="FF0000CC"/>
        <rFont val="Aptos Narrow"/>
        <family val="2"/>
      </rPr>
      <t>16 years</t>
    </r>
    <r>
      <rPr>
        <b/>
        <sz val="11"/>
        <rFont val="Aptos Narrow"/>
        <family val="2"/>
      </rPr>
      <t xml:space="preserve"> for the rest except Etiqa Enrich Retirement of </t>
    </r>
    <r>
      <rPr>
        <b/>
        <sz val="11"/>
        <color rgb="FF0000CC"/>
        <rFont val="Aptos Narrow"/>
        <family val="2"/>
      </rPr>
      <t>15 years</t>
    </r>
    <r>
      <rPr>
        <b/>
        <sz val="11"/>
        <rFont val="Aptos Narrow"/>
        <family val="2"/>
      </rPr>
      <t>. Annual premiums $12k</t>
    </r>
  </si>
  <si>
    <r>
      <t xml:space="preserve">Based on MNS, ALB 44 / ANB 45. </t>
    </r>
    <r>
      <rPr>
        <b/>
        <sz val="11"/>
        <color rgb="FF0000CC"/>
        <rFont val="Aptos Narrow"/>
        <family val="2"/>
      </rPr>
      <t>Premium term 10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</si>
  <si>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21 years</t>
    </r>
    <r>
      <rPr>
        <b/>
        <sz val="11"/>
        <color rgb="FFFF0000"/>
        <rFont val="Aptos Narrow"/>
        <family val="2"/>
      </rPr>
      <t xml:space="preserve"> </t>
    </r>
    <r>
      <rPr>
        <b/>
        <sz val="11"/>
        <rFont val="Aptos Narrow"/>
        <family val="2"/>
      </rPr>
      <t xml:space="preserve">for Gro Retire Flex Pro, </t>
    </r>
    <r>
      <rPr>
        <b/>
        <sz val="11"/>
        <color rgb="FF0000CC"/>
        <rFont val="Aptos Narrow"/>
        <family val="2"/>
      </rPr>
      <t>11 years</t>
    </r>
    <r>
      <rPr>
        <b/>
        <sz val="11"/>
        <rFont val="Aptos Narrow"/>
        <family val="2"/>
      </rPr>
      <t xml:space="preserve"> for the rest except Etiqa Enrich Retirement of </t>
    </r>
    <r>
      <rPr>
        <b/>
        <sz val="11"/>
        <color rgb="FF0000CC"/>
        <rFont val="Aptos Narrow"/>
        <family val="2"/>
      </rPr>
      <t>10 years</t>
    </r>
    <r>
      <rPr>
        <b/>
        <sz val="11"/>
        <rFont val="Aptos Narrow"/>
        <family val="2"/>
      </rPr>
      <t>. Annual premiums $12k</t>
    </r>
  </si>
  <si>
    <r>
      <t>Based on MNS, ALB 49 / ANB 50.</t>
    </r>
    <r>
      <rPr>
        <b/>
        <sz val="11"/>
        <color rgb="FF0000CC"/>
        <rFont val="Aptos Narrow"/>
        <family val="2"/>
      </rPr>
      <t xml:space="preserve"> Premium term 5 years</t>
    </r>
    <r>
      <rPr>
        <b/>
        <sz val="11"/>
        <rFont val="Aptos Narrow"/>
        <family val="2"/>
      </rPr>
      <t>.</t>
    </r>
    <r>
      <rPr>
        <b/>
        <sz val="11"/>
        <color rgb="FF008080"/>
        <rFont val="Aptos Narrow"/>
        <family val="2"/>
      </rPr>
      <t xml:space="preserve"> Payout 20 years</t>
    </r>
    <r>
      <rPr>
        <b/>
        <sz val="11"/>
        <rFont val="Aptos Narrow"/>
        <family val="2"/>
      </rPr>
      <t xml:space="preserve">.  </t>
    </r>
  </si>
  <si>
    <r>
      <t>Accumulation</t>
    </r>
    <r>
      <rPr>
        <b/>
        <sz val="11"/>
        <color rgb="FFFF0000"/>
        <rFont val="Aptos Narrow"/>
        <family val="2"/>
      </rPr>
      <t xml:space="preserve"> </t>
    </r>
    <r>
      <rPr>
        <b/>
        <sz val="11"/>
        <color rgb="FF0000CC"/>
        <rFont val="Aptos Narrow"/>
        <family val="2"/>
      </rPr>
      <t>16 years</t>
    </r>
    <r>
      <rPr>
        <b/>
        <sz val="11"/>
        <rFont val="Aptos Narrow"/>
        <family val="2"/>
      </rPr>
      <t xml:space="preserve"> for Gro Retire Flex Pro, </t>
    </r>
    <r>
      <rPr>
        <b/>
        <sz val="11"/>
        <color rgb="FF0000CC"/>
        <rFont val="Aptos Narrow"/>
        <family val="2"/>
      </rPr>
      <t>11 years</t>
    </r>
    <r>
      <rPr>
        <b/>
        <sz val="11"/>
        <rFont val="Aptos Narrow"/>
        <family val="2"/>
      </rPr>
      <t xml:space="preserve"> for the rest except Etiqa Enrich Retirement of </t>
    </r>
    <r>
      <rPr>
        <b/>
        <sz val="11"/>
        <color rgb="FF0000CC"/>
        <rFont val="Aptos Narrow"/>
        <family val="2"/>
      </rPr>
      <t>10 years</t>
    </r>
    <r>
      <rPr>
        <b/>
        <sz val="11"/>
        <rFont val="Aptos Narrow"/>
        <family val="2"/>
      </rPr>
      <t>. Annual premiums $12k</t>
    </r>
  </si>
  <si>
    <r>
      <t xml:space="preserve">Based on MNS, ALB 49 / ANB 50. </t>
    </r>
    <r>
      <rPr>
        <b/>
        <sz val="11"/>
        <color rgb="FF0000CC"/>
        <rFont val="Aptos Narrow"/>
        <family val="2"/>
      </rPr>
      <t>Premium term 10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</si>
  <si>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16 years</t>
    </r>
    <r>
      <rPr>
        <b/>
        <sz val="11"/>
        <color rgb="FFFF0000"/>
        <rFont val="Aptos Narrow"/>
        <family val="2"/>
      </rPr>
      <t xml:space="preserve"> </t>
    </r>
    <r>
      <rPr>
        <b/>
        <sz val="11"/>
        <rFont val="Aptos Narrow"/>
        <family val="2"/>
      </rPr>
      <t xml:space="preserve">for Gro Retire Flex Pro, </t>
    </r>
    <r>
      <rPr>
        <b/>
        <sz val="11"/>
        <color rgb="FF0000CC"/>
        <rFont val="Aptos Narrow"/>
        <family val="2"/>
      </rPr>
      <t>6 years</t>
    </r>
    <r>
      <rPr>
        <b/>
        <sz val="11"/>
        <rFont val="Aptos Narrow"/>
        <family val="2"/>
      </rPr>
      <t xml:space="preserve"> for the rest except Etiqa Enrich Retirement of </t>
    </r>
    <r>
      <rPr>
        <b/>
        <sz val="11"/>
        <color rgb="FF0000CC"/>
        <rFont val="Aptos Narrow"/>
        <family val="2"/>
      </rPr>
      <t>5 years</t>
    </r>
    <r>
      <rPr>
        <b/>
        <sz val="11"/>
        <rFont val="Aptos Narrow"/>
        <family val="2"/>
      </rPr>
      <t>. Annual premiums $12k</t>
    </r>
  </si>
  <si>
    <t xml:space="preserve">- Comparison is based on payout basis, including all non-guaranteed bonuses and is largely aligned to age at end of accumulation period with respect to Manulife RetireReady Plus (III) which is at 65ALB.
- The guaranteed and total yield for corresponding female profiles, it is about the same as the male profiles. 
- Total yield can be affected by the payout structure of the plan. For example, plans that pay the non-guaranteed bonuses earlier will have higher yield, compared to plans that payout lump sum at maturity.
- At maturity, Manulife RetireReady Plus (III) payouts the last guaranteed monthly income, non-guaranteed cash bonus and any accumulated retirement income benefit which has built up with interest. While for China Life Prosperous Retirement, it pays out both guaranteed maturity value and non-guaranteed terminal bonus as maturity benefits. 
- Comparison for Etiqa Enrich Retirement is based on level income payout type.
- The accumulation period for Income Gro Retire Flex Pro starts from policy entry date; the accumulation period for all the other plans start after premium payment term.
- Total payout, total guaranteed yields at maturity and total yield at maturity  for China Life Prosperous Retirement consist of retirement age lump sum, monthly payouts, guaranteed maturity value and non-guaranteed terminal bonus at maturity.
</t>
  </si>
  <si>
    <r>
      <t>Accumulation</t>
    </r>
    <r>
      <rPr>
        <b/>
        <sz val="11"/>
        <color rgb="FFFF0000"/>
        <rFont val="Aptos Narrow"/>
        <family val="2"/>
      </rPr>
      <t xml:space="preserve"> </t>
    </r>
    <r>
      <rPr>
        <b/>
        <sz val="11"/>
        <color rgb="FF0000CC"/>
        <rFont val="Aptos Narrow"/>
        <family val="2"/>
      </rPr>
      <t>21 years</t>
    </r>
    <r>
      <rPr>
        <b/>
        <sz val="11"/>
        <rFont val="Aptos Narrow"/>
        <family val="2"/>
      </rPr>
      <t xml:space="preserve"> for Gro Retire Flex Pro, </t>
    </r>
    <r>
      <rPr>
        <b/>
        <sz val="11"/>
        <color rgb="FF0000CC"/>
        <rFont val="Aptos Narrow"/>
        <family val="2"/>
      </rPr>
      <t>16 years</t>
    </r>
    <r>
      <rPr>
        <b/>
        <sz val="11"/>
        <rFont val="Aptos Narrow"/>
        <family val="2"/>
      </rPr>
      <t xml:space="preserve"> for the rest except Etiqa Enrich Retirement of </t>
    </r>
    <r>
      <rPr>
        <b/>
        <sz val="11"/>
        <color rgb="FF0000CC"/>
        <rFont val="Aptos Narrow"/>
        <family val="2"/>
      </rPr>
      <t>15 years</t>
    </r>
    <r>
      <rPr>
        <b/>
        <sz val="11"/>
        <rFont val="Aptos Narrow"/>
        <family val="2"/>
      </rPr>
      <t>. Annual premiums $24k</t>
    </r>
  </si>
  <si>
    <r>
      <t xml:space="preserve">Accumulation </t>
    </r>
    <r>
      <rPr>
        <b/>
        <sz val="11"/>
        <color rgb="FF0000CC"/>
        <rFont val="Aptos Narrow"/>
        <family val="2"/>
      </rPr>
      <t>21 years</t>
    </r>
    <r>
      <rPr>
        <b/>
        <sz val="11"/>
        <color rgb="FFFF0000"/>
        <rFont val="Aptos Narrow"/>
        <family val="2"/>
      </rPr>
      <t xml:space="preserve"> </t>
    </r>
    <r>
      <rPr>
        <b/>
        <sz val="11"/>
        <rFont val="Aptos Narrow"/>
        <family val="2"/>
      </rPr>
      <t xml:space="preserve">for Gro Retire Flex Pro, </t>
    </r>
    <r>
      <rPr>
        <b/>
        <sz val="11"/>
        <color rgb="FF0000CC"/>
        <rFont val="Aptos Narrow"/>
        <family val="2"/>
      </rPr>
      <t>11 years</t>
    </r>
    <r>
      <rPr>
        <b/>
        <sz val="11"/>
        <rFont val="Aptos Narrow"/>
        <family val="2"/>
      </rPr>
      <t xml:space="preserve"> for the rest except Etiqa Enrich Retirement of </t>
    </r>
    <r>
      <rPr>
        <b/>
        <sz val="11"/>
        <color rgb="FF0000CC"/>
        <rFont val="Aptos Narrow"/>
        <family val="2"/>
      </rPr>
      <t>10 years</t>
    </r>
    <r>
      <rPr>
        <b/>
        <sz val="11"/>
        <rFont val="Aptos Narrow"/>
        <family val="2"/>
      </rPr>
      <t>. Annual premiums $24k</t>
    </r>
  </si>
  <si>
    <r>
      <t>Accumulation</t>
    </r>
    <r>
      <rPr>
        <b/>
        <sz val="11"/>
        <color rgb="FFFF0000"/>
        <rFont val="Aptos Narrow"/>
        <family val="2"/>
      </rPr>
      <t xml:space="preserve"> </t>
    </r>
    <r>
      <rPr>
        <b/>
        <sz val="11"/>
        <color rgb="FF0000CC"/>
        <rFont val="Aptos Narrow"/>
        <family val="2"/>
      </rPr>
      <t>16 years</t>
    </r>
    <r>
      <rPr>
        <b/>
        <sz val="11"/>
        <rFont val="Aptos Narrow"/>
        <family val="2"/>
      </rPr>
      <t xml:space="preserve"> for Gro Retire Flex Pro, </t>
    </r>
    <r>
      <rPr>
        <b/>
        <sz val="11"/>
        <color rgb="FF0000CC"/>
        <rFont val="Aptos Narrow"/>
        <family val="2"/>
      </rPr>
      <t>11 years</t>
    </r>
    <r>
      <rPr>
        <b/>
        <sz val="11"/>
        <rFont val="Aptos Narrow"/>
        <family val="2"/>
      </rPr>
      <t xml:space="preserve"> for the rest except Etiqa Enrich Retirement of </t>
    </r>
    <r>
      <rPr>
        <b/>
        <sz val="11"/>
        <color rgb="FF0000CC"/>
        <rFont val="Aptos Narrow"/>
        <family val="2"/>
      </rPr>
      <t>10 years</t>
    </r>
    <r>
      <rPr>
        <b/>
        <sz val="11"/>
        <rFont val="Aptos Narrow"/>
        <family val="2"/>
      </rPr>
      <t>. Annual premiums $24k</t>
    </r>
  </si>
  <si>
    <r>
      <t xml:space="preserve">Accumulation </t>
    </r>
    <r>
      <rPr>
        <b/>
        <sz val="11"/>
        <color rgb="FF0000CC"/>
        <rFont val="Aptos Narrow"/>
        <family val="2"/>
      </rPr>
      <t>16 years</t>
    </r>
    <r>
      <rPr>
        <b/>
        <sz val="11"/>
        <color rgb="FFFF0000"/>
        <rFont val="Aptos Narrow"/>
        <family val="2"/>
      </rPr>
      <t xml:space="preserve"> </t>
    </r>
    <r>
      <rPr>
        <b/>
        <sz val="11"/>
        <rFont val="Aptos Narrow"/>
        <family val="2"/>
      </rPr>
      <t xml:space="preserve">for Gro Retire Flex Pro, </t>
    </r>
    <r>
      <rPr>
        <b/>
        <sz val="11"/>
        <color rgb="FF0000CC"/>
        <rFont val="Aptos Narrow"/>
        <family val="2"/>
      </rPr>
      <t>6 years</t>
    </r>
    <r>
      <rPr>
        <b/>
        <sz val="11"/>
        <rFont val="Aptos Narrow"/>
        <family val="2"/>
      </rPr>
      <t xml:space="preserve"> for the rest except Etiqa Enrich Retirement of </t>
    </r>
    <r>
      <rPr>
        <b/>
        <sz val="11"/>
        <color rgb="FF0000CC"/>
        <rFont val="Aptos Narrow"/>
        <family val="2"/>
      </rPr>
      <t>5 years</t>
    </r>
    <r>
      <rPr>
        <b/>
        <sz val="11"/>
        <rFont val="Aptos Narrow"/>
        <family val="2"/>
      </rPr>
      <t>. Annual premiums $24k</t>
    </r>
  </si>
  <si>
    <r>
      <t xml:space="preserve">Based on MNS, ALB 54 / ANB 55. </t>
    </r>
    <r>
      <rPr>
        <b/>
        <sz val="11"/>
        <color rgb="FF0000CC"/>
        <rFont val="Aptos Narrow"/>
        <family val="2"/>
      </rPr>
      <t>Premium term 5 years</t>
    </r>
    <r>
      <rPr>
        <b/>
        <sz val="11"/>
        <rFont val="Aptos Narrow"/>
        <family val="2"/>
      </rPr>
      <t xml:space="preserve">. </t>
    </r>
    <r>
      <rPr>
        <b/>
        <sz val="11"/>
        <color rgb="FF008080"/>
        <rFont val="Aptos Narrow"/>
        <family val="2"/>
      </rPr>
      <t>Payout 20 years</t>
    </r>
    <r>
      <rPr>
        <b/>
        <sz val="11"/>
        <rFont val="Aptos Narrow"/>
        <family val="2"/>
      </rPr>
      <t xml:space="preserve">.  </t>
    </r>
  </si>
  <si>
    <r>
      <t>Accumulation</t>
    </r>
    <r>
      <rPr>
        <b/>
        <sz val="11"/>
        <color rgb="FFFF0000"/>
        <rFont val="Aptos Narrow"/>
        <family val="2"/>
      </rPr>
      <t xml:space="preserve"> </t>
    </r>
    <r>
      <rPr>
        <b/>
        <sz val="11"/>
        <color rgb="FF0000CC"/>
        <rFont val="Aptos Narrow"/>
        <family val="2"/>
      </rPr>
      <t>11 years</t>
    </r>
    <r>
      <rPr>
        <b/>
        <sz val="11"/>
        <rFont val="Aptos Narrow"/>
        <family val="2"/>
      </rPr>
      <t xml:space="preserve"> for Gro Retire Flex Pro, </t>
    </r>
    <r>
      <rPr>
        <b/>
        <sz val="11"/>
        <color rgb="FF0000CC"/>
        <rFont val="Aptos Narrow"/>
        <family val="2"/>
      </rPr>
      <t>6 years</t>
    </r>
    <r>
      <rPr>
        <b/>
        <sz val="11"/>
        <rFont val="Aptos Narrow"/>
        <family val="2"/>
      </rPr>
      <t xml:space="preserve"> for the rest except Etiqa Enrich Retirement of</t>
    </r>
    <r>
      <rPr>
        <b/>
        <sz val="11"/>
        <color rgb="FFFF0000"/>
        <rFont val="Aptos Narrow"/>
        <family val="2"/>
      </rPr>
      <t xml:space="preserve"> </t>
    </r>
    <r>
      <rPr>
        <b/>
        <sz val="11"/>
        <color rgb="FF0000CC"/>
        <rFont val="Aptos Narrow"/>
        <family val="2"/>
      </rPr>
      <t>5 years</t>
    </r>
    <r>
      <rPr>
        <b/>
        <sz val="11"/>
        <rFont val="Aptos Narrow"/>
        <family val="2"/>
      </rPr>
      <t>. Annual premiums $12k</t>
    </r>
  </si>
  <si>
    <r>
      <t xml:space="preserve">Based on MNS, ALB 54 / ANB 55. </t>
    </r>
    <r>
      <rPr>
        <b/>
        <sz val="11"/>
        <color rgb="FF0000CC"/>
        <rFont val="Aptos Narrow"/>
        <family val="2"/>
      </rPr>
      <t>Premium term 10 years</t>
    </r>
    <r>
      <rPr>
        <b/>
        <sz val="11"/>
        <rFont val="Aptos Narrow"/>
        <family val="2"/>
      </rPr>
      <t xml:space="preserve">. </t>
    </r>
    <r>
      <rPr>
        <b/>
        <sz val="11"/>
        <color rgb="FF008080"/>
        <rFont val="Aptos Narrow"/>
        <family val="2"/>
      </rPr>
      <t>Payout 20 years</t>
    </r>
    <r>
      <rPr>
        <b/>
        <sz val="11"/>
        <rFont val="Aptos Narrow"/>
        <family val="2"/>
      </rPr>
      <t xml:space="preserve">.  </t>
    </r>
  </si>
  <si>
    <r>
      <t xml:space="preserve">Accumulation </t>
    </r>
    <r>
      <rPr>
        <b/>
        <sz val="11"/>
        <color rgb="FF0000CC"/>
        <rFont val="Aptos Narrow"/>
        <family val="2"/>
      </rPr>
      <t>1 year</t>
    </r>
    <r>
      <rPr>
        <b/>
        <sz val="11"/>
        <color theme="7"/>
        <rFont val="Aptos Narrow"/>
        <family val="2"/>
      </rPr>
      <t xml:space="preserve"> </t>
    </r>
    <r>
      <rPr>
        <b/>
        <sz val="11"/>
        <rFont val="Aptos Narrow"/>
        <family val="2"/>
      </rPr>
      <t>for Singlife Flexi Retirement II</t>
    </r>
    <r>
      <rPr>
        <b/>
        <sz val="11"/>
        <color rgb="FF0000CC"/>
        <rFont val="Aptos Narrow"/>
        <family val="2"/>
      </rPr>
      <t>.</t>
    </r>
    <r>
      <rPr>
        <b/>
        <sz val="11"/>
        <rFont val="Aptos Narrow"/>
        <family val="2"/>
      </rPr>
      <t xml:space="preserve"> Annual premiums $12k</t>
    </r>
  </si>
  <si>
    <r>
      <t xml:space="preserve">Based on MNS, ALB 59 / ANB 60. </t>
    </r>
    <r>
      <rPr>
        <b/>
        <sz val="11"/>
        <color rgb="FF0000CC"/>
        <rFont val="Aptos Narrow"/>
        <family val="2"/>
      </rPr>
      <t>Premium term 5 years</t>
    </r>
    <r>
      <rPr>
        <b/>
        <sz val="11"/>
        <rFont val="Aptos Narrow"/>
        <family val="2"/>
      </rPr>
      <t xml:space="preserve">. </t>
    </r>
    <r>
      <rPr>
        <b/>
        <sz val="11"/>
        <color rgb="FF008080"/>
        <rFont val="Aptos Narrow"/>
        <family val="2"/>
      </rPr>
      <t>Payout 20 years</t>
    </r>
    <r>
      <rPr>
        <b/>
        <sz val="11"/>
        <rFont val="Aptos Narrow"/>
        <family val="2"/>
      </rPr>
      <t xml:space="preserve">.  </t>
    </r>
  </si>
  <si>
    <r>
      <t>Accumulation</t>
    </r>
    <r>
      <rPr>
        <b/>
        <sz val="11"/>
        <color rgb="FFFF0000"/>
        <rFont val="Aptos Narrow"/>
        <family val="2"/>
      </rPr>
      <t xml:space="preserve"> </t>
    </r>
    <r>
      <rPr>
        <b/>
        <sz val="11"/>
        <color rgb="FF0000CC"/>
        <rFont val="Aptos Narrow"/>
        <family val="2"/>
      </rPr>
      <t>11 years</t>
    </r>
    <r>
      <rPr>
        <b/>
        <sz val="11"/>
        <rFont val="Aptos Narrow"/>
        <family val="2"/>
      </rPr>
      <t xml:space="preserve"> for Gro Retire Flex Pro, </t>
    </r>
    <r>
      <rPr>
        <b/>
        <sz val="11"/>
        <color rgb="FF0000CC"/>
        <rFont val="Aptos Narrow"/>
        <family val="2"/>
      </rPr>
      <t>6 years</t>
    </r>
    <r>
      <rPr>
        <b/>
        <sz val="11"/>
        <rFont val="Aptos Narrow"/>
        <family val="2"/>
      </rPr>
      <t xml:space="preserve"> for the rest. Annual premiums $12k</t>
    </r>
  </si>
  <si>
    <r>
      <t>Accumulation</t>
    </r>
    <r>
      <rPr>
        <b/>
        <sz val="11"/>
        <color rgb="FFFF0000"/>
        <rFont val="Aptos Narrow"/>
        <family val="2"/>
      </rPr>
      <t xml:space="preserve"> </t>
    </r>
    <r>
      <rPr>
        <b/>
        <sz val="11"/>
        <color rgb="FF0000CC"/>
        <rFont val="Aptos Narrow"/>
        <family val="2"/>
      </rPr>
      <t>11 years</t>
    </r>
    <r>
      <rPr>
        <b/>
        <sz val="11"/>
        <rFont val="Aptos Narrow"/>
        <family val="2"/>
      </rPr>
      <t xml:space="preserve"> for Gro Retire Flex Pro, 6</t>
    </r>
    <r>
      <rPr>
        <b/>
        <sz val="11"/>
        <color rgb="FF0000CC"/>
        <rFont val="Aptos Narrow"/>
        <family val="2"/>
      </rPr>
      <t xml:space="preserve"> years</t>
    </r>
    <r>
      <rPr>
        <b/>
        <sz val="11"/>
        <rFont val="Aptos Narrow"/>
        <family val="2"/>
      </rPr>
      <t xml:space="preserve"> for the rest except Etiqa Enrich Retirement of </t>
    </r>
    <r>
      <rPr>
        <b/>
        <sz val="11"/>
        <color rgb="FF0000CC"/>
        <rFont val="Aptos Narrow"/>
        <family val="2"/>
      </rPr>
      <t>5 years</t>
    </r>
    <r>
      <rPr>
        <b/>
        <sz val="11"/>
        <rFont val="Aptos Narrow"/>
        <family val="2"/>
      </rPr>
      <t>. Annual premiums $24k</t>
    </r>
  </si>
  <si>
    <r>
      <t xml:space="preserve">Accumulation </t>
    </r>
    <r>
      <rPr>
        <b/>
        <sz val="11"/>
        <color rgb="FF0000CC"/>
        <rFont val="Aptos Narrow"/>
        <family val="2"/>
      </rPr>
      <t>1 year</t>
    </r>
    <r>
      <rPr>
        <b/>
        <sz val="11"/>
        <rFont val="Aptos Narrow"/>
        <family val="2"/>
      </rPr>
      <t xml:space="preserve"> for Singlife Flexi Retirement II. Annual premiums $24k</t>
    </r>
  </si>
  <si>
    <r>
      <t>Accumulation</t>
    </r>
    <r>
      <rPr>
        <b/>
        <sz val="11"/>
        <color rgb="FFFF0000"/>
        <rFont val="Aptos Narrow"/>
        <family val="2"/>
      </rPr>
      <t xml:space="preserve"> </t>
    </r>
    <r>
      <rPr>
        <b/>
        <sz val="11"/>
        <color rgb="FF0000CC"/>
        <rFont val="Aptos Narrow"/>
        <family val="2"/>
      </rPr>
      <t>11 years</t>
    </r>
    <r>
      <rPr>
        <b/>
        <sz val="11"/>
        <rFont val="Aptos Narrow"/>
        <family val="2"/>
      </rPr>
      <t xml:space="preserve"> for Gro Retire Flex Pro, </t>
    </r>
    <r>
      <rPr>
        <b/>
        <sz val="11"/>
        <color rgb="FF0000CC"/>
        <rFont val="Aptos Narrow"/>
        <family val="2"/>
      </rPr>
      <t>6 years</t>
    </r>
    <r>
      <rPr>
        <b/>
        <sz val="11"/>
        <rFont val="Aptos Narrow"/>
        <family val="2"/>
      </rPr>
      <t xml:space="preserve"> for the rest. Annual premiums $24k</t>
    </r>
  </si>
  <si>
    <t>Feature Comparison</t>
  </si>
  <si>
    <t>https://www.aia.com.sg/en/our-products/save-and-invest/participating-savings/aia-smart-wealth-builder-series</t>
  </si>
  <si>
    <t>AIA Smart Wealth Builder Series</t>
  </si>
  <si>
    <t>https://www.aia.com.sg/en/our-products/save-and-invest/participating-savings/aia-smart-flexi-growth</t>
  </si>
  <si>
    <t>https://www.aia.com.sg/en/our-products/save-and-invest/participating-savings/aia-smart-flexi-rewards-ii</t>
  </si>
  <si>
    <t>https://www.aia.com.sg/en/our-products/save-and-invest/participating-savings/aia-retirement-saver-iv</t>
  </si>
  <si>
    <t>https://www.greateasternlife.com/sg/en/personal-insurance/our-products/retirement-income/great-prime-rewards.html</t>
  </si>
  <si>
    <t>https://www.greateasternlife.com/sg/en/personal-insurance/our-products/retirement-income/great-retire-income.html</t>
  </si>
  <si>
    <t>3-year average (2021 to 2023): 2.21%
5-year average (2019 to 2023): 2.38%
10-year average (2014 to 2023): 2.58%</t>
  </si>
  <si>
    <t>Historical Expense Ratios</t>
  </si>
  <si>
    <t>3-year average (2021 to 2023): 4.29%
5-year average (2019 to 2023): NA
10-year average (2014 to 2023): NA</t>
  </si>
  <si>
    <t>3-year average (2021 to 2023): 7.2%
5-year average (2019 to 2023): NA
10-year average (2014 to 2023):NA</t>
  </si>
  <si>
    <t>3-year average (2021 to 2023): 1.86%
5-year average (2019 to 2023): 3.02%
10-year average (2014 to 2023): NA</t>
  </si>
  <si>
    <t>3-year average (2021 to 2023): 2.19%
5-year average (2019 to 2023): 2.64%
10-year average (2014 to 2023): 2.93%</t>
  </si>
  <si>
    <r>
      <t xml:space="preserve">3-year average (2021 to 2023): </t>
    </r>
    <r>
      <rPr>
        <sz val="11"/>
        <color rgb="FFFF0000"/>
        <rFont val="Aptos Narrow"/>
        <family val="2"/>
      </rPr>
      <t>-2.51%</t>
    </r>
    <r>
      <rPr>
        <sz val="11"/>
        <rFont val="Aptos Narrow"/>
        <family val="2"/>
      </rPr>
      <t xml:space="preserve">
5-year average (2019 to 2023): 2.52%
10-year average (2014 to 2023): 3.13%</t>
    </r>
  </si>
  <si>
    <r>
      <t xml:space="preserve">3-year average (2021 to 2023): </t>
    </r>
    <r>
      <rPr>
        <sz val="11"/>
        <color rgb="FFFF0000"/>
        <rFont val="Aptos Narrow"/>
        <family val="2"/>
      </rPr>
      <t>-0.08%</t>
    </r>
    <r>
      <rPr>
        <sz val="11"/>
        <rFont val="Aptos Narrow"/>
        <family val="2"/>
      </rPr>
      <t xml:space="preserve">
5-year average (2019 to 2023): 4.99%
10-year average (2014 to 2023): NA</t>
    </r>
  </si>
  <si>
    <r>
      <t xml:space="preserve">3-year average (2021 to 2023): </t>
    </r>
    <r>
      <rPr>
        <sz val="11"/>
        <color rgb="FFFF0000"/>
        <rFont val="Aptos Narrow"/>
        <family val="2"/>
      </rPr>
      <t>-3.40%</t>
    </r>
    <r>
      <rPr>
        <sz val="11"/>
        <rFont val="Aptos Narrow"/>
        <family val="2"/>
      </rPr>
      <t xml:space="preserve">
5-year average (2019 to 2023): NA
10-year average (2014 to 2023): NA</t>
    </r>
  </si>
  <si>
    <r>
      <t xml:space="preserve">3-year average (2021 to 2023): </t>
    </r>
    <r>
      <rPr>
        <sz val="11"/>
        <color rgb="FFFF0000"/>
        <rFont val="Aptos Narrow"/>
        <family val="2"/>
      </rPr>
      <t>-2.48%</t>
    </r>
    <r>
      <rPr>
        <sz val="11"/>
        <rFont val="Aptos Narrow"/>
        <family val="2"/>
      </rPr>
      <t xml:space="preserve">
5-year average (2019 to 2023): 1.26%
10-year average (2014 to 2023):NA</t>
    </r>
  </si>
  <si>
    <r>
      <t xml:space="preserve">2022: </t>
    </r>
    <r>
      <rPr>
        <sz val="11"/>
        <color rgb="FFFF0000"/>
        <rFont val="Aptos Narrow"/>
        <family val="2"/>
      </rPr>
      <t>-4.92%</t>
    </r>
    <r>
      <rPr>
        <sz val="11"/>
        <rFont val="Aptos Narrow"/>
        <family val="2"/>
      </rPr>
      <t xml:space="preserve">
2023: 10.06%
3-year average (2021 to 2023): NA
5-year average (2019 to 2023): NA
10-year average (2014 to 2023): NA</t>
    </r>
  </si>
  <si>
    <r>
      <t xml:space="preserve">3-year average (2021 to 2023): </t>
    </r>
    <r>
      <rPr>
        <sz val="11"/>
        <color rgb="FFFF0000"/>
        <rFont val="Aptos Narrow"/>
        <family val="2"/>
      </rPr>
      <t>-1.48%</t>
    </r>
    <r>
      <rPr>
        <sz val="11"/>
        <rFont val="Aptos Narrow"/>
        <family val="2"/>
      </rPr>
      <t xml:space="preserve">
5-year average (2019 to 2023): 2.72%
10-year average (2014 to 2023): 3.50%</t>
    </r>
  </si>
  <si>
    <t>N.A.</t>
  </si>
  <si>
    <r>
      <rPr>
        <b/>
        <sz val="11"/>
        <color rgb="FF0000CC"/>
        <rFont val="Aptos Narrow"/>
        <family val="2"/>
      </rPr>
      <t xml:space="preserve">2 </t>
    </r>
    <r>
      <rPr>
        <sz val="11"/>
        <color theme="1"/>
        <rFont val="Aptos Narrow"/>
        <family val="2"/>
      </rPr>
      <t>/5/10 years</t>
    </r>
  </si>
  <si>
    <t>SP/
5/10/15 years</t>
  </si>
  <si>
    <r>
      <rPr>
        <b/>
        <sz val="11"/>
        <color rgb="FF0000CC"/>
        <rFont val="Aptos Narrow"/>
        <family val="2"/>
      </rPr>
      <t>SP (SRS available</t>
    </r>
    <r>
      <rPr>
        <sz val="11"/>
        <color rgb="FF0000CC"/>
        <rFont val="Aptos Narrow"/>
        <family val="2"/>
      </rPr>
      <t>)</t>
    </r>
    <r>
      <rPr>
        <sz val="11"/>
        <color theme="1"/>
        <rFont val="Aptos Narrow"/>
        <family val="2"/>
      </rPr>
      <t xml:space="preserve">/ 
5/ 10/15/ 20 years
</t>
    </r>
  </si>
  <si>
    <r>
      <rPr>
        <b/>
        <sz val="11"/>
        <color rgb="FF0000CC"/>
        <rFont val="Aptos Narrow"/>
        <family val="2"/>
      </rPr>
      <t>SP (SRS Available)</t>
    </r>
    <r>
      <rPr>
        <sz val="11"/>
        <color theme="1"/>
        <rFont val="Aptos Narrow"/>
        <family val="2"/>
      </rPr>
      <t>/
5/10/15/20/25/30/35/40 years
*Premiums are payable up to 5 years before the end of accumulation period</t>
    </r>
  </si>
  <si>
    <t>GTD</t>
  </si>
  <si>
    <t>Total</t>
  </si>
  <si>
    <t>HBSC</t>
  </si>
  <si>
    <t>Retirement Income II</t>
  </si>
  <si>
    <r>
      <t xml:space="preserve">Entry Age
(Life Insured)
</t>
    </r>
    <r>
      <rPr>
        <b/>
        <sz val="11"/>
        <color rgb="FF0000CC"/>
        <rFont val="Aptos Narrow"/>
        <family val="2"/>
      </rPr>
      <t xml:space="preserve">
Note: For SRS payment method, policy owner has to be the life insured covered under the policy subject to prevailing SRS guidelines.</t>
    </r>
  </si>
  <si>
    <r>
      <t xml:space="preserve">Entry Age
(Policyholder)
</t>
    </r>
    <r>
      <rPr>
        <b/>
        <sz val="11"/>
        <color rgb="FF0000CC"/>
        <rFont val="Aptos Narrow"/>
        <family val="2"/>
      </rPr>
      <t>Note: For SRS payment method, policy owner has to be the life insured covered under the policy subject to prevailing SRS guidelines.</t>
    </r>
  </si>
  <si>
    <r>
      <rPr>
        <b/>
        <sz val="11"/>
        <color rgb="FF0000CC"/>
        <rFont val="Aptos Narrow"/>
        <family val="2"/>
      </rPr>
      <t>Starts after policy commencement for single premium policies</t>
    </r>
    <r>
      <rPr>
        <sz val="11"/>
        <color rgb="FFFF0000"/>
        <rFont val="Aptos Narrow"/>
        <family val="2"/>
      </rPr>
      <t xml:space="preserve"> </t>
    </r>
    <r>
      <rPr>
        <sz val="11"/>
        <rFont val="Aptos Narrow"/>
        <family val="2"/>
      </rPr>
      <t xml:space="preserve">&amp; end of premium payment term for limited pay policies
- 5 to 25 years, in yearly intervals (subject to entry age of life insured + premium term + accumulation period up to a maximum of ANB80)
</t>
    </r>
  </si>
  <si>
    <t>Starts after premium payment term
- Min. 5 years</t>
  </si>
  <si>
    <t xml:space="preserve"> Starts after premium payment term
- Depends on entry age, premium payment term and chosen Retirement Age
</t>
  </si>
  <si>
    <r>
      <rPr>
        <b/>
        <sz val="11"/>
        <color rgb="FF0000CC"/>
        <rFont val="Aptos Narrow"/>
        <family val="2"/>
      </rPr>
      <t xml:space="preserve">Starts from policy entry date
</t>
    </r>
    <r>
      <rPr>
        <sz val="11"/>
        <rFont val="Aptos Narrow"/>
        <family val="2"/>
      </rPr>
      <t xml:space="preserve">
Single Premium Term:
5 to 50 years
Regular Premium Terms:
10 to 50 years</t>
    </r>
  </si>
  <si>
    <t>Flexible Payout Period</t>
  </si>
  <si>
    <r>
      <rPr>
        <b/>
        <sz val="11"/>
        <color rgb="FF0000CC"/>
        <rFont val="Aptos Narrow"/>
        <family val="2"/>
      </rPr>
      <t>Loss of Independence Income (LOI) Benefit</t>
    </r>
    <r>
      <rPr>
        <sz val="11"/>
        <rFont val="Aptos Narrow"/>
        <family val="2"/>
      </rPr>
      <t xml:space="preserve">
-Before the policy anniversary on which the life insured is age 70 NB, If life insured is unable to perform any 2 of 6 ADLs
-At any age upon diagnosis of the insured with any one of the conditions stated below arising from accident or sickness, suffer loss by complete severance or total and irreversible loss of use of:
i)sight in both eyes;
ii)any 2 limbs at or above the wrist or ankle; or
iii)sight in 1 eye and any 1 limb at or above the wrist or ankle.
Additional 24 times of prevailing GMI, in a lump sum (payable once under the policy, the maximum LOI benefit payable, inclusive of all other policies an riders issued by China Taiping on the same life insured is $50,000)</t>
    </r>
  </si>
  <si>
    <r>
      <rPr>
        <b/>
        <sz val="11"/>
        <color rgb="FF0000CC"/>
        <rFont val="Aptos Narrow"/>
        <family val="2"/>
      </rPr>
      <t xml:space="preserve">Disability Care Benefit
</t>
    </r>
    <r>
      <rPr>
        <sz val="11"/>
        <rFont val="Aptos Narrow"/>
        <family val="2"/>
      </rPr>
      <t xml:space="preserve">
Upon diagnosis of the insured with any one of the conditions stated below arising from accidental injury or sickness
i)  Loss of use of one limb
ii) Loss of speech
iii) Loss of sight of one eye
iv) Loss of hearing
</t>
    </r>
    <r>
      <rPr>
        <u/>
        <sz val="11"/>
        <rFont val="Aptos Narrow"/>
        <family val="2"/>
      </rPr>
      <t xml:space="preserve">During Accumulation Period
</t>
    </r>
    <r>
      <rPr>
        <sz val="11"/>
        <rFont val="Aptos Narrow"/>
        <family val="2"/>
      </rPr>
      <t xml:space="preserve">Lump sum payout of 6 times the monthly cash benefit 
</t>
    </r>
    <r>
      <rPr>
        <u/>
        <sz val="11"/>
        <rFont val="Aptos Narrow"/>
        <family val="2"/>
      </rPr>
      <t>During Payout Period</t>
    </r>
    <r>
      <rPr>
        <sz val="11"/>
        <rFont val="Aptos Narrow"/>
        <family val="2"/>
      </rPr>
      <t xml:space="preserve">
An additional amount equals to 50% of the monthly cash benefit on top of each monthly cash benefit during payout period/until policy ends.
Max additional amount for each payment is $3,000
</t>
    </r>
  </si>
  <si>
    <r>
      <t xml:space="preserve">Loss of Independence Income Benefit
</t>
    </r>
    <r>
      <rPr>
        <sz val="11"/>
        <rFont val="Aptos Narrow"/>
        <family val="2"/>
      </rPr>
      <t>-Additional 50% of GMI if life insured is unable to perform any 2 of 6 ADLs
-Additional 100% of the GMI if life insured is unable to perform at least 3 of 6 ADLs / Loss of Speech / Loss of Hearing / Major Head Trauma</t>
    </r>
  </si>
  <si>
    <t>Yes
- Subject to the minimum GMI, income payout period and maximum income payout period. 
- Request must be made before the Life Assured or Assured dies or a claim on TI has been admitted or the policy being converted to a reduced paid out policy</t>
  </si>
  <si>
    <t>Yes
-Subject to the income period as of what is available under the plan
-Request to change income period must be made before the diagnosis date of Loss of Independence</t>
  </si>
  <si>
    <t>Yes
- Anytime but has to be at least 2 years before the selected retirement age
Note: 5 years income payout option is not applicable for single premium payment.</t>
  </si>
  <si>
    <t>Yes
- At least 30 days before the first monthly cash benefit is due</t>
  </si>
  <si>
    <t>Based on the life insured’s age when policy is incepted, premium term, accumulation period and income period</t>
  </si>
  <si>
    <t xml:space="preserve">-Terminal bonus on Death/ Surrender (% of Guaranteed Death Benefit (GDB) upon death / surrender)
- Terminal bonus on Maturity (% of total yearly premiums paid upon maturity)
</t>
  </si>
  <si>
    <t>Terminal Bonus on Death/Surrender</t>
  </si>
  <si>
    <t xml:space="preserve">- Terminal Bonus on TI / Death claim
- Surrender Bonus
</t>
  </si>
  <si>
    <t>Terminal Bonus on Claim or Surrender</t>
  </si>
  <si>
    <t xml:space="preserve">Yes, after the first policy year. (Not applicable for SRS)
</t>
  </si>
  <si>
    <r>
      <rPr>
        <b/>
        <u/>
        <sz val="11"/>
        <rFont val="Aptos Narrow"/>
        <family val="2"/>
      </rPr>
      <t xml:space="preserve">While the plan is in force, </t>
    </r>
    <r>
      <rPr>
        <sz val="11"/>
        <rFont val="Aptos Narrow"/>
        <family val="2"/>
      </rPr>
      <t xml:space="preserve">
• </t>
    </r>
    <r>
      <rPr>
        <b/>
        <sz val="11"/>
        <color rgb="FF0000CC"/>
        <rFont val="Aptos Narrow"/>
        <family val="2"/>
      </rPr>
      <t>108% of the total yearly premiums due to-date less the total monthly income paid out or the guaranteed cash value, whichever is higher; and</t>
    </r>
    <r>
      <rPr>
        <sz val="11"/>
        <rFont val="Aptos Narrow"/>
        <family val="2"/>
      </rPr>
      <t xml:space="preserve">
• a non-guaranteed terminal bonus (if any), less amounts owing to China Life (if any), outstanding premium (if any) and future instalment premiums which are required to make up the full year’s premiums (if any).</t>
    </r>
  </si>
  <si>
    <r>
      <rPr>
        <b/>
        <u/>
        <sz val="11"/>
        <rFont val="Aptos Narrow"/>
        <family val="2"/>
      </rPr>
      <t>Before the income payout period</t>
    </r>
    <r>
      <rPr>
        <sz val="11"/>
        <rFont val="Aptos Narrow"/>
        <family val="2"/>
      </rPr>
      <t xml:space="preserve">
The sum of, 
(a)The higher of:
-101% of total premiums paid; or
-Guaranteed surrender value
(b) Any Reversionary Bonus
(c ) Any performance bonus
</t>
    </r>
    <r>
      <rPr>
        <b/>
        <u/>
        <sz val="11"/>
        <rFont val="Aptos Narrow"/>
        <family val="2"/>
      </rPr>
      <t xml:space="preserve">
During the income payout period
</t>
    </r>
    <r>
      <rPr>
        <sz val="11"/>
        <rFont val="Aptos Narrow"/>
        <family val="2"/>
      </rPr>
      <t xml:space="preserve">The sum of,
(a)The higher of:
-101% of total premiums paid less total guaranteed monthly retirement income that has been paid out or accumulated; or
-Guaranteed surrender value
(b) Any Reversionary Bonus
(c ) Any performance bonus
(d)Any accumulated total retirement income (guaranteed &amp; non-guaranteed)
PLUS
Any non-guaranteed interest
</t>
    </r>
  </si>
  <si>
    <r>
      <rPr>
        <b/>
        <u/>
        <sz val="11"/>
        <rFont val="Aptos Narrow"/>
        <family val="2"/>
      </rPr>
      <t>While the policy is in force</t>
    </r>
    <r>
      <rPr>
        <sz val="11"/>
        <rFont val="Aptos Narrow"/>
        <family val="2"/>
      </rPr>
      <t xml:space="preserve">
The sum of,
(a) A guaranteed amount which is equal to the higher of:
-105% of the total yearly premiums paid for the basic plan less all GMI paid-to-date; or 
- guaranteed surrender value; and
(b)A non-guaranteed terminal bonus
Plus
Any monthly income deposited with China Taiping plus interest accrued will be paid.
Less any indebtedness.
100% of the total premiums paid to China Taiping without interest will be payable if the life insured dies due to any causes other than Accident within 1 year from the issue date.</t>
    </r>
  </si>
  <si>
    <r>
      <rPr>
        <b/>
        <u/>
        <sz val="11"/>
        <rFont val="Aptos Narrow"/>
        <family val="2"/>
      </rPr>
      <t>Before the income payout period</t>
    </r>
    <r>
      <rPr>
        <sz val="11"/>
        <rFont val="Aptos Narrow"/>
        <family val="2"/>
      </rPr>
      <t xml:space="preserve">
The sum of,
(i)The higher of:
(a)105% of Total Premiums Paid on the basic plan up to the date of death; or
(b)The guaranteed cash surrender value
</t>
    </r>
    <r>
      <rPr>
        <b/>
        <sz val="11"/>
        <rFont val="Aptos Narrow"/>
        <family val="2"/>
      </rPr>
      <t xml:space="preserve">PLUS
(ii) Any accumulated Reversionary bonus 
</t>
    </r>
    <r>
      <rPr>
        <sz val="11"/>
        <rFont val="Aptos Narrow"/>
        <family val="2"/>
      </rPr>
      <t xml:space="preserve">
</t>
    </r>
    <r>
      <rPr>
        <b/>
        <u/>
        <sz val="11"/>
        <rFont val="Aptos Narrow"/>
        <family val="2"/>
      </rPr>
      <t>During the income payout period</t>
    </r>
    <r>
      <rPr>
        <sz val="11"/>
        <rFont val="Aptos Narrow"/>
        <family val="2"/>
      </rPr>
      <t xml:space="preserve">
The sum of,
(i)The higher of:
(a)105% of Total Premiums Paid on the basic plan up to the date of death less the total GMI paid out to date; or
(b)the guaranteed cash surrender value
PLUS
(a) accumulated Reversionary Bonus (if any); and
(b) the re-invested Monthly Total Income that has accumulated with interest (if any) as at date of death
Less total AMI paid and amount owing to Singlife</t>
    </r>
  </si>
  <si>
    <r>
      <rPr>
        <b/>
        <u/>
        <sz val="11"/>
        <rFont val="Aptos Narrow"/>
        <family val="2"/>
      </rPr>
      <t>Before the income payout period</t>
    </r>
    <r>
      <rPr>
        <sz val="11"/>
        <rFont val="Aptos Narrow"/>
        <family val="2"/>
      </rPr>
      <t xml:space="preserve">
The higher of:
(a) 105% of total premiums paid (excluding any advance premiums and any premiums paid for supplementary
benefits attached to the policy); or
(b) the guaranteed surrender value;
PLUS Any terminal claim bonus
Less any indebtedness
</t>
    </r>
    <r>
      <rPr>
        <b/>
        <u/>
        <sz val="11"/>
        <rFont val="Aptos Narrow"/>
        <family val="2"/>
      </rPr>
      <t xml:space="preserve">During the income payout period
</t>
    </r>
    <r>
      <rPr>
        <sz val="11"/>
        <rFont val="Aptos Narrow"/>
        <family val="2"/>
      </rPr>
      <t>The higher of:
(a) 105% of total premiums paid (excluding any premiums paid for supplementary benefits attached to the policy)
- total GMI declared; or
(b) the guaranteed surrender value; or
(c) 12 times of the GMI;
PLUS Terminal claim bonus (if any) and any accumulated RIB which has built up with interest (if not previously withdrawn).
Less any indebtedness</t>
    </r>
  </si>
  <si>
    <r>
      <rPr>
        <b/>
        <u/>
        <sz val="11"/>
        <rFont val="Aptos Narrow"/>
        <family val="2"/>
      </rPr>
      <t>Before the income payout period</t>
    </r>
    <r>
      <rPr>
        <sz val="11"/>
        <rFont val="Aptos Narrow"/>
        <family val="2"/>
      </rPr>
      <t xml:space="preserve">
The sum of,
</t>
    </r>
    <r>
      <rPr>
        <b/>
        <sz val="11"/>
        <rFont val="Aptos Narrow"/>
        <family val="2"/>
      </rPr>
      <t>(i) The higher of:</t>
    </r>
    <r>
      <rPr>
        <sz val="11"/>
        <rFont val="Aptos Narrow"/>
        <family val="2"/>
      </rPr>
      <t xml:space="preserve">
(a) 105% of all net premium(s) paid; or
(b) the guaranteed portion of the surrender value, 
PLUS
</t>
    </r>
    <r>
      <rPr>
        <b/>
        <sz val="11"/>
        <rFont val="Aptos Narrow"/>
        <family val="2"/>
      </rPr>
      <t xml:space="preserve">(ii) 100% of terminal bonus
</t>
    </r>
    <r>
      <rPr>
        <sz val="11"/>
        <rFont val="Aptos Narrow"/>
        <family val="2"/>
      </rPr>
      <t xml:space="preserve">
</t>
    </r>
    <r>
      <rPr>
        <b/>
        <u/>
        <sz val="11"/>
        <rFont val="Aptos Narrow"/>
        <family val="2"/>
      </rPr>
      <t>During the income payout period</t>
    </r>
    <r>
      <rPr>
        <sz val="11"/>
        <rFont val="Aptos Narrow"/>
        <family val="2"/>
      </rPr>
      <t xml:space="preserve">
The Death Benefit payable will be the sum of,
(i) The higher of:
(a) 105% of all net premium(s) paid less all monthly cash benefits paid, except any cash benefit paid out under the disability care benefit; or
(b) the guaranteed portion of the surrender value, and
(ii) 100% of terminal bonus less all monthly cash bonuses paid
PLUS
Any accumulated monthly cash benefits and cash bonuses
</t>
    </r>
  </si>
  <si>
    <r>
      <rPr>
        <b/>
        <u/>
        <sz val="11"/>
        <color rgb="FF0000CC"/>
        <rFont val="Aptos Narrow"/>
        <family val="2"/>
      </rPr>
      <t xml:space="preserve">GIO Riders
</t>
    </r>
    <r>
      <rPr>
        <b/>
        <sz val="11"/>
        <color rgb="FF0000CC"/>
        <rFont val="Aptos Narrow"/>
        <family val="2"/>
      </rPr>
      <t xml:space="preserve">• Singlife Care Income Plus Cover*
• Cancer Premium Waiver II
• EasyTerm
• Easy Payer Premium Waiver
</t>
    </r>
    <r>
      <rPr>
        <b/>
        <u/>
        <sz val="11"/>
        <color rgb="FF0000CC"/>
        <rFont val="Aptos Narrow"/>
        <family val="2"/>
      </rPr>
      <t xml:space="preserve">
</t>
    </r>
    <r>
      <rPr>
        <u/>
        <sz val="11"/>
        <rFont val="Aptos Narrow"/>
        <family val="2"/>
      </rPr>
      <t xml:space="preserve">Full Medical Underwriting (FMU) Riders
</t>
    </r>
    <r>
      <rPr>
        <sz val="11"/>
        <rFont val="Aptos Narrow"/>
        <family val="2"/>
      </rPr>
      <t xml:space="preserve">• Critical Illness Premium Waiver II
• Payer Critical Illness Premium Waiver II
</t>
    </r>
    <r>
      <rPr>
        <b/>
        <sz val="11"/>
        <color rgb="FF0000CC"/>
        <rFont val="Aptos Narrow"/>
        <family val="2"/>
      </rPr>
      <t xml:space="preserve">
*Note: Only rider to be applicable to both single premium and limited premium payment terms. Other riders are applicable with limited premium payment terms. </t>
    </r>
  </si>
  <si>
    <r>
      <rPr>
        <b/>
        <u/>
        <sz val="11"/>
        <color rgb="FF0000CC"/>
        <rFont val="Aptos Narrow"/>
        <family val="2"/>
      </rPr>
      <t>GIO Riders</t>
    </r>
    <r>
      <rPr>
        <b/>
        <sz val="11"/>
        <color rgb="FF0000CC"/>
        <rFont val="Aptos Narrow"/>
        <family val="2"/>
      </rPr>
      <t xml:space="preserve">
•Waiver of Premium on TPD (embedded)
• Cancer Care Premium Waiver (Optional)
</t>
    </r>
    <r>
      <rPr>
        <u/>
        <sz val="11"/>
        <rFont val="Aptos Narrow"/>
        <family val="2"/>
      </rPr>
      <t>Full Medical Underwriting (FMU) Riders</t>
    </r>
    <r>
      <rPr>
        <sz val="11"/>
        <rFont val="Aptos Narrow"/>
        <family val="2"/>
      </rPr>
      <t xml:space="preserve">
•  Critical Care Waiver Rider (II) (Optional)
•  Payor Benefit Rider (I) (Optional)
•  Payor Benefit Plus Rider (I) (Optional)
</t>
    </r>
    <r>
      <rPr>
        <b/>
        <sz val="11"/>
        <color rgb="FF0000CC"/>
        <rFont val="Aptos Narrow"/>
        <family val="2"/>
      </rPr>
      <t xml:space="preserve">
*Note: Optional riders are not applicable to single premium plans</t>
    </r>
  </si>
  <si>
    <t>https://www.hsbc.com.sg/content/dam/hsbc/sg/documents/insurance/savings/retirement-income-brochure.pdf</t>
  </si>
  <si>
    <t>Notes</t>
  </si>
  <si>
    <t>1. For Income Gro Retire Flex Pro, the accumulation period begins from the policy entry date, unlike the others which start from the end of the premium payment term, resulting in a longer accumulation period.
2. Due to the design of Etiqa Enrich Retirement, the retirement income payout starts 1 year earlier than the other plans in the comparison, and the policy term is also 1 year shorter.
3. In the Single Premium comparison, the accumulation period for Singlife Flexi Retirement II is 1 year shorter than the others, with the payout starting at ANB67. This aligns the start payout year with other similar plans at ALB66/ANB67
4. Please refer to the corresponding value table comparison for more details.</t>
  </si>
  <si>
    <t xml:space="preserve">MNS ALB24/ANB25 </t>
  </si>
  <si>
    <t>Single Premium ($100,000), Payout Age from ALB66/ANB67</t>
  </si>
  <si>
    <t>Single Premium ($200,000), Payout Age from ALB66/ANB67</t>
  </si>
  <si>
    <t>Limited Premium ($12,000), Payout Age from ALB66/ANB67</t>
  </si>
  <si>
    <t>Limited Premium ($24,000), Payout Age from ALB66/ANB67</t>
  </si>
  <si>
    <t xml:space="preserve">MNS ALB29/ANB30 </t>
  </si>
  <si>
    <t xml:space="preserve">MNS ALB34/ANB35 </t>
  </si>
  <si>
    <t xml:space="preserve">MNS ALB39/ANB40 </t>
  </si>
  <si>
    <t xml:space="preserve">MNS ALB49/ANB50 </t>
  </si>
  <si>
    <t>MNS ALB44/ANB45</t>
  </si>
  <si>
    <t xml:space="preserve">MNS ALB54/ANB55 </t>
  </si>
  <si>
    <t xml:space="preserve">MNS ALB59/ANB60 </t>
  </si>
  <si>
    <t xml:space="preserve">MNS ALB44/ANB45 </t>
  </si>
  <si>
    <t>MNS ALB59/ANB60</t>
  </si>
  <si>
    <t xml:space="preserve">MNS ALB39/ANB40, Premium Term 5 Years </t>
  </si>
  <si>
    <t xml:space="preserve">MNS ALB29/ANB30, Premium Term 10 Years </t>
  </si>
  <si>
    <t xml:space="preserve">MNS ALB24/ANB25, Premium Term 20 Years </t>
  </si>
  <si>
    <t xml:space="preserve">MNS ALB24/ANB25, Premium Term 10 Years </t>
  </si>
  <si>
    <t xml:space="preserve">MNS ALB29/ANB30, Premium Term 20 Years </t>
  </si>
  <si>
    <t xml:space="preserve">MNS ALB34/ANB35, Premium Term 10 Years </t>
  </si>
  <si>
    <t xml:space="preserve">MNS ALB34/ANB35, Premium Term 20 Years </t>
  </si>
  <si>
    <t xml:space="preserve">MNS ALB39/ANB40, Premium Term 10 Years </t>
  </si>
  <si>
    <t xml:space="preserve">MNS ALB39/ANB40, Premium Term 20 Years </t>
  </si>
  <si>
    <t xml:space="preserve">MNS ALB44/ANB45, Premium Term 5 Years </t>
  </si>
  <si>
    <t xml:space="preserve">MNS ALB44/ANB45, Premium Term 10 Years </t>
  </si>
  <si>
    <t xml:space="preserve">MNS ALB49/ANB50, Premium Term 5 Years </t>
  </si>
  <si>
    <t xml:space="preserve">MNS ALB49/ANB50, Premium Term 10 Years </t>
  </si>
  <si>
    <t xml:space="preserve">MNS ALB54/ANB55, Premium Term 5 Years </t>
  </si>
  <si>
    <t xml:space="preserve">MNS ALB54/ANB55, Premium Term 10 Years </t>
  </si>
  <si>
    <t xml:space="preserve">MNS ALB59/ANB60, Premium Term 5 Years </t>
  </si>
  <si>
    <t>MNS ALB29/ANB30, Premium Term 20 Years</t>
  </si>
  <si>
    <t>Single Premium ($100,000), Payout Age from ALB70/ANB71</t>
  </si>
  <si>
    <t>Single Premium ($200,000), Payout Age from ALB70/ANB71</t>
  </si>
  <si>
    <r>
      <rPr>
        <b/>
        <u/>
        <sz val="11"/>
        <color theme="1"/>
        <rFont val="Calibri"/>
        <family val="2"/>
        <scheme val="minor"/>
      </rPr>
      <t>Certainty</t>
    </r>
    <r>
      <rPr>
        <sz val="11"/>
        <color theme="1"/>
        <rFont val="Calibri"/>
        <family val="2"/>
        <scheme val="minor"/>
      </rPr>
      <t xml:space="preserve">
- 100% capital guaranteed upon reaching selected Retirement Age
</t>
    </r>
    <r>
      <rPr>
        <b/>
        <u/>
        <sz val="11"/>
        <color theme="1"/>
        <rFont val="Calibri"/>
        <family val="2"/>
        <scheme val="minor"/>
      </rPr>
      <t>Other Benefits</t>
    </r>
    <r>
      <rPr>
        <sz val="11"/>
        <color theme="1"/>
        <rFont val="Calibri"/>
        <family val="2"/>
        <scheme val="minor"/>
      </rPr>
      <t xml:space="preserve">
- Offers short premium payment term of 2 years
- Choice to receive either level or inflated retirement payout
- Provides Special Conditions Benefit which pays a lump sum benefit equivalent to $10,000 per special condition.</t>
    </r>
  </si>
  <si>
    <r>
      <rPr>
        <b/>
        <u/>
        <sz val="11"/>
        <color theme="1"/>
        <rFont val="Calibri"/>
        <family val="2"/>
        <scheme val="minor"/>
      </rPr>
      <t>Certainty</t>
    </r>
    <r>
      <rPr>
        <sz val="11"/>
        <color theme="1"/>
        <rFont val="Calibri"/>
        <family val="2"/>
        <scheme val="minor"/>
      </rPr>
      <t xml:space="preserve">
- For single premium payment, it is 100% capital guaranteed upon reaching selected Retirement Age.
- Accumulation period starts earlier from policy entry date; the accumulation period for all the others start after premium payment term.
- For single premium option, the longer the accumulation period, the more competitve it is its total yield at maturity.  
- For limited pay options, it is competitive based on guaranteed and total yields at maturity for age group 20-29 and 30-39 for the same selected age to start receiving the payouts due to its longer accumulation periods
</t>
    </r>
    <r>
      <rPr>
        <b/>
        <u/>
        <sz val="11"/>
        <color theme="1"/>
        <rFont val="Calibri"/>
        <family val="2"/>
        <scheme val="minor"/>
      </rPr>
      <t>Flexibility</t>
    </r>
    <r>
      <rPr>
        <sz val="11"/>
        <color theme="1"/>
        <rFont val="Calibri"/>
        <family val="2"/>
        <scheme val="minor"/>
      </rPr>
      <t xml:space="preserve">
- Option payout period up till age 100 (subject to entry age + accumulation period &gt;= 60)
- Choice when to start receiving payouts depending on Premium Term and Accumulation period chosen
- Option to change payout period at least 30 days before the first monthly cash benefit is due
</t>
    </r>
    <r>
      <rPr>
        <b/>
        <u/>
        <sz val="11"/>
        <color theme="1"/>
        <rFont val="Calibri"/>
        <family val="2"/>
        <scheme val="minor"/>
      </rPr>
      <t>Other Benefits</t>
    </r>
    <r>
      <rPr>
        <sz val="11"/>
        <color theme="1"/>
        <rFont val="Calibri"/>
        <family val="2"/>
        <scheme val="minor"/>
      </rPr>
      <t xml:space="preserve">
- Choice of SRS as mode of payment with single premium term option available
- Disability Care Benefit which provides additional coverage upon the diagnosis of certain conditions due to accidental injury or sickness 
- Provides retrenchment benefit and premium payment deferment option which can be claimed once per policy (not applicable for single premium payment option)
- Option to appoint a secondary insured for a maximum of 3 times (Not applicable for SRS)
- Provides accidental death benefit
Note: It is 100% capital guaranteed upon reaching selected Retirement Age (for single premium payment only). For other premium payment term options, it depends on the premium term, accumulation period, payout period chosen and the entry age.</t>
    </r>
  </si>
  <si>
    <r>
      <rPr>
        <b/>
        <u/>
        <sz val="11"/>
        <color theme="1"/>
        <rFont val="Calibri"/>
        <family val="2"/>
        <scheme val="minor"/>
      </rPr>
      <t>Certainty</t>
    </r>
    <r>
      <rPr>
        <sz val="11"/>
        <color theme="1"/>
        <rFont val="Calibri"/>
        <family val="2"/>
        <scheme val="minor"/>
      </rPr>
      <t xml:space="preserve">
- 100% capital guaranteed upon reaching selected Retirement Age 
- For single premium option, the longer the accumulation period, the more competitve it is its total yield at maturity.  
</t>
    </r>
    <r>
      <rPr>
        <b/>
        <u/>
        <sz val="11"/>
        <color theme="1"/>
        <rFont val="Calibri"/>
        <family val="2"/>
        <scheme val="minor"/>
      </rPr>
      <t xml:space="preserve">Flexibility </t>
    </r>
    <r>
      <rPr>
        <sz val="11"/>
        <color theme="1"/>
        <rFont val="Calibri"/>
        <family val="2"/>
        <scheme val="minor"/>
      </rPr>
      <t xml:space="preserve">
- Flexibility to adjust income payout period anytime at least 2 years before the selected retirement age (5 years income payout option is not applicable for single premium payment)
</t>
    </r>
    <r>
      <rPr>
        <b/>
        <u/>
        <sz val="11"/>
        <color theme="1"/>
        <rFont val="Calibri"/>
        <family val="2"/>
        <scheme val="minor"/>
      </rPr>
      <t>Other Benefits</t>
    </r>
    <r>
      <rPr>
        <sz val="11"/>
        <color theme="1"/>
        <rFont val="Calibri"/>
        <family val="2"/>
        <scheme val="minor"/>
      </rPr>
      <t xml:space="preserve">
- Choice of SRS as mode of payment with single premium term option available
- Lifetime (Retirement Income) payout option is available
- Additional income payout in the event of loss of independence, including payout of 1.5X guaranteed monthly income if unable to perform 2 out of 6 ADL, additional 100% of the GMI if life insured is unable to perform at least 3 of 6 ADLs / Loss of Speech / Loss of Hearing / Major Head Trauma
- Comes with Premium Freeze option (not applicable for Single premium payment option) and Retrenchment Payout benefit
- Waiver of premiums upon TPD (before age 70) (not applicable to single premium payment option) </t>
    </r>
  </si>
  <si>
    <r>
      <t xml:space="preserve">Depending on Premium Term and Accumulation period chosen </t>
    </r>
    <r>
      <rPr>
        <b/>
        <sz val="11"/>
        <color rgb="FFFF0000"/>
        <rFont val="Aptos Narrow"/>
        <family val="2"/>
      </rPr>
      <t>(flexible)</t>
    </r>
  </si>
  <si>
    <t>Flexible Retirement Age</t>
  </si>
  <si>
    <t>Payout Period</t>
  </si>
  <si>
    <r>
      <rPr>
        <sz val="11"/>
        <rFont val="Aptos Narrow"/>
        <family val="2"/>
      </rPr>
      <t xml:space="preserve">- 5/10/15/20 years
</t>
    </r>
    <r>
      <rPr>
        <b/>
        <sz val="11"/>
        <color rgb="FF0000CC"/>
        <rFont val="Aptos Narrow"/>
        <family val="2"/>
      </rPr>
      <t xml:space="preserve">- lifetime payout period
</t>
    </r>
  </si>
  <si>
    <r>
      <rPr>
        <b/>
        <sz val="11"/>
        <color rgb="FF0000CC"/>
        <rFont val="Aptos Narrow"/>
        <family val="2"/>
      </rPr>
      <t>Can range from 5 years to ANB120 of the Life Assured, in 1 year interval</t>
    </r>
    <r>
      <rPr>
        <sz val="11"/>
        <rFont val="Aptos Narrow"/>
        <family val="2"/>
      </rPr>
      <t xml:space="preserve">
(subject to Entry Age + Premium Payment Term + Accumulation Period + Income Payout Period &lt;= 120 ANB)</t>
    </r>
  </si>
  <si>
    <t>Accumulation Period</t>
  </si>
  <si>
    <t>Retirement Age</t>
  </si>
  <si>
    <r>
      <rPr>
        <b/>
        <u/>
        <sz val="11"/>
        <color rgb="FF000000"/>
        <rFont val="Aptos Narrow"/>
        <family val="2"/>
      </rPr>
      <t>Single Premium</t>
    </r>
    <r>
      <rPr>
        <sz val="11"/>
        <color rgb="FF000000"/>
        <rFont val="Aptos Narrow"/>
        <family val="2"/>
      </rPr>
      <t xml:space="preserve">
</t>
    </r>
    <r>
      <rPr>
        <b/>
        <sz val="11"/>
        <rFont val="Aptos Narrow"/>
        <family val="2"/>
      </rPr>
      <t>Cash:</t>
    </r>
    <r>
      <rPr>
        <sz val="11"/>
        <rFont val="Aptos Narrow"/>
        <family val="2"/>
      </rPr>
      <t xml:space="preserve"> ANB 17 – 70
</t>
    </r>
    <r>
      <rPr>
        <b/>
        <sz val="11"/>
        <rFont val="Aptos Narrow"/>
        <family val="2"/>
      </rPr>
      <t xml:space="preserve">SRS: </t>
    </r>
    <r>
      <rPr>
        <sz val="11"/>
        <rFont val="Aptos Narrow"/>
        <family val="2"/>
      </rPr>
      <t xml:space="preserve">ANB 19 - 70
</t>
    </r>
    <r>
      <rPr>
        <sz val="11"/>
        <color rgb="FF000000"/>
        <rFont val="Aptos Narrow"/>
        <family val="2"/>
      </rPr>
      <t xml:space="preserve">
</t>
    </r>
    <r>
      <rPr>
        <b/>
        <u/>
        <sz val="11"/>
        <color rgb="FF000000"/>
        <rFont val="Aptos Narrow"/>
        <family val="2"/>
      </rPr>
      <t>Limited Pay</t>
    </r>
    <r>
      <rPr>
        <sz val="11"/>
        <color rgb="FF000000"/>
        <rFont val="Aptos Narrow"/>
        <family val="2"/>
      </rPr>
      <t xml:space="preserve">
</t>
    </r>
    <r>
      <rPr>
        <b/>
        <sz val="11"/>
        <color rgb="FF000000"/>
        <rFont val="Aptos Narrow"/>
        <family val="2"/>
      </rPr>
      <t>5,10,15pay:</t>
    </r>
    <r>
      <rPr>
        <sz val="11"/>
        <color rgb="FF000000"/>
        <rFont val="Aptos Narrow"/>
        <family val="2"/>
      </rPr>
      <t xml:space="preserve"> ANB 17 – 65 
</t>
    </r>
    <r>
      <rPr>
        <b/>
        <sz val="11"/>
        <color rgb="FF000000"/>
        <rFont val="Aptos Narrow"/>
        <family val="2"/>
      </rPr>
      <t>20pay:</t>
    </r>
    <r>
      <rPr>
        <sz val="11"/>
        <color rgb="FF000000"/>
        <rFont val="Aptos Narrow"/>
        <family val="2"/>
      </rPr>
      <t xml:space="preserve"> ANB 17 – 60
</t>
    </r>
    <r>
      <rPr>
        <b/>
        <sz val="11"/>
        <color rgb="FF000000"/>
        <rFont val="Aptos Narrow"/>
        <family val="2"/>
      </rPr>
      <t xml:space="preserve">25pay: </t>
    </r>
    <r>
      <rPr>
        <sz val="11"/>
        <color rgb="FF000000"/>
        <rFont val="Aptos Narrow"/>
        <family val="2"/>
      </rPr>
      <t xml:space="preserve">ANB 17 – 55  
</t>
    </r>
  </si>
  <si>
    <r>
      <rPr>
        <b/>
        <u/>
        <sz val="11"/>
        <color rgb="FF000000"/>
        <rFont val="Aptos Narrow"/>
        <family val="2"/>
      </rPr>
      <t>Limited Pay</t>
    </r>
    <r>
      <rPr>
        <sz val="11"/>
        <color rgb="FF000000"/>
        <rFont val="Aptos Narrow"/>
        <family val="2"/>
      </rPr>
      <t xml:space="preserve">
</t>
    </r>
    <r>
      <rPr>
        <b/>
        <sz val="11"/>
        <color rgb="FF000000"/>
        <rFont val="Aptos Narrow"/>
        <family val="2"/>
      </rPr>
      <t>5pay:</t>
    </r>
    <r>
      <rPr>
        <sz val="11"/>
        <color rgb="FF000000"/>
        <rFont val="Aptos Narrow"/>
        <family val="2"/>
      </rPr>
      <t xml:space="preserve"> ALB 18 – 65
</t>
    </r>
    <r>
      <rPr>
        <b/>
        <sz val="11"/>
        <color rgb="FF000000"/>
        <rFont val="Aptos Narrow"/>
        <family val="2"/>
      </rPr>
      <t>10pay:</t>
    </r>
    <r>
      <rPr>
        <sz val="11"/>
        <color rgb="FF000000"/>
        <rFont val="Aptos Narrow"/>
        <family val="2"/>
      </rPr>
      <t xml:space="preserve"> ALB 18 – 60
</t>
    </r>
    <r>
      <rPr>
        <b/>
        <sz val="11"/>
        <color rgb="FF000000"/>
        <rFont val="Aptos Narrow"/>
        <family val="2"/>
      </rPr>
      <t>15pay:</t>
    </r>
    <r>
      <rPr>
        <sz val="11"/>
        <color rgb="FF000000"/>
        <rFont val="Aptos Narrow"/>
        <family val="2"/>
      </rPr>
      <t xml:space="preserve"> ALB18 – 55
</t>
    </r>
    <r>
      <rPr>
        <b/>
        <sz val="11"/>
        <color rgb="FF000000"/>
        <rFont val="Aptos Narrow"/>
        <family val="2"/>
      </rPr>
      <t>20pay:</t>
    </r>
    <r>
      <rPr>
        <sz val="11"/>
        <color rgb="FF000000"/>
        <rFont val="Aptos Narrow"/>
        <family val="2"/>
      </rPr>
      <t xml:space="preserve"> ALB 18 – 50</t>
    </r>
  </si>
  <si>
    <r>
      <rPr>
        <b/>
        <u/>
        <sz val="11"/>
        <color rgb="FF000000"/>
        <rFont val="Aptos Narrow"/>
        <family val="2"/>
      </rPr>
      <t>Single Premium</t>
    </r>
    <r>
      <rPr>
        <sz val="11"/>
        <color rgb="FF000000"/>
        <rFont val="Aptos Narrow"/>
        <family val="2"/>
      </rPr>
      <t xml:space="preserve">
ANB 19 – 70
</t>
    </r>
    <r>
      <rPr>
        <b/>
        <u/>
        <sz val="11"/>
        <color rgb="FF000000"/>
        <rFont val="Aptos Narrow"/>
        <family val="2"/>
      </rPr>
      <t>Limited Pay</t>
    </r>
    <r>
      <rPr>
        <u/>
        <sz val="11"/>
        <color rgb="FF000000"/>
        <rFont val="Aptos Narrow"/>
        <family val="2"/>
      </rPr>
      <t xml:space="preserve">
</t>
    </r>
    <r>
      <rPr>
        <sz val="11"/>
        <color rgb="FF000000"/>
        <rFont val="Aptos Narrow"/>
        <family val="2"/>
      </rPr>
      <t>ANB19 – 65</t>
    </r>
  </si>
  <si>
    <r>
      <t xml:space="preserve">ANB17 – 58 (depending on selected premium term &amp; retirement age)
</t>
    </r>
    <r>
      <rPr>
        <b/>
        <u/>
        <sz val="11"/>
        <color rgb="FF000000"/>
        <rFont val="Aptos Narrow"/>
        <family val="2"/>
      </rPr>
      <t xml:space="preserve">
</t>
    </r>
  </si>
  <si>
    <t xml:space="preserve">ALB18 – 65 (depending on selected premium term &amp; retirement age)
</t>
  </si>
  <si>
    <t>ALB16 – 99</t>
  </si>
  <si>
    <r>
      <rPr>
        <b/>
        <u/>
        <sz val="11"/>
        <color rgb="FF000000"/>
        <rFont val="Aptos Narrow"/>
        <family val="2"/>
      </rPr>
      <t xml:space="preserve">Base Plan
</t>
    </r>
    <r>
      <rPr>
        <b/>
        <sz val="11"/>
        <color rgb="FF000000"/>
        <rFont val="Aptos Narrow"/>
        <family val="2"/>
      </rPr>
      <t xml:space="preserve">For Single premium term/5pay: </t>
    </r>
    <r>
      <rPr>
        <sz val="11"/>
        <color rgb="FF000000"/>
        <rFont val="Aptos Narrow"/>
        <family val="2"/>
      </rPr>
      <t xml:space="preserve">ALB20 – 75 minus Accumulation Period Chosen
</t>
    </r>
    <r>
      <rPr>
        <b/>
        <sz val="11"/>
        <color rgb="FF000000"/>
        <rFont val="Aptos Narrow"/>
        <family val="2"/>
      </rPr>
      <t xml:space="preserve">For 10,15,20,25,30,35,40pay: </t>
    </r>
    <r>
      <rPr>
        <sz val="11"/>
        <color rgb="FF000000"/>
        <rFont val="Aptos Narrow"/>
        <family val="2"/>
      </rPr>
      <t xml:space="preserve">ALB20 – 70 minus Accumulation Period Chosen
</t>
    </r>
    <r>
      <rPr>
        <b/>
        <u/>
        <sz val="11"/>
        <color rgb="FF000000"/>
        <rFont val="Aptos Narrow"/>
        <family val="2"/>
      </rPr>
      <t>Protection Benefit (Compulsory Rider)*</t>
    </r>
    <r>
      <rPr>
        <sz val="11"/>
        <color rgb="FF000000"/>
        <rFont val="Aptos Narrow"/>
        <family val="2"/>
      </rPr>
      <t xml:space="preserve">
</t>
    </r>
    <r>
      <rPr>
        <b/>
        <sz val="11"/>
        <color rgb="FF000000"/>
        <rFont val="Aptos Narrow"/>
        <family val="2"/>
      </rPr>
      <t xml:space="preserve">For 5Pay: </t>
    </r>
    <r>
      <rPr>
        <sz val="11"/>
        <color rgb="FF000000"/>
        <rFont val="Aptos Narrow"/>
        <family val="2"/>
      </rPr>
      <t>ALB20 – 75 minus Accumulation Period Chosen</t>
    </r>
    <r>
      <rPr>
        <b/>
        <sz val="11"/>
        <color rgb="FF000000"/>
        <rFont val="Aptos Narrow"/>
        <family val="2"/>
      </rPr>
      <t xml:space="preserve">
For 10,15,20,25,30,35,40pay: </t>
    </r>
    <r>
      <rPr>
        <sz val="11"/>
        <color rgb="FF000000"/>
        <rFont val="Aptos Narrow"/>
        <family val="2"/>
      </rPr>
      <t xml:space="preserve">ALB20 – 70 minus Accumulation Period Chosen
*The compulsory Protection Benefit rider is not applicable for single premium term
</t>
    </r>
  </si>
  <si>
    <t>ANB17 – 99</t>
  </si>
  <si>
    <t>ALB18 – 75</t>
  </si>
  <si>
    <t>ANB19 – 70</t>
  </si>
  <si>
    <t>ANB17 – 65</t>
  </si>
  <si>
    <r>
      <rPr>
        <b/>
        <u/>
        <sz val="11"/>
        <color rgb="FF000000"/>
        <rFont val="Aptos Narrow"/>
        <family val="2"/>
      </rPr>
      <t xml:space="preserve">Base Plan
</t>
    </r>
    <r>
      <rPr>
        <b/>
        <sz val="11"/>
        <color rgb="FF000000"/>
        <rFont val="Aptos Narrow"/>
        <family val="2"/>
      </rPr>
      <t xml:space="preserve">For Single premium term/5-pay: </t>
    </r>
    <r>
      <rPr>
        <sz val="11"/>
        <color rgb="FF000000"/>
        <rFont val="Aptos Narrow"/>
        <family val="2"/>
      </rPr>
      <t xml:space="preserve">ALB16 – NA
</t>
    </r>
    <r>
      <rPr>
        <b/>
        <sz val="11"/>
        <color rgb="FF000000"/>
        <rFont val="Aptos Narrow"/>
        <family val="2"/>
      </rPr>
      <t xml:space="preserve">For 10,15,20,25,30,35,40-pay: </t>
    </r>
    <r>
      <rPr>
        <sz val="11"/>
        <color rgb="FF000000"/>
        <rFont val="Aptos Narrow"/>
        <family val="2"/>
      </rPr>
      <t xml:space="preserve">ALB16 – NA
</t>
    </r>
    <r>
      <rPr>
        <b/>
        <u/>
        <sz val="11"/>
        <color rgb="FF000000"/>
        <rFont val="Aptos Narrow"/>
        <family val="2"/>
      </rPr>
      <t>Protection Benefit (Compulsory Rider)</t>
    </r>
    <r>
      <rPr>
        <sz val="11"/>
        <color rgb="FF000000"/>
        <rFont val="Aptos Narrow"/>
        <family val="2"/>
      </rPr>
      <t xml:space="preserve">
</t>
    </r>
    <r>
      <rPr>
        <b/>
        <sz val="11"/>
        <color rgb="FF000000"/>
        <rFont val="Aptos Narrow"/>
        <family val="2"/>
      </rPr>
      <t xml:space="preserve">For 5-Pay: </t>
    </r>
    <r>
      <rPr>
        <sz val="11"/>
        <color rgb="FF000000"/>
        <rFont val="Aptos Narrow"/>
        <family val="2"/>
      </rPr>
      <t xml:space="preserve">ALB16 – NA
</t>
    </r>
    <r>
      <rPr>
        <b/>
        <sz val="11"/>
        <color rgb="FF000000"/>
        <rFont val="Aptos Narrow"/>
        <family val="2"/>
      </rPr>
      <t xml:space="preserve">For 10,15,20,25,30,35,40-pay: </t>
    </r>
    <r>
      <rPr>
        <sz val="11"/>
        <color rgb="FF000000"/>
        <rFont val="Aptos Narrow"/>
        <family val="2"/>
      </rPr>
      <t>ALB16 – NA
*The compulsory Protection Benefit rider is not applicable for single premium term</t>
    </r>
  </si>
  <si>
    <t>5/10/ 15/ 20 years</t>
  </si>
  <si>
    <t>Age 20 – 29</t>
  </si>
  <si>
    <t>Age 30 – 39</t>
  </si>
  <si>
    <t>Age 40 – 49</t>
  </si>
  <si>
    <t>Age 50 – 59</t>
  </si>
  <si>
    <r>
      <rPr>
        <b/>
        <u/>
        <sz val="11"/>
        <color theme="1"/>
        <rFont val="Calibri"/>
        <family val="2"/>
        <scheme val="minor"/>
      </rPr>
      <t>Certainty</t>
    </r>
    <r>
      <rPr>
        <sz val="11"/>
        <color theme="1"/>
        <rFont val="Calibri"/>
        <family val="2"/>
        <scheme val="minor"/>
      </rPr>
      <t xml:space="preserve">
- Relatively competitve in guaranteed and non-guaranteed yield at maturity for most ages and payment term.
- 100% capital guaranteed 5 years after end of premium payment term
- Guaranteed issuance with no medical underwriting needed
- Breaks even earlier compared to similar plans as it provides capital guaranteed after premium term + 5 years
</t>
    </r>
    <r>
      <rPr>
        <b/>
        <u/>
        <sz val="11"/>
        <color theme="1"/>
        <rFont val="Calibri"/>
        <family val="2"/>
        <scheme val="minor"/>
      </rPr>
      <t xml:space="preserve">Flexibility
</t>
    </r>
    <r>
      <rPr>
        <sz val="11"/>
        <color theme="1"/>
        <rFont val="Calibri"/>
        <family val="2"/>
        <scheme val="minor"/>
      </rPr>
      <t xml:space="preserve">- Flexibility to choose accumulation period, starting after premium payment term
</t>
    </r>
    <r>
      <rPr>
        <b/>
        <u/>
        <sz val="11"/>
        <color theme="1"/>
        <rFont val="Calibri"/>
        <family val="2"/>
        <scheme val="minor"/>
      </rPr>
      <t xml:space="preserve">Other Benefits
</t>
    </r>
    <r>
      <rPr>
        <sz val="11"/>
        <color theme="1"/>
        <rFont val="Calibri"/>
        <family val="2"/>
        <scheme val="minor"/>
      </rPr>
      <t xml:space="preserve">- Additional lump sum payout (during income period) for Major Cancer diagnosis.
- Lump sum Retirement Payout Benefit which pays 24x of sum insured on the selected payout age
- Unique Retirement Holiday Benefit that allows the policy owner to advance one full year of the income payout (12* Total Monthly Income) during the payout period.
- Retrenchment Payout Benefit which provides lump sum payout of 12x the sum assured, subject to a maximum amount of $30,000 if the life assured is involuntarily unemployed for more than 6 months during premium term
</t>
    </r>
  </si>
  <si>
    <r>
      <t xml:space="preserve">•Death
• TI
</t>
    </r>
    <r>
      <rPr>
        <b/>
        <sz val="11"/>
        <color rgb="FF0000CC"/>
        <rFont val="Aptos Narrow"/>
        <family val="2"/>
      </rPr>
      <t xml:space="preserve">• Special Conditions Benefit
</t>
    </r>
  </si>
  <si>
    <r>
      <rPr>
        <b/>
        <sz val="11"/>
        <color rgb="FF0000CC"/>
        <rFont val="Aptos Narrow"/>
        <family val="2"/>
      </rPr>
      <t xml:space="preserve">Special Conditions Benefit
</t>
    </r>
    <r>
      <rPr>
        <sz val="11"/>
        <rFont val="Aptos Narrow"/>
        <family val="2"/>
      </rPr>
      <t xml:space="preserve">
- Pays a lump sum benefit equivalent to $10,000 per special condition.
(Each special condition can only be paid once and a maximum of 2 claims can be made under this benefit)</t>
    </r>
  </si>
  <si>
    <t>Special Conditions Benefit</t>
  </si>
  <si>
    <r>
      <t xml:space="preserve">• Death
</t>
    </r>
    <r>
      <rPr>
        <b/>
        <sz val="11"/>
        <color rgb="FF0000CC"/>
        <rFont val="Aptos Narrow"/>
        <family val="2"/>
      </rPr>
      <t xml:space="preserve">• Waiver of premium on TPD (before age 70)
</t>
    </r>
    <r>
      <rPr>
        <sz val="11"/>
        <rFont val="Aptos Narrow"/>
        <family val="2"/>
      </rPr>
      <t xml:space="preserve">• </t>
    </r>
    <r>
      <rPr>
        <b/>
        <sz val="11"/>
        <color rgb="FF0000CC"/>
        <rFont val="Aptos Narrow"/>
        <family val="2"/>
      </rPr>
      <t xml:space="preserve">Loss of Independence Income Benefit </t>
    </r>
    <r>
      <rPr>
        <sz val="11"/>
        <rFont val="Aptos Narrow"/>
        <family val="2"/>
      </rPr>
      <t xml:space="preserve">
</t>
    </r>
  </si>
  <si>
    <t xml:space="preserve">The above are similar products from non-providers of PIAS. We have included them for your reference to facilitate your comparisons against similar products from PIAS approved suite. </t>
  </si>
  <si>
    <r>
      <t xml:space="preserve">This information is accurate as at </t>
    </r>
    <r>
      <rPr>
        <sz val="11"/>
        <color rgb="FF0000CC"/>
        <rFont val="Aptos Narrow"/>
        <family val="2"/>
      </rPr>
      <t>17/01/2025</t>
    </r>
  </si>
  <si>
    <t xml:space="preserve">STRICTLY FOR PIAS' FA REPRESENTATIVES REFERENCE ONLY </t>
  </si>
  <si>
    <t>(NOT FOR CIRCULATION TO PROSPECTS OR CLIENTS)</t>
  </si>
  <si>
    <r>
      <rPr>
        <b/>
        <sz val="11"/>
        <color rgb="FFFF0000"/>
        <rFont val="Aptos Narrow"/>
        <family val="2"/>
      </rPr>
      <t>Important Notes:</t>
    </r>
    <r>
      <rPr>
        <sz val="11"/>
        <color rgb="FFFF0000"/>
        <rFont val="Aptos Narrow"/>
        <family val="2"/>
      </rPr>
      <t xml:space="preserve">
1. This insurance product comparsion has been produced by Propel Product Management on behalf of PIAS, and is solely meant for FA Representatives of PIAS as a quick reference and not meant to be reproduced in any manner.
2. The product comparison encompasses only relevant approved products by PIAS only.  It is an overview of similar product category based on prescribed age and for standard lives.
3. The information is obtained from the latest policy illustrations and product information provided by the relevant life insurance product providers. PIAS and Propel shall not be liable for any damages, or in any other way whatsoever, for errors of fact on the placemat and no warranty or representation is given to this effect.  In the event of any discrepancy, the insurance product provider’s authorized documents shall apply.
4. This product comparison is not meant to be construed as an offer or solicitation by FA Representatives for the purchase of any life insurance plan nor is it meant for switching from one product to another which may be detrimental to prospects or clients.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
</t>
    </r>
    <r>
      <rPr>
        <sz val="11"/>
        <color theme="1"/>
        <rFont val="Aptos Narrow"/>
        <family val="2"/>
      </rPr>
      <t xml:space="preserve">5. This information is from all providers of PIAS and is accurate as of </t>
    </r>
    <r>
      <rPr>
        <b/>
        <sz val="11"/>
        <color rgb="FF0000CC"/>
        <rFont val="Aptos Narrow"/>
        <family val="2"/>
      </rPr>
      <t>24 January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</si>
</sst>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2" formatCode="_(&quot;$&quot;* #,##0_);_(&quot;$&quot;* \(#,##0\);_(&quot;$&quot;* &quot;-&quot;_);_(@_)"/>
    <numFmt numFmtId="41" formatCode="_(* #,##0_);_(* \(#,##0\);_(* &quot;-&quot;_);_(@_)"/>
    <numFmt numFmtId="44" formatCode="_(&quot;$&quot;* #,##0.00_);_(&quot;$&quot;* \(#,##0.00\);_(&quot;$&quot;* &quot;-&quot;??_);_(@_)"/>
    <numFmt numFmtId="164" formatCode="_(&quot;$&quot;* #,##0_);_(&quot;$&quot;* \(#,##0\);_(&quot;$&quot;* &quot;-&quot;??_);_(@_)"/>
  </numFmts>
  <fonts count="4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b/>
      <i/>
      <sz val="11"/>
      <name val="Calibri"/>
      <family val="2"/>
      <scheme val="minor"/>
    </font>
    <font>
      <sz val="11"/>
      <color rgb="FFFF0000"/>
      <name val="Calibri"/>
      <family val="2"/>
      <scheme val="minor"/>
    </font>
    <font>
      <b/>
      <sz val="11"/>
      <color rgb="FF0000CC"/>
      <name val="Calibri"/>
      <family val="2"/>
      <scheme val="minor"/>
    </font>
    <font>
      <b/>
      <sz val="11"/>
      <color rgb="FF008080"/>
      <name val="Calibri"/>
      <family val="2"/>
      <scheme val="minor"/>
    </font>
    <font>
      <b/>
      <sz val="11"/>
      <color rgb="FFFF0000"/>
      <name val="Calibri"/>
      <family val="2"/>
      <scheme val="minor"/>
    </font>
    <font>
      <b/>
      <u/>
      <sz val="11"/>
      <color theme="1"/>
      <name val="Calibri"/>
      <family val="2"/>
      <scheme val="minor"/>
    </font>
    <font>
      <sz val="7"/>
      <color theme="1"/>
      <name val="Aptos Narrow"/>
      <family val="2"/>
    </font>
    <font>
      <b/>
      <sz val="11"/>
      <color theme="0"/>
      <name val="Aptos Narrow"/>
      <family val="2"/>
    </font>
    <font>
      <b/>
      <sz val="11"/>
      <name val="Aptos Narrow"/>
      <family val="2"/>
    </font>
    <font>
      <sz val="11"/>
      <name val="Aptos Narrow"/>
      <family val="2"/>
    </font>
    <font>
      <b/>
      <sz val="11"/>
      <color theme="1"/>
      <name val="Aptos Narrow"/>
      <family val="2"/>
    </font>
    <font>
      <sz val="11"/>
      <color rgb="FF000000"/>
      <name val="Aptos Narrow"/>
      <family val="2"/>
    </font>
    <font>
      <sz val="11"/>
      <color rgb="FF0000CC"/>
      <name val="Aptos Narrow"/>
      <family val="2"/>
    </font>
    <font>
      <u/>
      <sz val="11"/>
      <color rgb="FF000000"/>
      <name val="Aptos Narrow"/>
      <family val="2"/>
    </font>
    <font>
      <b/>
      <u/>
      <sz val="11"/>
      <color rgb="FF000000"/>
      <name val="Aptos Narrow"/>
      <family val="2"/>
    </font>
    <font>
      <b/>
      <sz val="11"/>
      <color rgb="FF000000"/>
      <name val="Aptos Narrow"/>
      <family val="2"/>
    </font>
    <font>
      <b/>
      <sz val="11"/>
      <color rgb="FF0000CC"/>
      <name val="Aptos Narrow"/>
      <family val="2"/>
    </font>
    <font>
      <sz val="11"/>
      <color theme="1"/>
      <name val="Aptos Narrow"/>
      <family val="2"/>
    </font>
    <font>
      <sz val="11"/>
      <color rgb="FFFF0000"/>
      <name val="Aptos Narrow"/>
      <family val="2"/>
    </font>
    <font>
      <sz val="11"/>
      <color rgb="FF0000FF"/>
      <name val="Aptos Narrow"/>
      <family val="2"/>
    </font>
    <font>
      <u/>
      <sz val="11"/>
      <name val="Aptos Narrow"/>
      <family val="2"/>
    </font>
    <font>
      <b/>
      <u/>
      <sz val="11"/>
      <name val="Aptos Narrow"/>
      <family val="2"/>
    </font>
    <font>
      <b/>
      <u/>
      <sz val="11"/>
      <color rgb="FF0000CC"/>
      <name val="Aptos Narrow"/>
      <family val="2"/>
    </font>
    <font>
      <b/>
      <sz val="12"/>
      <color theme="0"/>
      <name val="Aptos Narrow"/>
      <family val="2"/>
    </font>
    <font>
      <sz val="12"/>
      <color theme="1"/>
      <name val="Aptos Narrow"/>
      <family val="2"/>
    </font>
    <font>
      <b/>
      <sz val="11"/>
      <color theme="0"/>
      <name val="Calibri"/>
      <family val="2"/>
      <scheme val="minor"/>
    </font>
    <font>
      <b/>
      <sz val="11"/>
      <color rgb="FFFF0000"/>
      <name val="Aptos Narrow"/>
      <family val="2"/>
    </font>
    <font>
      <b/>
      <sz val="11"/>
      <color theme="2" tint="-0.499984740745262"/>
      <name val="Aptos Narrow"/>
      <family val="2"/>
    </font>
    <font>
      <b/>
      <sz val="11"/>
      <color rgb="FF008080"/>
      <name val="Aptos Narrow"/>
      <family val="2"/>
    </font>
    <font>
      <b/>
      <i/>
      <sz val="11"/>
      <name val="Aptos Narrow"/>
      <family val="2"/>
    </font>
    <font>
      <b/>
      <sz val="11"/>
      <color theme="7"/>
      <name val="Aptos Narrow"/>
      <family val="2"/>
    </font>
    <font>
      <u/>
      <sz val="11"/>
      <color theme="10"/>
      <name val="Calibri"/>
      <family val="2"/>
      <scheme val="minor"/>
    </font>
    <font>
      <b/>
      <sz val="11"/>
      <color rgb="FFFFFFFF"/>
      <name val="Aptos Narrow"/>
      <family val="2"/>
    </font>
    <font>
      <sz val="8"/>
      <name val="Calibri"/>
      <family val="2"/>
      <scheme val="minor"/>
    </font>
    <font>
      <sz val="14"/>
      <color indexed="8"/>
      <name val="Arial"/>
      <family val="2"/>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1"/>
        <bgColor indexed="64"/>
      </patternFill>
    </fill>
    <fill>
      <patternFill patternType="solid">
        <fgColor rgb="FFB5E6A2"/>
        <bgColor indexed="64"/>
      </patternFill>
    </fill>
    <fill>
      <patternFill patternType="solid">
        <fgColor rgb="FFF2F2F2"/>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1"/>
        <bgColor rgb="FF000000"/>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59999389629810485"/>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0" fontId="3" fillId="0" borderId="0"/>
    <xf numFmtId="0" fontId="37" fillId="0" borderId="0" applyNumberFormat="0" applyFill="0" applyBorder="0" applyAlignment="0" applyProtection="0"/>
  </cellStyleXfs>
  <cellXfs count="397">
    <xf numFmtId="0" fontId="0" fillId="0" borderId="0" xfId="0"/>
    <xf numFmtId="0" fontId="4" fillId="0" borderId="0" xfId="0" applyFont="1"/>
    <xf numFmtId="6" fontId="4" fillId="0" borderId="0" xfId="0" applyNumberFormat="1" applyFont="1"/>
    <xf numFmtId="10" fontId="4" fillId="0" borderId="0" xfId="0" applyNumberFormat="1" applyFont="1" applyAlignment="1">
      <alignment wrapText="1"/>
    </xf>
    <xf numFmtId="0" fontId="5" fillId="0" borderId="0" xfId="0" applyFont="1"/>
    <xf numFmtId="0" fontId="6" fillId="0" borderId="0" xfId="0" applyFont="1"/>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4" xfId="0" applyFont="1" applyBorder="1"/>
    <xf numFmtId="164" fontId="4" fillId="0" borderId="0" xfId="1" applyNumberFormat="1" applyFont="1" applyBorder="1"/>
    <xf numFmtId="0" fontId="4" fillId="0" borderId="0" xfId="0" applyFont="1" applyAlignment="1">
      <alignment horizontal="center"/>
    </xf>
    <xf numFmtId="10" fontId="4" fillId="0" borderId="0" xfId="0" applyNumberFormat="1" applyFont="1"/>
    <xf numFmtId="0" fontId="4" fillId="0" borderId="1" xfId="0" applyFont="1" applyBorder="1"/>
    <xf numFmtId="164" fontId="4" fillId="0" borderId="2" xfId="1" applyNumberFormat="1" applyFont="1" applyBorder="1"/>
    <xf numFmtId="0" fontId="4" fillId="0" borderId="2" xfId="0" applyFont="1" applyBorder="1" applyAlignment="1">
      <alignment horizontal="center"/>
    </xf>
    <xf numFmtId="0" fontId="4" fillId="0" borderId="0" xfId="0" applyFont="1" applyAlignment="1">
      <alignment vertical="top" wrapText="1"/>
    </xf>
    <xf numFmtId="164" fontId="4" fillId="0" borderId="2" xfId="1" quotePrefix="1" applyNumberFormat="1" applyFont="1" applyBorder="1"/>
    <xf numFmtId="38" fontId="4" fillId="0" borderId="2" xfId="0" quotePrefix="1" applyNumberFormat="1" applyFont="1" applyBorder="1" applyAlignment="1">
      <alignment horizontal="center"/>
    </xf>
    <xf numFmtId="164" fontId="4" fillId="0" borderId="0" xfId="1" quotePrefix="1" applyNumberFormat="1" applyFont="1" applyBorder="1"/>
    <xf numFmtId="0" fontId="4" fillId="0" borderId="6" xfId="0" applyFont="1" applyBorder="1"/>
    <xf numFmtId="164" fontId="4" fillId="0" borderId="7" xfId="1" applyNumberFormat="1" applyFont="1" applyBorder="1"/>
    <xf numFmtId="0" fontId="5" fillId="3" borderId="10" xfId="0" applyFont="1" applyFill="1" applyBorder="1" applyAlignment="1">
      <alignment horizontal="center" vertical="center" wrapText="1"/>
    </xf>
    <xf numFmtId="164" fontId="4" fillId="0" borderId="0" xfId="1" applyNumberFormat="1" applyFont="1" applyFill="1" applyBorder="1"/>
    <xf numFmtId="0" fontId="4" fillId="0" borderId="7" xfId="0" applyFont="1" applyBorder="1" applyAlignment="1">
      <alignment horizontal="center" vertical="center"/>
    </xf>
    <xf numFmtId="0" fontId="7" fillId="0" borderId="0" xfId="0" applyFont="1"/>
    <xf numFmtId="10" fontId="4" fillId="0" borderId="0" xfId="2" applyNumberFormat="1" applyFont="1" applyFill="1" applyBorder="1"/>
    <xf numFmtId="0" fontId="0" fillId="0" borderId="0" xfId="0" applyAlignment="1">
      <alignment vertical="top"/>
    </xf>
    <xf numFmtId="0" fontId="5" fillId="5" borderId="0" xfId="0" applyFont="1" applyFill="1"/>
    <xf numFmtId="0" fontId="5" fillId="6" borderId="0" xfId="0" applyFont="1" applyFill="1"/>
    <xf numFmtId="0" fontId="4" fillId="0" borderId="0" xfId="0" quotePrefix="1" applyFont="1" applyAlignment="1">
      <alignment vertical="top" wrapText="1"/>
    </xf>
    <xf numFmtId="0" fontId="5" fillId="4" borderId="19" xfId="0" applyFont="1" applyFill="1" applyBorder="1" applyAlignment="1">
      <alignment horizontal="center" vertical="center" wrapText="1"/>
    </xf>
    <xf numFmtId="164" fontId="4" fillId="0" borderId="2" xfId="1" applyNumberFormat="1" applyFont="1" applyFill="1" applyBorder="1"/>
    <xf numFmtId="164" fontId="4" fillId="0" borderId="7" xfId="1" applyNumberFormat="1" applyFont="1" applyFill="1" applyBorder="1"/>
    <xf numFmtId="0" fontId="4" fillId="0" borderId="0" xfId="0" applyFont="1" applyAlignment="1">
      <alignment horizontal="left" vertical="top" wrapText="1"/>
    </xf>
    <xf numFmtId="0" fontId="5" fillId="0" borderId="0" xfId="0" applyFont="1" applyAlignment="1">
      <alignment vertical="center" wrapText="1"/>
    </xf>
    <xf numFmtId="42" fontId="4" fillId="0" borderId="0" xfId="1" applyNumberFormat="1" applyFont="1" applyBorder="1"/>
    <xf numFmtId="0" fontId="4" fillId="0" borderId="0" xfId="0" quotePrefix="1" applyFont="1" applyAlignment="1">
      <alignment horizontal="left" vertical="top" wrapText="1"/>
    </xf>
    <xf numFmtId="0" fontId="5" fillId="0" borderId="18" xfId="0" applyFont="1" applyBorder="1" applyAlignment="1">
      <alignment horizontal="center" vertical="center" wrapText="1"/>
    </xf>
    <xf numFmtId="41" fontId="5" fillId="0" borderId="19" xfId="0" applyNumberFormat="1" applyFont="1" applyBorder="1" applyAlignment="1">
      <alignment horizontal="center" vertical="center" wrapText="1"/>
    </xf>
    <xf numFmtId="10" fontId="4" fillId="0" borderId="0" xfId="2" applyNumberFormat="1" applyFont="1" applyBorder="1"/>
    <xf numFmtId="0" fontId="4" fillId="0" borderId="0" xfId="0" quotePrefix="1" applyFont="1" applyAlignment="1">
      <alignment wrapText="1"/>
    </xf>
    <xf numFmtId="0" fontId="7" fillId="0" borderId="0" xfId="0" applyFont="1" applyAlignment="1">
      <alignment vertical="top" wrapText="1"/>
    </xf>
    <xf numFmtId="0" fontId="5" fillId="0" borderId="9" xfId="0" applyFont="1" applyBorder="1" applyAlignment="1">
      <alignment vertical="top"/>
    </xf>
    <xf numFmtId="38" fontId="4" fillId="0" borderId="0" xfId="0" quotePrefix="1" applyNumberFormat="1" applyFont="1" applyAlignment="1">
      <alignment horizontal="center"/>
    </xf>
    <xf numFmtId="0" fontId="6" fillId="0" borderId="0" xfId="0" applyFont="1" applyAlignment="1">
      <alignment horizontal="center"/>
    </xf>
    <xf numFmtId="164" fontId="4" fillId="0" borderId="0" xfId="1" applyNumberFormat="1" applyFont="1" applyBorder="1" applyAlignment="1">
      <alignment horizontal="center"/>
    </xf>
    <xf numFmtId="164" fontId="4" fillId="0" borderId="0" xfId="1" applyNumberFormat="1" applyFont="1" applyFill="1" applyBorder="1" applyAlignment="1">
      <alignment horizontal="center"/>
    </xf>
    <xf numFmtId="10" fontId="4" fillId="0" borderId="0" xfId="0" applyNumberFormat="1" applyFont="1" applyAlignment="1">
      <alignment horizontal="center"/>
    </xf>
    <xf numFmtId="10" fontId="4" fillId="0" borderId="5" xfId="0" applyNumberFormat="1" applyFont="1" applyBorder="1" applyAlignment="1">
      <alignment horizontal="center"/>
    </xf>
    <xf numFmtId="164" fontId="4" fillId="0" borderId="7" xfId="1" applyNumberFormat="1" applyFont="1" applyBorder="1" applyAlignment="1">
      <alignment horizontal="center"/>
    </xf>
    <xf numFmtId="6" fontId="4" fillId="0" borderId="0" xfId="0" applyNumberFormat="1" applyFont="1" applyAlignment="1">
      <alignment horizontal="center"/>
    </xf>
    <xf numFmtId="10" fontId="4" fillId="2" borderId="3" xfId="0" quotePrefix="1" applyNumberFormat="1" applyFont="1" applyFill="1" applyBorder="1"/>
    <xf numFmtId="10" fontId="4" fillId="2" borderId="5" xfId="0" quotePrefix="1" applyNumberFormat="1" applyFont="1" applyFill="1" applyBorder="1"/>
    <xf numFmtId="10" fontId="4" fillId="2" borderId="8" xfId="0" applyNumberFormat="1" applyFont="1" applyFill="1" applyBorder="1"/>
    <xf numFmtId="10" fontId="4" fillId="2" borderId="11" xfId="0" quotePrefix="1" applyNumberFormat="1" applyFont="1" applyFill="1" applyBorder="1"/>
    <xf numFmtId="10" fontId="4" fillId="2" borderId="12" xfId="0" quotePrefix="1" applyNumberFormat="1" applyFont="1" applyFill="1" applyBorder="1"/>
    <xf numFmtId="10" fontId="4" fillId="2" borderId="13" xfId="0" applyNumberFormat="1" applyFont="1" applyFill="1" applyBorder="1"/>
    <xf numFmtId="10" fontId="5" fillId="2" borderId="13" xfId="0" quotePrefix="1" applyNumberFormat="1" applyFont="1" applyFill="1" applyBorder="1"/>
    <xf numFmtId="10" fontId="5" fillId="2" borderId="8" xfId="0" quotePrefix="1" applyNumberFormat="1" applyFont="1" applyFill="1" applyBorder="1"/>
    <xf numFmtId="10" fontId="5" fillId="2" borderId="11" xfId="0" quotePrefix="1" applyNumberFormat="1" applyFont="1" applyFill="1" applyBorder="1"/>
    <xf numFmtId="10" fontId="5" fillId="2" borderId="8" xfId="0" applyNumberFormat="1" applyFont="1" applyFill="1" applyBorder="1"/>
    <xf numFmtId="10" fontId="5" fillId="2" borderId="12" xfId="0" quotePrefix="1" applyNumberFormat="1" applyFont="1" applyFill="1" applyBorder="1"/>
    <xf numFmtId="10" fontId="5" fillId="2" borderId="5" xfId="0" quotePrefix="1" applyNumberFormat="1" applyFont="1" applyFill="1" applyBorder="1"/>
    <xf numFmtId="0" fontId="4" fillId="0" borderId="2" xfId="0" applyFont="1" applyBorder="1" applyAlignment="1">
      <alignment vertical="top" wrapText="1"/>
    </xf>
    <xf numFmtId="0" fontId="4" fillId="0" borderId="2" xfId="0" applyFont="1" applyBorder="1" applyAlignment="1">
      <alignment horizontal="center" vertical="center"/>
    </xf>
    <xf numFmtId="164" fontId="4" fillId="0" borderId="2" xfId="1" applyNumberFormat="1" applyFont="1" applyBorder="1" applyAlignment="1">
      <alignment horizontal="center"/>
    </xf>
    <xf numFmtId="164" fontId="4" fillId="0" borderId="2" xfId="1" applyNumberFormat="1" applyFont="1" applyFill="1" applyBorder="1" applyAlignment="1">
      <alignment horizontal="center"/>
    </xf>
    <xf numFmtId="10" fontId="4" fillId="0" borderId="3" xfId="0" applyNumberFormat="1" applyFont="1" applyBorder="1" applyAlignment="1">
      <alignment horizontal="center"/>
    </xf>
    <xf numFmtId="10" fontId="4" fillId="0" borderId="7" xfId="0" applyNumberFormat="1" applyFont="1" applyBorder="1" applyAlignment="1">
      <alignment horizontal="center"/>
    </xf>
    <xf numFmtId="10" fontId="5" fillId="0" borderId="8" xfId="0" quotePrefix="1" applyNumberFormat="1" applyFont="1" applyBorder="1"/>
    <xf numFmtId="10" fontId="4" fillId="0" borderId="3" xfId="0" quotePrefix="1" applyNumberFormat="1" applyFont="1" applyBorder="1"/>
    <xf numFmtId="10" fontId="4" fillId="0" borderId="5" xfId="0" quotePrefix="1" applyNumberFormat="1" applyFont="1" applyBorder="1"/>
    <xf numFmtId="10" fontId="5" fillId="6" borderId="5" xfId="0" quotePrefix="1" applyNumberFormat="1" applyFont="1" applyFill="1" applyBorder="1"/>
    <xf numFmtId="10" fontId="4" fillId="2" borderId="13" xfId="0" quotePrefix="1" applyNumberFormat="1" applyFont="1" applyFill="1" applyBorder="1"/>
    <xf numFmtId="10" fontId="5" fillId="0" borderId="2" xfId="0" applyNumberFormat="1" applyFont="1" applyBorder="1" applyAlignment="1">
      <alignment horizontal="center"/>
    </xf>
    <xf numFmtId="10" fontId="5" fillId="6" borderId="7" xfId="0" applyNumberFormat="1" applyFont="1" applyFill="1" applyBorder="1" applyAlignment="1">
      <alignment horizontal="center"/>
    </xf>
    <xf numFmtId="10" fontId="5" fillId="5" borderId="8" xfId="0" applyNumberFormat="1" applyFont="1" applyFill="1" applyBorder="1" applyAlignment="1">
      <alignment horizontal="center"/>
    </xf>
    <xf numFmtId="10" fontId="5" fillId="6" borderId="3" xfId="0" applyNumberFormat="1" applyFont="1" applyFill="1" applyBorder="1" applyAlignment="1">
      <alignment horizontal="center"/>
    </xf>
    <xf numFmtId="10" fontId="5" fillId="0" borderId="5" xfId="0" applyNumberFormat="1" applyFont="1" applyBorder="1" applyAlignment="1">
      <alignment horizontal="center"/>
    </xf>
    <xf numFmtId="10" fontId="5" fillId="6" borderId="5" xfId="0" applyNumberFormat="1" applyFont="1" applyFill="1" applyBorder="1" applyAlignment="1">
      <alignment horizontal="center"/>
    </xf>
    <xf numFmtId="10" fontId="5" fillId="6" borderId="8" xfId="0" applyNumberFormat="1" applyFont="1" applyFill="1" applyBorder="1" applyAlignment="1">
      <alignment horizontal="center"/>
    </xf>
    <xf numFmtId="10" fontId="5" fillId="6" borderId="0" xfId="0" applyNumberFormat="1" applyFont="1" applyFill="1" applyAlignment="1">
      <alignment horizontal="center"/>
    </xf>
    <xf numFmtId="10" fontId="5" fillId="0" borderId="0" xfId="0" applyNumberFormat="1" applyFont="1" applyAlignment="1">
      <alignment horizontal="center"/>
    </xf>
    <xf numFmtId="0" fontId="5" fillId="0" borderId="19" xfId="0" applyFont="1" applyBorder="1" applyAlignment="1">
      <alignment horizontal="center" vertical="center" wrapText="1"/>
    </xf>
    <xf numFmtId="0" fontId="5" fillId="0" borderId="15" xfId="0" applyFont="1" applyBorder="1" applyAlignment="1">
      <alignment vertical="center"/>
    </xf>
    <xf numFmtId="0" fontId="5" fillId="0" borderId="16" xfId="0" applyFont="1" applyBorder="1" applyAlignment="1">
      <alignment vertical="center"/>
    </xf>
    <xf numFmtId="0" fontId="5" fillId="7" borderId="19"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0" borderId="25" xfId="0" applyFont="1" applyBorder="1" applyAlignment="1">
      <alignment horizontal="center" vertical="center" wrapText="1"/>
    </xf>
    <xf numFmtId="0" fontId="5" fillId="7" borderId="18"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20" xfId="0" applyFont="1" applyFill="1" applyBorder="1" applyAlignment="1">
      <alignment horizontal="center" vertical="center" wrapText="1"/>
    </xf>
    <xf numFmtId="42" fontId="5" fillId="0" borderId="25" xfId="0" applyNumberFormat="1" applyFont="1" applyBorder="1" applyAlignment="1">
      <alignment horizontal="center" vertical="center" wrapText="1"/>
    </xf>
    <xf numFmtId="0" fontId="4" fillId="0" borderId="0" xfId="0" applyFont="1" applyAlignment="1">
      <alignment vertical="center" wrapText="1"/>
    </xf>
    <xf numFmtId="10" fontId="4" fillId="0" borderId="11" xfId="0" quotePrefix="1" applyNumberFormat="1" applyFont="1" applyBorder="1"/>
    <xf numFmtId="10" fontId="2" fillId="6" borderId="5" xfId="0" applyNumberFormat="1" applyFont="1" applyFill="1" applyBorder="1" applyAlignment="1">
      <alignment horizontal="center"/>
    </xf>
    <xf numFmtId="10" fontId="0" fillId="0" borderId="3" xfId="0" applyNumberFormat="1" applyBorder="1" applyAlignment="1">
      <alignment horizontal="center"/>
    </xf>
    <xf numFmtId="0" fontId="12" fillId="0" borderId="0" xfId="0" applyFont="1"/>
    <xf numFmtId="0" fontId="5" fillId="0" borderId="9" xfId="0" applyFont="1" applyBorder="1" applyAlignment="1">
      <alignment horizontal="left" vertical="top"/>
    </xf>
    <xf numFmtId="0" fontId="14" fillId="2" borderId="9" xfId="0" applyFont="1" applyFill="1" applyBorder="1" applyAlignment="1">
      <alignment horizontal="center" vertical="center"/>
    </xf>
    <xf numFmtId="0" fontId="14" fillId="0" borderId="9" xfId="0" applyFont="1" applyBorder="1" applyAlignment="1">
      <alignment horizontal="center"/>
    </xf>
    <xf numFmtId="0" fontId="14" fillId="4" borderId="9" xfId="0" applyFont="1" applyFill="1" applyBorder="1" applyAlignment="1">
      <alignment horizontal="center" vertical="center"/>
    </xf>
    <xf numFmtId="0" fontId="16" fillId="12" borderId="9" xfId="0" applyFont="1" applyFill="1" applyBorder="1" applyAlignment="1">
      <alignment vertical="top" wrapText="1"/>
    </xf>
    <xf numFmtId="0" fontId="16" fillId="11" borderId="9" xfId="0" applyFont="1" applyFill="1" applyBorder="1"/>
    <xf numFmtId="0" fontId="14" fillId="11" borderId="9" xfId="0" applyFont="1" applyFill="1" applyBorder="1"/>
    <xf numFmtId="0" fontId="16" fillId="12" borderId="9" xfId="0" applyFont="1" applyFill="1" applyBorder="1" applyAlignment="1">
      <alignment horizontal="left" vertical="top" wrapText="1"/>
    </xf>
    <xf numFmtId="0" fontId="16" fillId="11" borderId="9" xfId="0" applyFont="1" applyFill="1" applyBorder="1" applyAlignment="1">
      <alignment vertical="top" wrapText="1"/>
    </xf>
    <xf numFmtId="0" fontId="14" fillId="11" borderId="9" xfId="0" applyFont="1" applyFill="1" applyBorder="1" applyAlignment="1">
      <alignment vertical="top" wrapText="1"/>
    </xf>
    <xf numFmtId="0" fontId="16" fillId="11" borderId="9" xfId="0" applyFont="1" applyFill="1" applyBorder="1" applyAlignment="1">
      <alignment vertical="top"/>
    </xf>
    <xf numFmtId="0" fontId="17" fillId="0" borderId="9" xfId="0" applyFont="1" applyBorder="1" applyAlignment="1">
      <alignment vertical="top" wrapText="1"/>
    </xf>
    <xf numFmtId="0" fontId="15" fillId="0" borderId="9" xfId="0" applyFont="1" applyBorder="1" applyAlignment="1">
      <alignment vertical="top" wrapText="1"/>
    </xf>
    <xf numFmtId="14" fontId="23" fillId="0" borderId="9" xfId="0" quotePrefix="1" applyNumberFormat="1" applyFont="1" applyBorder="1" applyAlignment="1">
      <alignment vertical="top" wrapText="1"/>
    </xf>
    <xf numFmtId="0" fontId="23" fillId="0" borderId="9" xfId="0" applyFont="1" applyBorder="1" applyAlignment="1">
      <alignment vertical="top" wrapText="1"/>
    </xf>
    <xf numFmtId="0" fontId="22" fillId="0" borderId="9" xfId="0" applyFont="1" applyBorder="1" applyAlignment="1">
      <alignment vertical="top" wrapText="1"/>
    </xf>
    <xf numFmtId="0" fontId="23" fillId="0" borderId="9" xfId="0" applyFont="1" applyBorder="1" applyAlignment="1">
      <alignment vertical="top"/>
    </xf>
    <xf numFmtId="0" fontId="14" fillId="12" borderId="9" xfId="0" applyFont="1" applyFill="1" applyBorder="1" applyAlignment="1">
      <alignment horizontal="left" vertical="top" wrapText="1"/>
    </xf>
    <xf numFmtId="0" fontId="18" fillId="0" borderId="9" xfId="0" quotePrefix="1" applyFont="1" applyBorder="1" applyAlignment="1">
      <alignment vertical="top" wrapText="1"/>
    </xf>
    <xf numFmtId="0" fontId="15" fillId="0" borderId="9" xfId="0" quotePrefix="1" applyFont="1" applyBorder="1" applyAlignment="1">
      <alignment vertical="top" wrapText="1"/>
    </xf>
    <xf numFmtId="0" fontId="14" fillId="0" borderId="9" xfId="0" quotePrefix="1" applyFont="1" applyBorder="1" applyAlignment="1">
      <alignment vertical="top" wrapText="1"/>
    </xf>
    <xf numFmtId="0" fontId="15" fillId="0" borderId="9" xfId="0" quotePrefix="1" applyFont="1" applyBorder="1" applyAlignment="1">
      <alignment horizontal="left" vertical="top" wrapText="1"/>
    </xf>
    <xf numFmtId="0" fontId="22" fillId="0" borderId="9" xfId="0" applyFont="1" applyBorder="1" applyAlignment="1">
      <alignment horizontal="left" vertical="top" wrapText="1"/>
    </xf>
    <xf numFmtId="0" fontId="14" fillId="12" borderId="9" xfId="0" applyFont="1" applyFill="1" applyBorder="1" applyAlignment="1">
      <alignment vertical="top"/>
    </xf>
    <xf numFmtId="0" fontId="23" fillId="0" borderId="0" xfId="0" applyFont="1"/>
    <xf numFmtId="0" fontId="14" fillId="12" borderId="27" xfId="0" applyFont="1" applyFill="1" applyBorder="1"/>
    <xf numFmtId="0" fontId="14" fillId="12" borderId="26" xfId="0" applyFont="1" applyFill="1" applyBorder="1"/>
    <xf numFmtId="0" fontId="14" fillId="12" borderId="32" xfId="0" applyFont="1" applyFill="1" applyBorder="1"/>
    <xf numFmtId="0" fontId="25" fillId="0" borderId="9" xfId="0" quotePrefix="1" applyFont="1" applyBorder="1" applyAlignment="1">
      <alignment vertical="top" wrapText="1"/>
    </xf>
    <xf numFmtId="0" fontId="14" fillId="0" borderId="0" xfId="0" applyFont="1" applyAlignment="1">
      <alignment horizontal="center"/>
    </xf>
    <xf numFmtId="0" fontId="15" fillId="2" borderId="0" xfId="0" applyFont="1" applyFill="1" applyAlignment="1">
      <alignment horizontal="center" vertical="center"/>
    </xf>
    <xf numFmtId="0" fontId="15" fillId="0" borderId="0" xfId="0" applyFont="1"/>
    <xf numFmtId="0" fontId="15" fillId="0" borderId="0" xfId="0" applyFont="1" applyAlignment="1">
      <alignment horizontal="center" vertical="center"/>
    </xf>
    <xf numFmtId="0" fontId="14" fillId="3" borderId="9" xfId="0" applyFont="1" applyFill="1" applyBorder="1" applyAlignment="1">
      <alignment horizontal="center" vertical="center"/>
    </xf>
    <xf numFmtId="0" fontId="4" fillId="13" borderId="9" xfId="0" applyFont="1" applyFill="1" applyBorder="1" applyAlignment="1">
      <alignment horizontal="center" vertical="center"/>
    </xf>
    <xf numFmtId="0" fontId="14" fillId="0" borderId="0" xfId="0" applyFont="1"/>
    <xf numFmtId="0" fontId="35" fillId="0" borderId="0" xfId="0" applyFont="1"/>
    <xf numFmtId="0" fontId="35" fillId="0" borderId="0" xfId="0" applyFont="1" applyAlignment="1">
      <alignment horizontal="center"/>
    </xf>
    <xf numFmtId="0" fontId="14" fillId="5" borderId="0" xfId="0" applyFont="1" applyFill="1"/>
    <xf numFmtId="0" fontId="14" fillId="6" borderId="0" xfId="0" applyFont="1" applyFill="1"/>
    <xf numFmtId="0" fontId="14" fillId="0" borderId="0" xfId="0" applyFont="1" applyAlignment="1">
      <alignment vertical="center" wrapText="1"/>
    </xf>
    <xf numFmtId="0" fontId="15" fillId="0" borderId="0" xfId="0" applyFont="1" applyAlignment="1">
      <alignment wrapText="1"/>
    </xf>
    <xf numFmtId="0" fontId="14" fillId="0" borderId="15" xfId="0" applyFont="1" applyBorder="1" applyAlignment="1">
      <alignment vertical="center"/>
    </xf>
    <xf numFmtId="0" fontId="14" fillId="0" borderId="16" xfId="0" applyFont="1" applyBorder="1" applyAlignment="1">
      <alignment vertical="center"/>
    </xf>
    <xf numFmtId="0" fontId="14" fillId="0" borderId="18" xfId="0" applyFont="1" applyBorder="1" applyAlignment="1">
      <alignment horizontal="center" vertical="center" wrapText="1"/>
    </xf>
    <xf numFmtId="41" fontId="14" fillId="0" borderId="33" xfId="0" applyNumberFormat="1" applyFont="1" applyBorder="1" applyAlignment="1">
      <alignment horizontal="center" vertical="center" wrapText="1"/>
    </xf>
    <xf numFmtId="0" fontId="14" fillId="0" borderId="34" xfId="0" applyFont="1" applyBorder="1" applyAlignment="1">
      <alignment horizontal="center" vertical="center" wrapText="1"/>
    </xf>
    <xf numFmtId="0" fontId="14" fillId="9" borderId="35" xfId="0" applyFont="1" applyFill="1" applyBorder="1" applyAlignment="1">
      <alignment horizontal="center" vertical="center" wrapText="1"/>
    </xf>
    <xf numFmtId="0" fontId="14" fillId="7" borderId="33" xfId="0" applyFont="1" applyFill="1" applyBorder="1" applyAlignment="1">
      <alignment horizontal="center" vertical="center" wrapText="1"/>
    </xf>
    <xf numFmtId="0" fontId="14" fillId="9" borderId="33" xfId="0" applyFont="1" applyFill="1" applyBorder="1" applyAlignment="1">
      <alignment horizontal="center" vertical="center" wrapText="1"/>
    </xf>
    <xf numFmtId="0" fontId="14" fillId="9" borderId="36" xfId="0" applyFont="1" applyFill="1" applyBorder="1" applyAlignment="1">
      <alignment horizontal="center" vertical="center" wrapText="1"/>
    </xf>
    <xf numFmtId="0" fontId="14" fillId="9" borderId="37" xfId="0" applyFont="1" applyFill="1" applyBorder="1" applyAlignment="1">
      <alignment horizontal="center" vertical="center" wrapText="1"/>
    </xf>
    <xf numFmtId="0" fontId="14" fillId="4" borderId="33" xfId="0" applyFont="1" applyFill="1" applyBorder="1" applyAlignment="1">
      <alignment horizontal="center" vertical="center" wrapText="1"/>
    </xf>
    <xf numFmtId="0" fontId="14" fillId="4" borderId="36" xfId="0" applyFont="1" applyFill="1" applyBorder="1" applyAlignment="1">
      <alignment horizontal="center" vertical="center" wrapText="1"/>
    </xf>
    <xf numFmtId="0" fontId="14" fillId="4" borderId="35" xfId="0" applyFont="1" applyFill="1" applyBorder="1" applyAlignment="1">
      <alignment horizontal="center" vertical="center" wrapText="1"/>
    </xf>
    <xf numFmtId="0" fontId="15" fillId="0" borderId="0" xfId="0" applyFont="1" applyAlignment="1">
      <alignment horizontal="center" vertical="center" wrapText="1"/>
    </xf>
    <xf numFmtId="0" fontId="15" fillId="0" borderId="1" xfId="0" applyFont="1" applyBorder="1"/>
    <xf numFmtId="0" fontId="15" fillId="0" borderId="2" xfId="0" applyFont="1" applyBorder="1" applyAlignment="1">
      <alignment horizontal="center" vertical="center"/>
    </xf>
    <xf numFmtId="164" fontId="15" fillId="0" borderId="2" xfId="1" applyNumberFormat="1" applyFont="1" applyBorder="1" applyAlignment="1">
      <alignment horizontal="center"/>
    </xf>
    <xf numFmtId="164" fontId="15" fillId="0" borderId="0" xfId="1" applyNumberFormat="1" applyFont="1" applyBorder="1" applyAlignment="1">
      <alignment horizontal="center"/>
    </xf>
    <xf numFmtId="164" fontId="15" fillId="0" borderId="0" xfId="1" applyNumberFormat="1" applyFont="1" applyFill="1" applyBorder="1" applyAlignment="1">
      <alignment horizontal="center"/>
    </xf>
    <xf numFmtId="164" fontId="15" fillId="0" borderId="2" xfId="1" applyNumberFormat="1" applyFont="1" applyFill="1" applyBorder="1" applyAlignment="1">
      <alignment horizontal="center"/>
    </xf>
    <xf numFmtId="10" fontId="14" fillId="0" borderId="2" xfId="0" applyNumberFormat="1" applyFont="1" applyBorder="1" applyAlignment="1">
      <alignment horizontal="center"/>
    </xf>
    <xf numFmtId="10" fontId="23" fillId="0" borderId="3" xfId="0" applyNumberFormat="1" applyFont="1" applyBorder="1" applyAlignment="1">
      <alignment horizontal="center"/>
    </xf>
    <xf numFmtId="0" fontId="15" fillId="0" borderId="4" xfId="0" applyFont="1" applyBorder="1"/>
    <xf numFmtId="0" fontId="15" fillId="0" borderId="0" xfId="0" applyFont="1" applyAlignment="1">
      <alignment horizontal="center"/>
    </xf>
    <xf numFmtId="10" fontId="15" fillId="0" borderId="0" xfId="0" applyNumberFormat="1" applyFont="1" applyAlignment="1">
      <alignment horizontal="center"/>
    </xf>
    <xf numFmtId="10" fontId="16" fillId="6" borderId="5" xfId="0" applyNumberFormat="1" applyFont="1" applyFill="1" applyBorder="1" applyAlignment="1">
      <alignment horizontal="center"/>
    </xf>
    <xf numFmtId="0" fontId="15" fillId="0" borderId="6" xfId="0" applyFont="1" applyBorder="1"/>
    <xf numFmtId="0" fontId="15" fillId="0" borderId="7" xfId="0" applyFont="1" applyBorder="1" applyAlignment="1">
      <alignment horizontal="center" vertical="center"/>
    </xf>
    <xf numFmtId="164" fontId="15" fillId="0" borderId="7" xfId="1" applyNumberFormat="1" applyFont="1" applyBorder="1" applyAlignment="1">
      <alignment horizontal="center"/>
    </xf>
    <xf numFmtId="10" fontId="14" fillId="6" borderId="7" xfId="0" applyNumberFormat="1" applyFont="1" applyFill="1" applyBorder="1" applyAlignment="1">
      <alignment horizontal="center"/>
    </xf>
    <xf numFmtId="10" fontId="14" fillId="5" borderId="8" xfId="0" applyNumberFormat="1" applyFont="1" applyFill="1" applyBorder="1" applyAlignment="1">
      <alignment horizontal="center"/>
    </xf>
    <xf numFmtId="164" fontId="15" fillId="0" borderId="0" xfId="1" applyNumberFormat="1" applyFont="1" applyBorder="1"/>
    <xf numFmtId="10" fontId="15" fillId="0" borderId="0" xfId="0" applyNumberFormat="1" applyFont="1"/>
    <xf numFmtId="41" fontId="14" fillId="0" borderId="19" xfId="0" applyNumberFormat="1" applyFont="1" applyBorder="1" applyAlignment="1">
      <alignment horizontal="center" vertical="center" wrapText="1"/>
    </xf>
    <xf numFmtId="0" fontId="14" fillId="0" borderId="25" xfId="0" applyFont="1" applyBorder="1" applyAlignment="1">
      <alignment horizontal="center" vertical="center" wrapText="1"/>
    </xf>
    <xf numFmtId="0" fontId="14" fillId="7" borderId="18" xfId="0" applyFont="1" applyFill="1" applyBorder="1" applyAlignment="1">
      <alignment horizontal="center" vertical="center" wrapText="1"/>
    </xf>
    <xf numFmtId="0" fontId="14" fillId="7" borderId="19"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14" fillId="4" borderId="18" xfId="0" applyFont="1" applyFill="1" applyBorder="1" applyAlignment="1">
      <alignment horizontal="center" vertical="center" wrapText="1"/>
    </xf>
    <xf numFmtId="0" fontId="14" fillId="4" borderId="19" xfId="0" applyFont="1" applyFill="1" applyBorder="1" applyAlignment="1">
      <alignment horizontal="center" vertical="center" wrapText="1"/>
    </xf>
    <xf numFmtId="0" fontId="14" fillId="4" borderId="20" xfId="0" applyFont="1" applyFill="1" applyBorder="1" applyAlignment="1">
      <alignment horizontal="center" vertical="center" wrapText="1"/>
    </xf>
    <xf numFmtId="10" fontId="14" fillId="6" borderId="3" xfId="0" applyNumberFormat="1" applyFont="1" applyFill="1" applyBorder="1" applyAlignment="1">
      <alignment horizontal="center"/>
    </xf>
    <xf numFmtId="10" fontId="15" fillId="0" borderId="5" xfId="0" applyNumberFormat="1" applyFont="1" applyBorder="1" applyAlignment="1">
      <alignment horizontal="center"/>
    </xf>
    <xf numFmtId="164" fontId="15" fillId="0" borderId="7" xfId="1" applyNumberFormat="1" applyFont="1" applyFill="1" applyBorder="1" applyAlignment="1">
      <alignment horizontal="center"/>
    </xf>
    <xf numFmtId="6" fontId="15" fillId="0" borderId="0" xfId="0" applyNumberFormat="1" applyFont="1"/>
    <xf numFmtId="6" fontId="15" fillId="0" borderId="0" xfId="0" applyNumberFormat="1" applyFont="1" applyAlignment="1">
      <alignment horizontal="center"/>
    </xf>
    <xf numFmtId="0" fontId="15" fillId="0" borderId="0" xfId="0" applyFont="1" applyAlignment="1">
      <alignment vertical="center" wrapText="1"/>
    </xf>
    <xf numFmtId="0" fontId="15" fillId="0" borderId="0" xfId="0" applyFont="1" applyAlignment="1">
      <alignment horizontal="left" vertical="top" wrapText="1"/>
    </xf>
    <xf numFmtId="0" fontId="15" fillId="0" borderId="0" xfId="0" quotePrefix="1" applyFont="1" applyAlignment="1">
      <alignment horizontal="left" vertical="top" wrapText="1"/>
    </xf>
    <xf numFmtId="10" fontId="15" fillId="0" borderId="3" xfId="0" applyNumberFormat="1" applyFont="1" applyBorder="1" applyAlignment="1">
      <alignment horizontal="center"/>
    </xf>
    <xf numFmtId="10" fontId="14" fillId="6" borderId="5" xfId="0" applyNumberFormat="1" applyFont="1" applyFill="1" applyBorder="1" applyAlignment="1">
      <alignment horizontal="center"/>
    </xf>
    <xf numFmtId="10" fontId="14" fillId="6" borderId="0" xfId="0" applyNumberFormat="1" applyFont="1" applyFill="1" applyAlignment="1">
      <alignment horizontal="center"/>
    </xf>
    <xf numFmtId="10" fontId="14" fillId="0" borderId="5" xfId="0" applyNumberFormat="1" applyFont="1" applyBorder="1" applyAlignment="1">
      <alignment horizontal="center"/>
    </xf>
    <xf numFmtId="10" fontId="15" fillId="0" borderId="7" xfId="0" applyNumberFormat="1" applyFont="1" applyBorder="1" applyAlignment="1">
      <alignment horizontal="center"/>
    </xf>
    <xf numFmtId="10" fontId="14" fillId="6" borderId="8" xfId="0" applyNumberFormat="1" applyFont="1" applyFill="1" applyBorder="1" applyAlignment="1">
      <alignment horizontal="center"/>
    </xf>
    <xf numFmtId="10" fontId="14" fillId="0" borderId="0" xfId="0" applyNumberFormat="1" applyFont="1" applyAlignment="1">
      <alignment horizontal="center"/>
    </xf>
    <xf numFmtId="164" fontId="23" fillId="0" borderId="7" xfId="1" applyNumberFormat="1" applyFont="1" applyBorder="1" applyAlignment="1">
      <alignment horizontal="center"/>
    </xf>
    <xf numFmtId="10" fontId="16" fillId="0" borderId="5" xfId="0" applyNumberFormat="1" applyFont="1" applyBorder="1" applyAlignment="1">
      <alignment horizontal="center"/>
    </xf>
    <xf numFmtId="10" fontId="23" fillId="0" borderId="5" xfId="0" applyNumberFormat="1" applyFont="1" applyBorder="1" applyAlignment="1">
      <alignment horizontal="center"/>
    </xf>
    <xf numFmtId="164" fontId="15" fillId="0" borderId="0" xfId="0" applyNumberFormat="1" applyFont="1"/>
    <xf numFmtId="10" fontId="16" fillId="6" borderId="0" xfId="0" applyNumberFormat="1" applyFont="1" applyFill="1" applyAlignment="1">
      <alignment horizontal="center"/>
    </xf>
    <xf numFmtId="0" fontId="14" fillId="0" borderId="19" xfId="0" applyFont="1" applyBorder="1" applyAlignment="1">
      <alignment horizontal="center" vertical="center" wrapText="1"/>
    </xf>
    <xf numFmtId="42" fontId="14" fillId="0" borderId="25" xfId="0" applyNumberFormat="1" applyFont="1" applyBorder="1" applyAlignment="1">
      <alignment horizontal="center" vertical="center" wrapText="1"/>
    </xf>
    <xf numFmtId="0" fontId="14" fillId="7" borderId="20"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5" fillId="0" borderId="2" xfId="0" applyFont="1" applyBorder="1" applyAlignment="1">
      <alignment horizontal="center"/>
    </xf>
    <xf numFmtId="164" fontId="15" fillId="0" borderId="2" xfId="1" applyNumberFormat="1" applyFont="1" applyBorder="1"/>
    <xf numFmtId="164" fontId="15" fillId="0" borderId="2" xfId="1" applyNumberFormat="1" applyFont="1" applyFill="1" applyBorder="1"/>
    <xf numFmtId="10" fontId="14" fillId="2" borderId="11" xfId="0" quotePrefix="1" applyNumberFormat="1" applyFont="1" applyFill="1" applyBorder="1"/>
    <xf numFmtId="10" fontId="15" fillId="0" borderId="3" xfId="0" quotePrefix="1" applyNumberFormat="1" applyFont="1" applyBorder="1"/>
    <xf numFmtId="164" fontId="15" fillId="0" borderId="0" xfId="1" applyNumberFormat="1" applyFont="1" applyFill="1" applyBorder="1"/>
    <xf numFmtId="10" fontId="15" fillId="2" borderId="12" xfId="0" quotePrefix="1" applyNumberFormat="1" applyFont="1" applyFill="1" applyBorder="1"/>
    <xf numFmtId="10" fontId="14" fillId="6" borderId="5" xfId="0" quotePrefix="1" applyNumberFormat="1" applyFont="1" applyFill="1" applyBorder="1"/>
    <xf numFmtId="10" fontId="15" fillId="0" borderId="5" xfId="0" quotePrefix="1" applyNumberFormat="1" applyFont="1" applyBorder="1"/>
    <xf numFmtId="42" fontId="15" fillId="0" borderId="0" xfId="1" applyNumberFormat="1" applyFont="1" applyBorder="1"/>
    <xf numFmtId="164" fontId="15" fillId="0" borderId="7" xfId="1" applyNumberFormat="1" applyFont="1" applyBorder="1"/>
    <xf numFmtId="10" fontId="14" fillId="2" borderId="13" xfId="0" quotePrefix="1" applyNumberFormat="1" applyFont="1" applyFill="1" applyBorder="1"/>
    <xf numFmtId="10" fontId="14" fillId="0" borderId="8" xfId="0" quotePrefix="1" applyNumberFormat="1" applyFont="1" applyBorder="1"/>
    <xf numFmtId="10" fontId="15" fillId="2" borderId="3" xfId="0" quotePrefix="1" applyNumberFormat="1" applyFont="1" applyFill="1" applyBorder="1"/>
    <xf numFmtId="10" fontId="14" fillId="2" borderId="5" xfId="0" quotePrefix="1" applyNumberFormat="1" applyFont="1" applyFill="1" applyBorder="1"/>
    <xf numFmtId="10" fontId="14" fillId="2" borderId="8" xfId="0" quotePrefix="1" applyNumberFormat="1" applyFont="1" applyFill="1" applyBorder="1"/>
    <xf numFmtId="10" fontId="14" fillId="2" borderId="12" xfId="0" quotePrefix="1" applyNumberFormat="1" applyFont="1" applyFill="1" applyBorder="1"/>
    <xf numFmtId="10" fontId="15" fillId="2" borderId="5" xfId="0" quotePrefix="1" applyNumberFormat="1" applyFont="1" applyFill="1" applyBorder="1"/>
    <xf numFmtId="10" fontId="15" fillId="2" borderId="13" xfId="0" applyNumberFormat="1" applyFont="1" applyFill="1" applyBorder="1"/>
    <xf numFmtId="10" fontId="14" fillId="2" borderId="8" xfId="0" applyNumberFormat="1" applyFont="1" applyFill="1" applyBorder="1"/>
    <xf numFmtId="0" fontId="15" fillId="0" borderId="0" xfId="0" applyFont="1" applyAlignment="1">
      <alignment vertical="top" wrapText="1"/>
    </xf>
    <xf numFmtId="0" fontId="24" fillId="0" borderId="0" xfId="0" applyFont="1"/>
    <xf numFmtId="10" fontId="15" fillId="0" borderId="0" xfId="0" applyNumberFormat="1" applyFont="1" applyAlignment="1">
      <alignment wrapText="1"/>
    </xf>
    <xf numFmtId="0" fontId="15" fillId="0" borderId="0" xfId="0" quotePrefix="1" applyFont="1" applyAlignment="1">
      <alignment wrapText="1"/>
    </xf>
    <xf numFmtId="164" fontId="15" fillId="0" borderId="7" xfId="1" applyNumberFormat="1" applyFont="1" applyFill="1" applyBorder="1"/>
    <xf numFmtId="10" fontId="15" fillId="0" borderId="0" xfId="2" applyNumberFormat="1" applyFont="1" applyBorder="1"/>
    <xf numFmtId="10" fontId="15" fillId="0" borderId="0" xfId="2" applyNumberFormat="1" applyFont="1" applyFill="1" applyBorder="1"/>
    <xf numFmtId="10" fontId="15" fillId="2" borderId="11" xfId="0" quotePrefix="1" applyNumberFormat="1" applyFont="1" applyFill="1" applyBorder="1"/>
    <xf numFmtId="0" fontId="24" fillId="0" borderId="0" xfId="0" applyFont="1" applyAlignment="1">
      <alignment vertical="top" wrapText="1"/>
    </xf>
    <xf numFmtId="10" fontId="15" fillId="2" borderId="13" xfId="0" quotePrefix="1" applyNumberFormat="1" applyFont="1" applyFill="1" applyBorder="1"/>
    <xf numFmtId="0" fontId="15" fillId="0" borderId="0" xfId="0" quotePrefix="1" applyFont="1" applyAlignment="1">
      <alignment vertical="top" wrapText="1"/>
    </xf>
    <xf numFmtId="10" fontId="15" fillId="0" borderId="11" xfId="0" quotePrefix="1" applyNumberFormat="1" applyFont="1" applyBorder="1"/>
    <xf numFmtId="0" fontId="15" fillId="0" borderId="2" xfId="0" applyFont="1" applyBorder="1" applyAlignment="1">
      <alignment vertical="top" wrapText="1"/>
    </xf>
    <xf numFmtId="10" fontId="15" fillId="2" borderId="8" xfId="0" applyNumberFormat="1" applyFont="1" applyFill="1" applyBorder="1"/>
    <xf numFmtId="38" fontId="15" fillId="0" borderId="2" xfId="0" quotePrefix="1" applyNumberFormat="1" applyFont="1" applyBorder="1" applyAlignment="1">
      <alignment horizontal="center" vertical="top"/>
    </xf>
    <xf numFmtId="164" fontId="15" fillId="0" borderId="2" xfId="1" quotePrefix="1" applyNumberFormat="1" applyFont="1" applyBorder="1"/>
    <xf numFmtId="0" fontId="15" fillId="0" borderId="0" xfId="0" applyFont="1" applyAlignment="1">
      <alignment horizontal="center" vertical="top"/>
    </xf>
    <xf numFmtId="164" fontId="15" fillId="0" borderId="0" xfId="1" quotePrefix="1" applyNumberFormat="1" applyFont="1" applyBorder="1"/>
    <xf numFmtId="38" fontId="15" fillId="0" borderId="0" xfId="0" quotePrefix="1" applyNumberFormat="1" applyFont="1" applyAlignment="1">
      <alignment horizontal="center" vertical="top"/>
    </xf>
    <xf numFmtId="0" fontId="15" fillId="0" borderId="7" xfId="0" applyFont="1" applyBorder="1" applyAlignment="1">
      <alignment horizontal="center" vertical="top"/>
    </xf>
    <xf numFmtId="38" fontId="15" fillId="0" borderId="2" xfId="0" quotePrefix="1" applyNumberFormat="1" applyFont="1" applyBorder="1" applyAlignment="1">
      <alignment horizontal="center"/>
    </xf>
    <xf numFmtId="38" fontId="15" fillId="0" borderId="0" xfId="0" quotePrefix="1" applyNumberFormat="1" applyFont="1" applyAlignment="1">
      <alignment horizontal="center"/>
    </xf>
    <xf numFmtId="164" fontId="23" fillId="0" borderId="2" xfId="1" applyNumberFormat="1" applyFont="1" applyBorder="1"/>
    <xf numFmtId="164" fontId="23" fillId="0" borderId="0" xfId="1" applyNumberFormat="1" applyFont="1" applyBorder="1"/>
    <xf numFmtId="10" fontId="16" fillId="0" borderId="11" xfId="0" quotePrefix="1" applyNumberFormat="1" applyFont="1" applyBorder="1"/>
    <xf numFmtId="10" fontId="16" fillId="2" borderId="3" xfId="0" quotePrefix="1" applyNumberFormat="1" applyFont="1" applyFill="1" applyBorder="1"/>
    <xf numFmtId="164" fontId="23" fillId="0" borderId="0" xfId="1" applyNumberFormat="1" applyFont="1" applyFill="1" applyBorder="1"/>
    <xf numFmtId="10" fontId="23" fillId="2" borderId="12" xfId="0" quotePrefix="1" applyNumberFormat="1" applyFont="1" applyFill="1" applyBorder="1"/>
    <xf numFmtId="10" fontId="23" fillId="2" borderId="5" xfId="0" quotePrefix="1" applyNumberFormat="1" applyFont="1" applyFill="1" applyBorder="1"/>
    <xf numFmtId="164" fontId="23" fillId="0" borderId="7" xfId="1" applyNumberFormat="1" applyFont="1" applyBorder="1"/>
    <xf numFmtId="10" fontId="23" fillId="2" borderId="8" xfId="0" applyNumberFormat="1" applyFont="1" applyFill="1" applyBorder="1"/>
    <xf numFmtId="10" fontId="16" fillId="2" borderId="11" xfId="0" quotePrefix="1" applyNumberFormat="1" applyFont="1" applyFill="1" applyBorder="1"/>
    <xf numFmtId="0" fontId="15" fillId="0" borderId="7" xfId="0" applyFont="1" applyBorder="1" applyAlignment="1">
      <alignment horizontal="center"/>
    </xf>
    <xf numFmtId="10" fontId="16" fillId="2" borderId="13" xfId="0" quotePrefix="1" applyNumberFormat="1" applyFont="1" applyFill="1" applyBorder="1"/>
    <xf numFmtId="10" fontId="16" fillId="2" borderId="8" xfId="0" quotePrefix="1" applyNumberFormat="1" applyFont="1" applyFill="1" applyBorder="1"/>
    <xf numFmtId="0" fontId="14" fillId="4" borderId="22" xfId="0" applyFont="1" applyFill="1" applyBorder="1" applyAlignment="1">
      <alignment horizontal="center" vertical="center" wrapText="1"/>
    </xf>
    <xf numFmtId="0" fontId="14" fillId="4" borderId="23" xfId="0" applyFont="1" applyFill="1" applyBorder="1" applyAlignment="1">
      <alignment horizontal="center" vertical="center" wrapText="1"/>
    </xf>
    <xf numFmtId="10" fontId="16" fillId="2" borderId="1" xfId="0" quotePrefix="1" applyNumberFormat="1" applyFont="1" applyFill="1" applyBorder="1"/>
    <xf numFmtId="10" fontId="23" fillId="2" borderId="4" xfId="0" quotePrefix="1" applyNumberFormat="1" applyFont="1" applyFill="1" applyBorder="1"/>
    <xf numFmtId="164" fontId="23" fillId="0" borderId="0" xfId="0" applyNumberFormat="1" applyFont="1"/>
    <xf numFmtId="10" fontId="16" fillId="2" borderId="4" xfId="0" quotePrefix="1" applyNumberFormat="1" applyFont="1" applyFill="1" applyBorder="1"/>
    <xf numFmtId="10" fontId="16" fillId="2" borderId="12" xfId="0" quotePrefix="1" applyNumberFormat="1" applyFont="1" applyFill="1" applyBorder="1"/>
    <xf numFmtId="164" fontId="23" fillId="0" borderId="7" xfId="1" applyNumberFormat="1" applyFont="1" applyFill="1" applyBorder="1"/>
    <xf numFmtId="10" fontId="23" fillId="2" borderId="6" xfId="0" quotePrefix="1" applyNumberFormat="1" applyFont="1" applyFill="1" applyBorder="1"/>
    <xf numFmtId="10" fontId="23" fillId="2" borderId="13" xfId="0" quotePrefix="1" applyNumberFormat="1" applyFont="1" applyFill="1" applyBorder="1"/>
    <xf numFmtId="10" fontId="16" fillId="2" borderId="5" xfId="0" quotePrefix="1" applyNumberFormat="1" applyFont="1" applyFill="1" applyBorder="1"/>
    <xf numFmtId="10" fontId="23" fillId="2" borderId="13" xfId="0" applyNumberFormat="1" applyFont="1" applyFill="1" applyBorder="1"/>
    <xf numFmtId="0" fontId="23" fillId="0" borderId="0" xfId="0" applyFont="1" applyAlignment="1">
      <alignment horizontal="left" vertical="top" wrapText="1"/>
    </xf>
    <xf numFmtId="164" fontId="15" fillId="0" borderId="7" xfId="1" quotePrefix="1" applyNumberFormat="1" applyFont="1" applyBorder="1"/>
    <xf numFmtId="10" fontId="14" fillId="2" borderId="1" xfId="0" quotePrefix="1" applyNumberFormat="1" applyFont="1" applyFill="1" applyBorder="1"/>
    <xf numFmtId="10" fontId="15" fillId="2" borderId="4" xfId="0" quotePrefix="1" applyNumberFormat="1" applyFont="1" applyFill="1" applyBorder="1"/>
    <xf numFmtId="10" fontId="14" fillId="2" borderId="4" xfId="0" quotePrefix="1" applyNumberFormat="1" applyFont="1" applyFill="1" applyBorder="1"/>
    <xf numFmtId="10" fontId="15" fillId="2" borderId="6" xfId="0" quotePrefix="1" applyNumberFormat="1" applyFont="1" applyFill="1" applyBorder="1"/>
    <xf numFmtId="0" fontId="23" fillId="2" borderId="0" xfId="4" applyFont="1" applyFill="1"/>
    <xf numFmtId="0" fontId="23" fillId="0" borderId="0" xfId="0" applyFont="1" applyAlignment="1">
      <alignment vertical="top"/>
    </xf>
    <xf numFmtId="0" fontId="30" fillId="0" borderId="0" xfId="0" applyFont="1" applyAlignment="1">
      <alignment vertical="top" wrapText="1"/>
    </xf>
    <xf numFmtId="10" fontId="15" fillId="0" borderId="9" xfId="0" applyNumberFormat="1" applyFont="1" applyBorder="1" applyAlignment="1">
      <alignment horizontal="left" vertical="top" wrapText="1"/>
    </xf>
    <xf numFmtId="6" fontId="15" fillId="0" borderId="9" xfId="0" quotePrefix="1" applyNumberFormat="1" applyFont="1" applyBorder="1" applyAlignment="1">
      <alignment horizontal="left" vertical="top" wrapText="1"/>
    </xf>
    <xf numFmtId="6" fontId="15" fillId="0" borderId="9" xfId="0" applyNumberFormat="1" applyFont="1" applyBorder="1" applyAlignment="1">
      <alignment horizontal="left" vertical="top" wrapText="1"/>
    </xf>
    <xf numFmtId="0" fontId="16" fillId="3" borderId="9" xfId="0" applyFont="1" applyFill="1" applyBorder="1" applyAlignment="1">
      <alignment horizontal="left" vertical="top" wrapText="1"/>
    </xf>
    <xf numFmtId="10" fontId="15" fillId="0" borderId="9" xfId="0" quotePrefix="1" applyNumberFormat="1" applyFont="1" applyBorder="1" applyAlignment="1">
      <alignment horizontal="left" vertical="top" wrapText="1"/>
    </xf>
    <xf numFmtId="0" fontId="15" fillId="0" borderId="9" xfId="0" applyFont="1" applyBorder="1" applyAlignment="1">
      <alignment horizontal="left" vertical="top" wrapText="1"/>
    </xf>
    <xf numFmtId="0" fontId="14" fillId="3" borderId="11"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4" fillId="2" borderId="9" xfId="0" applyFont="1" applyFill="1" applyBorder="1" applyAlignment="1">
      <alignment horizontal="center" vertical="center"/>
    </xf>
    <xf numFmtId="0" fontId="15" fillId="0" borderId="9" xfId="0" applyFont="1" applyBorder="1" applyAlignment="1">
      <alignment horizontal="center" vertical="center"/>
    </xf>
    <xf numFmtId="0" fontId="4" fillId="0" borderId="9" xfId="0" applyFont="1" applyBorder="1" applyAlignment="1">
      <alignment horizontal="center" vertical="center"/>
    </xf>
    <xf numFmtId="0" fontId="14" fillId="3" borderId="11" xfId="0" applyFont="1" applyFill="1" applyBorder="1" applyAlignment="1">
      <alignment vertical="center" wrapText="1"/>
    </xf>
    <xf numFmtId="6" fontId="37" fillId="2" borderId="9" xfId="5" applyNumberFormat="1" applyFill="1" applyBorder="1" applyAlignment="1">
      <alignment horizontal="left" vertical="center" wrapText="1"/>
    </xf>
    <xf numFmtId="0" fontId="4" fillId="14" borderId="9" xfId="0" applyFont="1" applyFill="1" applyBorder="1" applyAlignment="1">
      <alignment horizontal="center" vertical="center"/>
    </xf>
    <xf numFmtId="0" fontId="23" fillId="0" borderId="28" xfId="0" applyFont="1" applyBorder="1" applyAlignment="1">
      <alignment vertical="center"/>
    </xf>
    <xf numFmtId="0" fontId="38" fillId="10" borderId="0" xfId="0" applyFont="1" applyFill="1"/>
    <xf numFmtId="0" fontId="0" fillId="10" borderId="0" xfId="0" applyFill="1"/>
    <xf numFmtId="0" fontId="16" fillId="18" borderId="9" xfId="0" applyFont="1" applyFill="1" applyBorder="1" applyAlignment="1">
      <alignment horizontal="left" vertical="top" wrapText="1"/>
    </xf>
    <xf numFmtId="0" fontId="14" fillId="18" borderId="9" xfId="0" applyFont="1" applyFill="1" applyBorder="1" applyAlignment="1">
      <alignment horizontal="left" vertical="top" wrapText="1"/>
    </xf>
    <xf numFmtId="0" fontId="16" fillId="18" borderId="9" xfId="0" applyFont="1" applyFill="1" applyBorder="1" applyAlignment="1">
      <alignment horizontal="left" vertical="top"/>
    </xf>
    <xf numFmtId="0" fontId="16" fillId="6" borderId="9" xfId="0" applyFont="1" applyFill="1" applyBorder="1" applyAlignment="1">
      <alignment horizontal="left" vertical="top" wrapText="1"/>
    </xf>
    <xf numFmtId="0" fontId="15" fillId="6" borderId="9" xfId="0" applyFont="1" applyFill="1" applyBorder="1" applyAlignment="1">
      <alignment vertical="top" wrapText="1"/>
    </xf>
    <xf numFmtId="0" fontId="3" fillId="2" borderId="0" xfId="4" applyFill="1"/>
    <xf numFmtId="0" fontId="40" fillId="2" borderId="0" xfId="3" applyFont="1" applyFill="1" applyAlignment="1">
      <alignment horizontal="center"/>
    </xf>
    <xf numFmtId="0" fontId="13" fillId="10" borderId="0" xfId="0" applyFont="1" applyFill="1" applyAlignment="1">
      <alignment horizontal="center"/>
    </xf>
    <xf numFmtId="0" fontId="13" fillId="10" borderId="5" xfId="0" applyFont="1" applyFill="1" applyBorder="1" applyAlignment="1">
      <alignment horizontal="center"/>
    </xf>
    <xf numFmtId="0" fontId="0" fillId="0" borderId="28" xfId="0" quotePrefix="1" applyBorder="1" applyAlignment="1">
      <alignment horizontal="left" vertical="top" wrapText="1"/>
    </xf>
    <xf numFmtId="0" fontId="0" fillId="0" borderId="30" xfId="0" quotePrefix="1" applyBorder="1" applyAlignment="1">
      <alignment horizontal="left" vertical="top" wrapText="1"/>
    </xf>
    <xf numFmtId="0" fontId="0" fillId="0" borderId="29" xfId="0" quotePrefix="1" applyBorder="1" applyAlignment="1">
      <alignment horizontal="left" vertical="top" wrapText="1"/>
    </xf>
    <xf numFmtId="0" fontId="0" fillId="0" borderId="30" xfId="0" applyBorder="1" applyAlignment="1">
      <alignment horizontal="left" vertical="top"/>
    </xf>
    <xf numFmtId="0" fontId="0" fillId="0" borderId="29" xfId="0" applyBorder="1" applyAlignment="1">
      <alignment horizontal="left" vertical="top"/>
    </xf>
    <xf numFmtId="0" fontId="14" fillId="4" borderId="9" xfId="0" applyFont="1" applyFill="1" applyBorder="1" applyAlignment="1">
      <alignment horizontal="center" vertical="center"/>
    </xf>
    <xf numFmtId="0" fontId="14" fillId="0" borderId="9" xfId="0" applyFont="1" applyBorder="1" applyAlignment="1">
      <alignment horizontal="left"/>
    </xf>
    <xf numFmtId="0" fontId="37" fillId="0" borderId="9" xfId="5" applyBorder="1" applyAlignment="1">
      <alignment horizontal="left"/>
    </xf>
    <xf numFmtId="0" fontId="23" fillId="2" borderId="0" xfId="0" applyFont="1" applyFill="1" applyAlignment="1">
      <alignment horizontal="left" vertical="top" wrapText="1"/>
    </xf>
    <xf numFmtId="0" fontId="14" fillId="2" borderId="9" xfId="0" applyFont="1" applyFill="1" applyBorder="1" applyAlignment="1">
      <alignment horizontal="center" vertical="center"/>
    </xf>
    <xf numFmtId="0" fontId="37" fillId="0" borderId="9" xfId="5" applyFill="1" applyBorder="1" applyAlignment="1">
      <alignment horizontal="left"/>
    </xf>
    <xf numFmtId="0" fontId="38" fillId="15" borderId="38" xfId="0" applyFont="1" applyFill="1" applyBorder="1" applyAlignment="1">
      <alignment horizontal="left"/>
    </xf>
    <xf numFmtId="0" fontId="38" fillId="15" borderId="39" xfId="0" applyFont="1" applyFill="1" applyBorder="1" applyAlignment="1">
      <alignment horizontal="left"/>
    </xf>
    <xf numFmtId="0" fontId="5" fillId="16" borderId="28" xfId="0" applyFont="1" applyFill="1" applyBorder="1" applyAlignment="1">
      <alignment horizontal="center" vertical="center"/>
    </xf>
    <xf numFmtId="0" fontId="5" fillId="16" borderId="30" xfId="0" applyFont="1" applyFill="1" applyBorder="1" applyAlignment="1">
      <alignment horizontal="center" vertical="center"/>
    </xf>
    <xf numFmtId="0" fontId="5" fillId="16" borderId="29" xfId="0" applyFont="1" applyFill="1" applyBorder="1" applyAlignment="1">
      <alignment horizontal="center" vertical="center"/>
    </xf>
    <xf numFmtId="0" fontId="14" fillId="0" borderId="28" xfId="0" applyFont="1" applyBorder="1" applyAlignment="1">
      <alignment horizontal="center"/>
    </xf>
    <xf numFmtId="0" fontId="14" fillId="0" borderId="29" xfId="0" applyFont="1" applyBorder="1" applyAlignment="1">
      <alignment horizontal="center"/>
    </xf>
    <xf numFmtId="0" fontId="13" fillId="10" borderId="9" xfId="0" applyFont="1" applyFill="1" applyBorder="1" applyAlignment="1">
      <alignment horizontal="center" vertical="center"/>
    </xf>
    <xf numFmtId="0" fontId="14" fillId="2" borderId="28" xfId="0" applyFont="1" applyFill="1" applyBorder="1" applyAlignment="1">
      <alignment horizontal="center" vertical="center"/>
    </xf>
    <xf numFmtId="0" fontId="14" fillId="2" borderId="29" xfId="0" applyFont="1" applyFill="1" applyBorder="1" applyAlignment="1">
      <alignment horizontal="center" vertical="center"/>
    </xf>
    <xf numFmtId="0" fontId="5" fillId="17" borderId="28" xfId="0" applyFont="1" applyFill="1" applyBorder="1" applyAlignment="1">
      <alignment horizontal="center" vertical="center"/>
    </xf>
    <xf numFmtId="0" fontId="5" fillId="17" borderId="30" xfId="0" applyFont="1" applyFill="1" applyBorder="1" applyAlignment="1">
      <alignment horizontal="center" vertical="center"/>
    </xf>
    <xf numFmtId="0" fontId="5" fillId="17" borderId="29" xfId="0" applyFont="1" applyFill="1" applyBorder="1" applyAlignment="1">
      <alignment horizontal="center" vertical="center"/>
    </xf>
    <xf numFmtId="0" fontId="14" fillId="18" borderId="28" xfId="0" applyFont="1" applyFill="1" applyBorder="1" applyAlignment="1">
      <alignment horizontal="center" vertical="center"/>
    </xf>
    <xf numFmtId="0" fontId="14" fillId="18" borderId="30" xfId="0" applyFont="1" applyFill="1" applyBorder="1" applyAlignment="1">
      <alignment horizontal="center" vertical="center"/>
    </xf>
    <xf numFmtId="0" fontId="14" fillId="18" borderId="29" xfId="0" applyFont="1" applyFill="1" applyBorder="1" applyAlignment="1">
      <alignment horizontal="center" vertical="center"/>
    </xf>
    <xf numFmtId="0" fontId="23" fillId="0" borderId="38" xfId="0" applyFont="1" applyBorder="1" applyAlignment="1">
      <alignment horizontal="left" vertical="top" wrapText="1"/>
    </xf>
    <xf numFmtId="0" fontId="23" fillId="0" borderId="39" xfId="0" applyFont="1" applyBorder="1" applyAlignment="1">
      <alignment horizontal="left" vertical="top" wrapText="1"/>
    </xf>
    <xf numFmtId="0" fontId="23" fillId="0" borderId="31" xfId="0" applyFont="1" applyBorder="1" applyAlignment="1">
      <alignment horizontal="left" vertical="top" wrapText="1"/>
    </xf>
    <xf numFmtId="0" fontId="23" fillId="0" borderId="40" xfId="0" applyFont="1" applyBorder="1" applyAlignment="1">
      <alignment horizontal="left" vertical="top" wrapText="1"/>
    </xf>
    <xf numFmtId="0" fontId="23" fillId="0" borderId="0" xfId="0" applyFont="1" applyAlignment="1">
      <alignment horizontal="left" vertical="top" wrapText="1"/>
    </xf>
    <xf numFmtId="0" fontId="23" fillId="0" borderId="41" xfId="0" applyFont="1" applyBorder="1" applyAlignment="1">
      <alignment horizontal="left" vertical="top" wrapText="1"/>
    </xf>
    <xf numFmtId="0" fontId="23" fillId="0" borderId="32" xfId="0" applyFont="1" applyBorder="1" applyAlignment="1">
      <alignment horizontal="left" vertical="top" wrapText="1"/>
    </xf>
    <xf numFmtId="0" fontId="23" fillId="0" borderId="24" xfId="0" applyFont="1" applyBorder="1" applyAlignment="1">
      <alignment horizontal="left" vertical="top" wrapText="1"/>
    </xf>
    <xf numFmtId="0" fontId="23" fillId="0" borderId="27" xfId="0" applyFont="1" applyBorder="1" applyAlignment="1">
      <alignment horizontal="left" vertical="top" wrapText="1"/>
    </xf>
    <xf numFmtId="0" fontId="33" fillId="2" borderId="14" xfId="0" applyFont="1" applyFill="1" applyBorder="1" applyAlignment="1">
      <alignment horizontal="center" vertical="center"/>
    </xf>
    <xf numFmtId="0" fontId="33" fillId="2" borderId="26" xfId="0" applyFont="1" applyFill="1" applyBorder="1" applyAlignment="1">
      <alignment horizontal="center" vertical="center"/>
    </xf>
    <xf numFmtId="0" fontId="22" fillId="2" borderId="0" xfId="4" applyFont="1" applyFill="1" applyAlignment="1">
      <alignment horizontal="left" vertical="top"/>
    </xf>
    <xf numFmtId="0" fontId="29" fillId="10" borderId="0" xfId="0" applyFont="1" applyFill="1" applyAlignment="1">
      <alignment horizontal="center" vertical="center"/>
    </xf>
    <xf numFmtId="0" fontId="31" fillId="10" borderId="24" xfId="0" applyFont="1" applyFill="1" applyBorder="1" applyAlignment="1">
      <alignment horizontal="center" vertical="center"/>
    </xf>
    <xf numFmtId="0" fontId="14" fillId="7" borderId="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4" fillId="4" borderId="15" xfId="0" applyFont="1" applyFill="1" applyBorder="1" applyAlignment="1">
      <alignment horizontal="center" vertical="center"/>
    </xf>
    <xf numFmtId="0" fontId="14" fillId="4" borderId="16" xfId="0" applyFont="1" applyFill="1" applyBorder="1" applyAlignment="1">
      <alignment horizontal="center" vertical="center"/>
    </xf>
    <xf numFmtId="0" fontId="14" fillId="4" borderId="17" xfId="0" applyFont="1" applyFill="1" applyBorder="1" applyAlignment="1">
      <alignment horizontal="center" vertical="center"/>
    </xf>
    <xf numFmtId="0" fontId="16" fillId="8" borderId="0" xfId="0" applyFont="1" applyFill="1" applyAlignment="1">
      <alignment horizontal="left" vertical="center" wrapText="1"/>
    </xf>
    <xf numFmtId="0" fontId="16" fillId="8" borderId="7" xfId="0" applyFont="1" applyFill="1" applyBorder="1" applyAlignment="1">
      <alignment horizontal="left" vertical="center" wrapText="1"/>
    </xf>
    <xf numFmtId="0" fontId="14" fillId="7" borderId="18" xfId="0" applyFont="1" applyFill="1" applyBorder="1" applyAlignment="1">
      <alignment horizontal="center" vertical="center"/>
    </xf>
    <xf numFmtId="0" fontId="14" fillId="7" borderId="19" xfId="0" applyFont="1" applyFill="1" applyBorder="1" applyAlignment="1">
      <alignment horizontal="center" vertical="center"/>
    </xf>
    <xf numFmtId="0" fontId="14" fillId="7" borderId="20" xfId="0" applyFont="1" applyFill="1" applyBorder="1" applyAlignment="1">
      <alignment horizontal="center" vertical="center"/>
    </xf>
    <xf numFmtId="0" fontId="14" fillId="3" borderId="11"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5" fillId="0" borderId="11" xfId="0" quotePrefix="1" applyFont="1" applyBorder="1" applyAlignment="1">
      <alignment horizontal="left" vertical="top" wrapText="1"/>
    </xf>
    <xf numFmtId="0" fontId="15" fillId="0" borderId="12" xfId="0" quotePrefix="1" applyFont="1" applyBorder="1" applyAlignment="1">
      <alignment horizontal="left" vertical="top" wrapText="1"/>
    </xf>
    <xf numFmtId="0" fontId="15" fillId="0" borderId="13" xfId="0" quotePrefix="1" applyFont="1" applyBorder="1" applyAlignment="1">
      <alignment horizontal="left" vertical="top" wrapText="1"/>
    </xf>
    <xf numFmtId="0" fontId="4" fillId="0" borderId="11" xfId="0" quotePrefix="1" applyFont="1" applyBorder="1" applyAlignment="1">
      <alignment horizontal="left" vertical="top" wrapText="1"/>
    </xf>
    <xf numFmtId="0" fontId="4" fillId="0" borderId="12" xfId="0" quotePrefix="1" applyFont="1" applyBorder="1" applyAlignment="1">
      <alignment horizontal="left" vertical="top" wrapText="1"/>
    </xf>
    <xf numFmtId="0" fontId="4" fillId="0" borderId="13" xfId="0" quotePrefix="1" applyFont="1" applyBorder="1" applyAlignment="1">
      <alignment horizontal="left" vertical="top" wrapText="1"/>
    </xf>
    <xf numFmtId="0" fontId="5" fillId="7" borderId="1"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17"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15" fillId="0" borderId="0" xfId="0" applyFont="1" applyAlignment="1">
      <alignment horizontal="left" vertical="top" wrapText="1"/>
    </xf>
    <xf numFmtId="0" fontId="4" fillId="0" borderId="0" xfId="0" applyFont="1" applyAlignment="1">
      <alignment horizontal="left" vertical="top" wrapText="1"/>
    </xf>
    <xf numFmtId="0" fontId="14" fillId="0" borderId="17" xfId="0" applyFont="1" applyBorder="1" applyAlignment="1">
      <alignment horizontal="center" vertical="center"/>
    </xf>
    <xf numFmtId="0" fontId="5" fillId="3" borderId="22"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4" fillId="0" borderId="1" xfId="0" quotePrefix="1" applyFont="1" applyBorder="1" applyAlignment="1">
      <alignment horizontal="left"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0" xfId="0" quotePrefix="1" applyFont="1" applyAlignment="1">
      <alignment horizontal="left" vertical="top" wrapText="1"/>
    </xf>
    <xf numFmtId="0" fontId="4" fillId="0" borderId="5" xfId="0" quotePrefix="1" applyFont="1" applyBorder="1" applyAlignment="1">
      <alignment horizontal="left" vertical="top" wrapText="1"/>
    </xf>
    <xf numFmtId="0" fontId="4" fillId="0" borderId="6" xfId="0" quotePrefix="1" applyFont="1" applyBorder="1" applyAlignment="1">
      <alignment horizontal="left" vertical="top" wrapText="1"/>
    </xf>
    <xf numFmtId="0" fontId="4" fillId="0" borderId="7" xfId="0" quotePrefix="1" applyFont="1" applyBorder="1" applyAlignment="1">
      <alignment horizontal="left" vertical="top" wrapText="1"/>
    </xf>
    <xf numFmtId="0" fontId="4" fillId="0" borderId="8" xfId="0" quotePrefix="1" applyFont="1" applyBorder="1" applyAlignment="1">
      <alignment horizontal="left" vertical="top" wrapText="1"/>
    </xf>
    <xf numFmtId="0" fontId="5" fillId="0" borderId="17" xfId="0" applyFont="1" applyBorder="1" applyAlignment="1">
      <alignment horizontal="center" vertical="center"/>
    </xf>
  </cellXfs>
  <cellStyles count="6">
    <cellStyle name="Currency" xfId="1" builtinId="4"/>
    <cellStyle name="Hyperlink" xfId="5" builtinId="8"/>
    <cellStyle name="Normal" xfId="0" builtinId="0"/>
    <cellStyle name="Normal 3 2" xfId="4" xr:uid="{00000000-0005-0000-0000-000003000000}"/>
    <cellStyle name="Normal 4 2" xfId="3" xr:uid="{00000000-0005-0000-0000-000004000000}"/>
    <cellStyle name="Percent" xfId="2" builtinId="5"/>
  </cellStyles>
  <dxfs count="286">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FFC000"/>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FFC000"/>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FFC000"/>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92D050"/>
        </patternFill>
      </fill>
    </dxf>
    <dxf>
      <fill>
        <patternFill>
          <bgColor theme="7"/>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color rgb="FF9C0006"/>
      </font>
      <fill>
        <patternFill>
          <bgColor rgb="FFFFC7CE"/>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9" tint="0.79998168889431442"/>
        </patternFill>
      </fill>
    </dxf>
    <dxf>
      <font>
        <strike val="0"/>
      </font>
      <fill>
        <patternFill>
          <bgColor theme="6" tint="0.39994506668294322"/>
        </patternFill>
      </fill>
    </dxf>
    <dxf>
      <font>
        <strike val="0"/>
      </font>
      <fill>
        <patternFill>
          <bgColor theme="6" tint="0.39994506668294322"/>
        </patternFill>
      </fill>
    </dxf>
    <dxf>
      <font>
        <strike val="0"/>
      </font>
      <fill>
        <patternFill>
          <bgColor theme="9" tint="0.79998168889431442"/>
        </patternFill>
      </fill>
    </dxf>
    <dxf>
      <font>
        <strike val="0"/>
        <outline val="0"/>
        <shadow val="0"/>
        <u val="none"/>
        <vertAlign val="baseline"/>
        <sz val="12"/>
        <name val="Aptos Narrow"/>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Aptos Narrow"/>
        <family val="2"/>
        <scheme val="none"/>
      </font>
      <fill>
        <patternFill patternType="solid">
          <fgColor indexed="64"/>
          <bgColor rgb="FFF2F2F2"/>
        </patternFill>
      </fill>
      <border diagonalUp="0" diagonalDown="0" outline="0">
        <left style="thin">
          <color indexed="64"/>
        </left>
        <right style="thin">
          <color indexed="64"/>
        </right>
        <top/>
        <bottom/>
      </border>
    </dxf>
  </dxfs>
  <tableStyles count="0" defaultTableStyle="TableStyleMedium2" defaultPivotStyle="PivotStyleLight16"/>
  <colors>
    <mruColors>
      <color rgb="FF0000CC"/>
      <color rgb="FFFF66FF"/>
      <color rgb="FF9999FF"/>
      <color rgb="FFFF7C80"/>
      <color rgb="FF6600FF"/>
      <color rgb="FF000000"/>
      <color rgb="FF99FF99"/>
      <color rgb="FF008080"/>
      <color rgb="FF00660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duct Features'!A1"/></Relationships>
</file>

<file path=xl/drawings/_rels/drawing4.xml.rels><?xml version="1.0" encoding="UTF-8" standalone="yes"?>
<Relationships xmlns="http://schemas.openxmlformats.org/package/2006/relationships"><Relationship Id="rId2" Type="http://schemas.openxmlformats.org/officeDocument/2006/relationships/hyperlink" Target="#'Overview &amp; Important Notes'!A1"/><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hyperlink" Target="#'Value Comparison (Summary)'!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426358</xdr:colOff>
      <xdr:row>8</xdr:row>
      <xdr:rowOff>105330</xdr:rowOff>
    </xdr:from>
    <xdr:to>
      <xdr:col>8</xdr:col>
      <xdr:colOff>426359</xdr:colOff>
      <xdr:row>20</xdr:row>
      <xdr:rowOff>32440</xdr:rowOff>
    </xdr:to>
    <xdr:pic>
      <xdr:nvPicPr>
        <xdr:cNvPr id="2" name="Picture 1" descr="PIAS.png">
          <a:extLst>
            <a:ext uri="{FF2B5EF4-FFF2-40B4-BE49-F238E27FC236}">
              <a16:creationId xmlns:a16="http://schemas.microsoft.com/office/drawing/2014/main" id="{5B305964-8D81-4D84-A008-0803AB958584}"/>
            </a:ext>
          </a:extLst>
        </xdr:cNvPr>
        <xdr:cNvPicPr>
          <a:picLocks noChangeAspect="1"/>
        </xdr:cNvPicPr>
      </xdr:nvPicPr>
      <xdr:blipFill>
        <a:blip xmlns:r="http://schemas.openxmlformats.org/officeDocument/2006/relationships" r:embed="rId1" cstate="print"/>
        <a:stretch>
          <a:fillRect/>
        </a:stretch>
      </xdr:blipFill>
      <xdr:spPr>
        <a:xfrm>
          <a:off x="426358" y="1538616"/>
          <a:ext cx="5152572" cy="1886538"/>
        </a:xfrm>
        <a:prstGeom prst="rect">
          <a:avLst/>
        </a:prstGeom>
      </xdr:spPr>
    </xdr:pic>
    <xdr:clientData/>
  </xdr:twoCellAnchor>
  <xdr:twoCellAnchor>
    <xdr:from>
      <xdr:col>0</xdr:col>
      <xdr:colOff>0</xdr:colOff>
      <xdr:row>20</xdr:row>
      <xdr:rowOff>109764</xdr:rowOff>
    </xdr:from>
    <xdr:to>
      <xdr:col>8</xdr:col>
      <xdr:colOff>595817</xdr:colOff>
      <xdr:row>29</xdr:row>
      <xdr:rowOff>138339</xdr:rowOff>
    </xdr:to>
    <xdr:sp macro="" textlink="">
      <xdr:nvSpPr>
        <xdr:cNvPr id="3" name="TextBox 2">
          <a:extLst>
            <a:ext uri="{FF2B5EF4-FFF2-40B4-BE49-F238E27FC236}">
              <a16:creationId xmlns:a16="http://schemas.microsoft.com/office/drawing/2014/main" id="{4B5E971A-BC20-47FC-B595-40FFB65C4ACB}"/>
            </a:ext>
          </a:extLst>
        </xdr:cNvPr>
        <xdr:cNvSpPr txBox="1"/>
      </xdr:nvSpPr>
      <xdr:spPr>
        <a:xfrm>
          <a:off x="0" y="3502478"/>
          <a:ext cx="5748388" cy="1498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Endowment</a:t>
          </a:r>
          <a:r>
            <a:rPr lang="en-US" sz="2800" b="1" baseline="0">
              <a:solidFill>
                <a:schemeClr val="dk1"/>
              </a:solidFill>
              <a:latin typeface="Arial" pitchFamily="34" charset="0"/>
              <a:ea typeface="+mn-ea"/>
              <a:cs typeface="Arial" pitchFamily="34" charset="0"/>
            </a:rPr>
            <a:t> Retirement</a:t>
          </a:r>
          <a:endParaRPr lang="en-US" sz="2800" b="1">
            <a:solidFill>
              <a:schemeClr val="dk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8</xdr:col>
      <xdr:colOff>0</xdr:colOff>
      <xdr:row>8</xdr:row>
      <xdr:rowOff>0</xdr:rowOff>
    </xdr:from>
    <xdr:ext cx="4489826" cy="769470"/>
    <xdr:sp macro="" textlink="">
      <xdr:nvSpPr>
        <xdr:cNvPr id="2" name="Rectangle 1">
          <a:extLst>
            <a:ext uri="{FF2B5EF4-FFF2-40B4-BE49-F238E27FC236}">
              <a16:creationId xmlns:a16="http://schemas.microsoft.com/office/drawing/2014/main" id="{506ABE3F-F632-DD0C-B368-8780408D3E68}"/>
            </a:ext>
          </a:extLst>
        </xdr:cNvPr>
        <xdr:cNvSpPr/>
      </xdr:nvSpPr>
      <xdr:spPr>
        <a:xfrm>
          <a:off x="20237823" y="1934883"/>
          <a:ext cx="4489826" cy="769470"/>
        </a:xfrm>
        <a:prstGeom prst="rect">
          <a:avLst/>
        </a:prstGeom>
        <a:noFill/>
      </xdr:spPr>
      <xdr:txBody>
        <a:bodyPr wrap="none" lIns="91440" tIns="45720" rIns="91440" bIns="45720">
          <a:noAutofit/>
        </a:bodyPr>
        <a:lstStyle/>
        <a:p>
          <a:pPr algn="ctr"/>
          <a:endParaRPr lang="en-US" sz="2800" b="0" cap="none" spc="0" baseline="0">
            <a:ln w="0"/>
            <a:solidFill>
              <a:srgbClr val="6600FF"/>
            </a:solidFill>
            <a:effectLst>
              <a:outerShdw blurRad="38100" dist="19050" dir="2700000" algn="tl" rotWithShape="0">
                <a:schemeClr val="dk1">
                  <a:alpha val="40000"/>
                </a:schemeClr>
              </a:outerShdw>
            </a:effectLst>
          </a:endParaRPr>
        </a:p>
      </xdr:txBody>
    </xdr:sp>
    <xdr:clientData/>
  </xdr:oneCellAnchor>
  <xdr:twoCellAnchor>
    <xdr:from>
      <xdr:col>0</xdr:col>
      <xdr:colOff>0</xdr:colOff>
      <xdr:row>13</xdr:row>
      <xdr:rowOff>460</xdr:rowOff>
    </xdr:from>
    <xdr:to>
      <xdr:col>8</xdr:col>
      <xdr:colOff>3415</xdr:colOff>
      <xdr:row>14</xdr:row>
      <xdr:rowOff>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CEA76D97-ED61-4159-8DFA-F67222E68469}"/>
            </a:ext>
          </a:extLst>
        </xdr:cNvPr>
        <xdr:cNvSpPr/>
      </xdr:nvSpPr>
      <xdr:spPr>
        <a:xfrm>
          <a:off x="0" y="3943810"/>
          <a:ext cx="16300690" cy="180515"/>
        </a:xfrm>
        <a:prstGeom prst="rect">
          <a:avLst/>
        </a:prstGeom>
        <a:solidFill>
          <a:schemeClr val="bg1">
            <a:lumMod val="85000"/>
          </a:schemeClr>
        </a:solidFill>
        <a:ln w="9525">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ysClr val="windowText" lastClr="000000"/>
              </a:solidFill>
              <a:effectLst/>
              <a:latin typeface="+mn-lt"/>
              <a:ea typeface="+mn-ea"/>
              <a:cs typeface="+mn-cs"/>
            </a:rPr>
            <a:t>For full product features comparison, refer to 'Product</a:t>
          </a:r>
          <a:r>
            <a:rPr lang="en-US" sz="1100" b="1" baseline="0">
              <a:solidFill>
                <a:sysClr val="windowText" lastClr="000000"/>
              </a:solidFill>
              <a:effectLst/>
              <a:latin typeface="+mn-lt"/>
              <a:ea typeface="+mn-ea"/>
              <a:cs typeface="+mn-cs"/>
            </a:rPr>
            <a:t> </a:t>
          </a:r>
          <a:r>
            <a:rPr lang="en-US" sz="1100" b="1">
              <a:solidFill>
                <a:sysClr val="windowText" lastClr="000000"/>
              </a:solidFill>
              <a:effectLst/>
              <a:latin typeface="+mn-lt"/>
              <a:ea typeface="+mn-ea"/>
              <a:cs typeface="+mn-cs"/>
            </a:rPr>
            <a:t>Features' tab or click here.</a:t>
          </a:r>
          <a:endParaRPr lang="en-US">
            <a:solidFill>
              <a:sysClr val="windowText" lastClr="000000"/>
            </a:solidFill>
            <a:effectLst/>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15</xdr:col>
      <xdr:colOff>0</xdr:colOff>
      <xdr:row>21</xdr:row>
      <xdr:rowOff>14942</xdr:rowOff>
    </xdr:from>
    <xdr:ext cx="4489826" cy="769470"/>
    <xdr:sp macro="" textlink="">
      <xdr:nvSpPr>
        <xdr:cNvPr id="2" name="Rectangle 1">
          <a:extLst>
            <a:ext uri="{FF2B5EF4-FFF2-40B4-BE49-F238E27FC236}">
              <a16:creationId xmlns:a16="http://schemas.microsoft.com/office/drawing/2014/main" id="{73A1FE7B-9F5A-4ADA-8DE2-E9D53C186065}"/>
            </a:ext>
          </a:extLst>
        </xdr:cNvPr>
        <xdr:cNvSpPr/>
      </xdr:nvSpPr>
      <xdr:spPr>
        <a:xfrm>
          <a:off x="20231099" y="1913592"/>
          <a:ext cx="4489826" cy="769470"/>
        </a:xfrm>
        <a:prstGeom prst="rect">
          <a:avLst/>
        </a:prstGeom>
        <a:noFill/>
      </xdr:spPr>
      <xdr:txBody>
        <a:bodyPr wrap="none" lIns="91440" tIns="45720" rIns="91440" bIns="45720">
          <a:noAutofit/>
        </a:bodyPr>
        <a:lstStyle/>
        <a:p>
          <a:pPr algn="ctr"/>
          <a:endParaRPr lang="en-US" sz="2800" b="0" cap="none" spc="0" baseline="0">
            <a:ln w="0"/>
            <a:solidFill>
              <a:srgbClr val="6600FF"/>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6</xdr:col>
      <xdr:colOff>3633932</xdr:colOff>
      <xdr:row>1</xdr:row>
      <xdr:rowOff>0</xdr:rowOff>
    </xdr:from>
    <xdr:to>
      <xdr:col>6</xdr:col>
      <xdr:colOff>5350065</xdr:colOff>
      <xdr:row>4</xdr:row>
      <xdr:rowOff>21686</xdr:rowOff>
    </xdr:to>
    <xdr:pic>
      <xdr:nvPicPr>
        <xdr:cNvPr id="2" name="Picture 1" descr="PIAS.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26589182" y="23091"/>
          <a:ext cx="1719943" cy="768259"/>
        </a:xfrm>
        <a:prstGeom prst="rect">
          <a:avLst/>
        </a:prstGeom>
      </xdr:spPr>
    </xdr:pic>
    <xdr:clientData/>
  </xdr:twoCellAnchor>
  <xdr:twoCellAnchor>
    <xdr:from>
      <xdr:col>0</xdr:col>
      <xdr:colOff>0</xdr:colOff>
      <xdr:row>0</xdr:row>
      <xdr:rowOff>2</xdr:rowOff>
    </xdr:from>
    <xdr:to>
      <xdr:col>0</xdr:col>
      <xdr:colOff>598170</xdr:colOff>
      <xdr:row>1</xdr:row>
      <xdr:rowOff>1</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27FE1902-053C-4FB8-915B-974F4B61A651}"/>
            </a:ext>
          </a:extLst>
        </xdr:cNvPr>
        <xdr:cNvSpPr/>
      </xdr:nvSpPr>
      <xdr:spPr>
        <a:xfrm>
          <a:off x="0" y="2"/>
          <a:ext cx="598170" cy="177799"/>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14</xdr:col>
      <xdr:colOff>1310216</xdr:colOff>
      <xdr:row>0</xdr:row>
      <xdr:rowOff>21166</xdr:rowOff>
    </xdr:from>
    <xdr:ext cx="1621367" cy="623244"/>
    <xdr:pic>
      <xdr:nvPicPr>
        <xdr:cNvPr id="2" name="Picture 1" descr="PIAS.png">
          <a:extLst>
            <a:ext uri="{FF2B5EF4-FFF2-40B4-BE49-F238E27FC236}">
              <a16:creationId xmlns:a16="http://schemas.microsoft.com/office/drawing/2014/main" id="{3FC03D2C-145A-46E9-988C-2B349668AC16}"/>
            </a:ext>
          </a:extLst>
        </xdr:cNvPr>
        <xdr:cNvPicPr>
          <a:picLocks noChangeAspect="1"/>
        </xdr:cNvPicPr>
      </xdr:nvPicPr>
      <xdr:blipFill>
        <a:blip xmlns:r="http://schemas.openxmlformats.org/officeDocument/2006/relationships" r:embed="rId1" cstate="print"/>
        <a:stretch>
          <a:fillRect/>
        </a:stretch>
      </xdr:blipFill>
      <xdr:spPr>
        <a:xfrm>
          <a:off x="16785166" y="21166"/>
          <a:ext cx="1621367" cy="623244"/>
        </a:xfrm>
        <a:prstGeom prst="rect">
          <a:avLst/>
        </a:prstGeom>
      </xdr:spPr>
    </xdr:pic>
    <xdr:clientData/>
  </xdr:one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B214A216-B5FB-49F4-A06A-F230931FDBDE}"/>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14</xdr:col>
      <xdr:colOff>1310216</xdr:colOff>
      <xdr:row>0</xdr:row>
      <xdr:rowOff>21166</xdr:rowOff>
    </xdr:from>
    <xdr:ext cx="1621367" cy="623244"/>
    <xdr:pic>
      <xdr:nvPicPr>
        <xdr:cNvPr id="3" name="Picture 2" descr="PIAS.png">
          <a:extLst>
            <a:ext uri="{FF2B5EF4-FFF2-40B4-BE49-F238E27FC236}">
              <a16:creationId xmlns:a16="http://schemas.microsoft.com/office/drawing/2014/main" id="{7548A1AB-F928-4C0B-8A5E-0F551B41CB3E}"/>
            </a:ext>
          </a:extLst>
        </xdr:cNvPr>
        <xdr:cNvPicPr>
          <a:picLocks noChangeAspect="1"/>
        </xdr:cNvPicPr>
      </xdr:nvPicPr>
      <xdr:blipFill>
        <a:blip xmlns:r="http://schemas.openxmlformats.org/officeDocument/2006/relationships" r:embed="rId1" cstate="print"/>
        <a:stretch>
          <a:fillRect/>
        </a:stretch>
      </xdr:blipFill>
      <xdr:spPr>
        <a:xfrm>
          <a:off x="16603133" y="21166"/>
          <a:ext cx="1621367" cy="623244"/>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14</xdr:col>
      <xdr:colOff>1310216</xdr:colOff>
      <xdr:row>0</xdr:row>
      <xdr:rowOff>21166</xdr:rowOff>
    </xdr:from>
    <xdr:ext cx="1621367" cy="623244"/>
    <xdr:pic>
      <xdr:nvPicPr>
        <xdr:cNvPr id="2" name="Picture 1" descr="PIAS.png">
          <a:extLst>
            <a:ext uri="{FF2B5EF4-FFF2-40B4-BE49-F238E27FC236}">
              <a16:creationId xmlns:a16="http://schemas.microsoft.com/office/drawing/2014/main" id="{58A1072E-696A-4350-BBF2-6A68CB66BAE6}"/>
            </a:ext>
          </a:extLst>
        </xdr:cNvPr>
        <xdr:cNvPicPr>
          <a:picLocks noChangeAspect="1"/>
        </xdr:cNvPicPr>
      </xdr:nvPicPr>
      <xdr:blipFill>
        <a:blip xmlns:r="http://schemas.openxmlformats.org/officeDocument/2006/relationships" r:embed="rId1" cstate="print"/>
        <a:stretch>
          <a:fillRect/>
        </a:stretch>
      </xdr:blipFill>
      <xdr:spPr>
        <a:xfrm>
          <a:off x="16785166" y="21166"/>
          <a:ext cx="1621367" cy="623244"/>
        </a:xfrm>
        <a:prstGeom prst="rect">
          <a:avLst/>
        </a:prstGeom>
      </xdr:spPr>
    </xdr:pic>
    <xdr:clientData/>
  </xdr:oneCellAnchor>
  <xdr:twoCellAnchor>
    <xdr:from>
      <xdr:col>0</xdr:col>
      <xdr:colOff>0</xdr:colOff>
      <xdr:row>0</xdr:row>
      <xdr:rowOff>0</xdr:rowOff>
    </xdr:from>
    <xdr:to>
      <xdr:col>0</xdr:col>
      <xdr:colOff>598170</xdr:colOff>
      <xdr:row>0</xdr:row>
      <xdr:rowOff>179293</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7BB39F80-12EB-4ED5-88C4-BB6C61A9C7D6}"/>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15</xdr:col>
      <xdr:colOff>886882</xdr:colOff>
      <xdr:row>0</xdr:row>
      <xdr:rowOff>116417</xdr:rowOff>
    </xdr:from>
    <xdr:ext cx="1863726" cy="716405"/>
    <xdr:pic>
      <xdr:nvPicPr>
        <xdr:cNvPr id="2" name="Picture 1" descr="PIAS.png">
          <a:extLst>
            <a:ext uri="{FF2B5EF4-FFF2-40B4-BE49-F238E27FC236}">
              <a16:creationId xmlns:a16="http://schemas.microsoft.com/office/drawing/2014/main" id="{14C629DE-D8A1-4C78-99B0-BD0F2911E986}"/>
            </a:ext>
          </a:extLst>
        </xdr:cNvPr>
        <xdr:cNvPicPr>
          <a:picLocks noChangeAspect="1"/>
        </xdr:cNvPicPr>
      </xdr:nvPicPr>
      <xdr:blipFill>
        <a:blip xmlns:r="http://schemas.openxmlformats.org/officeDocument/2006/relationships" r:embed="rId1" cstate="print"/>
        <a:stretch>
          <a:fillRect/>
        </a:stretch>
      </xdr:blipFill>
      <xdr:spPr>
        <a:xfrm>
          <a:off x="18971682" y="116417"/>
          <a:ext cx="1863726" cy="716405"/>
        </a:xfrm>
        <a:prstGeom prst="rect">
          <a:avLst/>
        </a:prstGeom>
      </xdr:spPr>
    </xdr:pic>
    <xdr:clientData/>
  </xdr:oneCellAnchor>
  <xdr:twoCellAnchor>
    <xdr:from>
      <xdr:col>0</xdr:col>
      <xdr:colOff>0</xdr:colOff>
      <xdr:row>0</xdr:row>
      <xdr:rowOff>0</xdr:rowOff>
    </xdr:from>
    <xdr:to>
      <xdr:col>0</xdr:col>
      <xdr:colOff>598170</xdr:colOff>
      <xdr:row>0</xdr:row>
      <xdr:rowOff>179293</xdr:rowOff>
    </xdr:to>
    <xdr:sp macro="" textlink="">
      <xdr:nvSpPr>
        <xdr:cNvPr id="8" name="Rectangle: Rounded Corners 7">
          <a:hlinkClick xmlns:r="http://schemas.openxmlformats.org/officeDocument/2006/relationships" r:id="rId2"/>
          <a:extLst>
            <a:ext uri="{FF2B5EF4-FFF2-40B4-BE49-F238E27FC236}">
              <a16:creationId xmlns:a16="http://schemas.microsoft.com/office/drawing/2014/main" id="{3241675A-1C60-4127-BD03-B340FE94BC6B}"/>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15</xdr:col>
      <xdr:colOff>886882</xdr:colOff>
      <xdr:row>0</xdr:row>
      <xdr:rowOff>116417</xdr:rowOff>
    </xdr:from>
    <xdr:ext cx="1863726" cy="716405"/>
    <xdr:pic>
      <xdr:nvPicPr>
        <xdr:cNvPr id="2" name="Picture 1" descr="PIAS.png">
          <a:extLst>
            <a:ext uri="{FF2B5EF4-FFF2-40B4-BE49-F238E27FC236}">
              <a16:creationId xmlns:a16="http://schemas.microsoft.com/office/drawing/2014/main" id="{2FC04D11-91E3-4973-ABE2-45028A951BF4}"/>
            </a:ext>
          </a:extLst>
        </xdr:cNvPr>
        <xdr:cNvPicPr>
          <a:picLocks noChangeAspect="1"/>
        </xdr:cNvPicPr>
      </xdr:nvPicPr>
      <xdr:blipFill>
        <a:blip xmlns:r="http://schemas.openxmlformats.org/officeDocument/2006/relationships" r:embed="rId1" cstate="print"/>
        <a:stretch>
          <a:fillRect/>
        </a:stretch>
      </xdr:blipFill>
      <xdr:spPr>
        <a:xfrm>
          <a:off x="18971682" y="116417"/>
          <a:ext cx="1863726" cy="716405"/>
        </a:xfrm>
        <a:prstGeom prst="rect">
          <a:avLst/>
        </a:prstGeom>
      </xdr:spPr>
    </xdr:pic>
    <xdr:clientData/>
  </xdr:oneCellAnchor>
  <xdr:twoCellAnchor>
    <xdr:from>
      <xdr:col>0</xdr:col>
      <xdr:colOff>0</xdr:colOff>
      <xdr:row>0</xdr:row>
      <xdr:rowOff>0</xdr:rowOff>
    </xdr:from>
    <xdr:to>
      <xdr:col>0</xdr:col>
      <xdr:colOff>598170</xdr:colOff>
      <xdr:row>0</xdr:row>
      <xdr:rowOff>179293</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B76137AF-3B10-4B12-BC4E-EEC32C083B22}"/>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15</xdr:col>
      <xdr:colOff>886882</xdr:colOff>
      <xdr:row>0</xdr:row>
      <xdr:rowOff>116417</xdr:rowOff>
    </xdr:from>
    <xdr:ext cx="1863726" cy="716405"/>
    <xdr:pic>
      <xdr:nvPicPr>
        <xdr:cNvPr id="4" name="Picture 3" descr="PIAS.png">
          <a:extLst>
            <a:ext uri="{FF2B5EF4-FFF2-40B4-BE49-F238E27FC236}">
              <a16:creationId xmlns:a16="http://schemas.microsoft.com/office/drawing/2014/main" id="{002FC729-E1A8-4A49-A53D-A96482C22064}"/>
            </a:ext>
          </a:extLst>
        </xdr:cNvPr>
        <xdr:cNvPicPr>
          <a:picLocks noChangeAspect="1"/>
        </xdr:cNvPicPr>
      </xdr:nvPicPr>
      <xdr:blipFill>
        <a:blip xmlns:r="http://schemas.openxmlformats.org/officeDocument/2006/relationships" r:embed="rId1" cstate="print"/>
        <a:stretch>
          <a:fillRect/>
        </a:stretch>
      </xdr:blipFill>
      <xdr:spPr>
        <a:xfrm>
          <a:off x="18740965" y="116417"/>
          <a:ext cx="1863726" cy="716405"/>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15</xdr:col>
      <xdr:colOff>825500</xdr:colOff>
      <xdr:row>1</xdr:row>
      <xdr:rowOff>0</xdr:rowOff>
    </xdr:from>
    <xdr:to>
      <xdr:col>15</xdr:col>
      <xdr:colOff>2708064</xdr:colOff>
      <xdr:row>3</xdr:row>
      <xdr:rowOff>186847</xdr:rowOff>
    </xdr:to>
    <xdr:pic>
      <xdr:nvPicPr>
        <xdr:cNvPr id="2" name="Picture 1" descr="PIAS.png">
          <a:extLst>
            <a:ext uri="{FF2B5EF4-FFF2-40B4-BE49-F238E27FC236}">
              <a16:creationId xmlns:a16="http://schemas.microsoft.com/office/drawing/2014/main" id="{C087E9B5-1D9C-40F0-83AB-96A10FC5D057}"/>
            </a:ext>
          </a:extLst>
        </xdr:cNvPr>
        <xdr:cNvPicPr>
          <a:picLocks noChangeAspect="1"/>
        </xdr:cNvPicPr>
      </xdr:nvPicPr>
      <xdr:blipFill>
        <a:blip xmlns:r="http://schemas.openxmlformats.org/officeDocument/2006/relationships" r:embed="rId1" cstate="print"/>
        <a:stretch>
          <a:fillRect/>
        </a:stretch>
      </xdr:blipFill>
      <xdr:spPr>
        <a:xfrm>
          <a:off x="17621250" y="180975"/>
          <a:ext cx="1879389" cy="705642"/>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312C6C69-458D-49B3-99FD-7242AA5E93AD}"/>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825500</xdr:colOff>
      <xdr:row>1</xdr:row>
      <xdr:rowOff>0</xdr:rowOff>
    </xdr:from>
    <xdr:to>
      <xdr:col>15</xdr:col>
      <xdr:colOff>2708064</xdr:colOff>
      <xdr:row>3</xdr:row>
      <xdr:rowOff>187482</xdr:rowOff>
    </xdr:to>
    <xdr:pic>
      <xdr:nvPicPr>
        <xdr:cNvPr id="2" name="Picture 1" descr="PIAS.png">
          <a:extLst>
            <a:ext uri="{FF2B5EF4-FFF2-40B4-BE49-F238E27FC236}">
              <a16:creationId xmlns:a16="http://schemas.microsoft.com/office/drawing/2014/main" id="{820D4747-06E2-4C7F-94D5-F9BCABF5082E}"/>
            </a:ext>
          </a:extLst>
        </xdr:cNvPr>
        <xdr:cNvPicPr>
          <a:picLocks noChangeAspect="1"/>
        </xdr:cNvPicPr>
      </xdr:nvPicPr>
      <xdr:blipFill>
        <a:blip xmlns:r="http://schemas.openxmlformats.org/officeDocument/2006/relationships" r:embed="rId1" cstate="print"/>
        <a:stretch>
          <a:fillRect/>
        </a:stretch>
      </xdr:blipFill>
      <xdr:spPr>
        <a:xfrm>
          <a:off x="18354675" y="180975"/>
          <a:ext cx="1879389" cy="702467"/>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B059CE46-2D55-497E-AD58-CD48EA8FB91A}"/>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825500</xdr:colOff>
      <xdr:row>1</xdr:row>
      <xdr:rowOff>0</xdr:rowOff>
    </xdr:from>
    <xdr:to>
      <xdr:col>15</xdr:col>
      <xdr:colOff>2708064</xdr:colOff>
      <xdr:row>3</xdr:row>
      <xdr:rowOff>174782</xdr:rowOff>
    </xdr:to>
    <xdr:pic>
      <xdr:nvPicPr>
        <xdr:cNvPr id="6" name="Picture 5" descr="PIAS.png">
          <a:extLst>
            <a:ext uri="{FF2B5EF4-FFF2-40B4-BE49-F238E27FC236}">
              <a16:creationId xmlns:a16="http://schemas.microsoft.com/office/drawing/2014/main" id="{F0C65820-7BE9-4DF4-B60A-1A25D600FCFC}"/>
            </a:ext>
          </a:extLst>
        </xdr:cNvPr>
        <xdr:cNvPicPr>
          <a:picLocks noChangeAspect="1"/>
        </xdr:cNvPicPr>
      </xdr:nvPicPr>
      <xdr:blipFill>
        <a:blip xmlns:r="http://schemas.openxmlformats.org/officeDocument/2006/relationships" r:embed="rId1" cstate="print"/>
        <a:stretch>
          <a:fillRect/>
        </a:stretch>
      </xdr:blipFill>
      <xdr:spPr>
        <a:xfrm>
          <a:off x="15122071" y="190500"/>
          <a:ext cx="1882564" cy="70703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28726</xdr:colOff>
      <xdr:row>0</xdr:row>
      <xdr:rowOff>96761</xdr:rowOff>
    </xdr:from>
    <xdr:to>
      <xdr:col>15</xdr:col>
      <xdr:colOff>1931854</xdr:colOff>
      <xdr:row>3</xdr:row>
      <xdr:rowOff>130936</xdr:rowOff>
    </xdr:to>
    <xdr:pic>
      <xdr:nvPicPr>
        <xdr:cNvPr id="2" name="Picture 1" descr="PIAS.png">
          <a:extLst>
            <a:ext uri="{FF2B5EF4-FFF2-40B4-BE49-F238E27FC236}">
              <a16:creationId xmlns:a16="http://schemas.microsoft.com/office/drawing/2014/main" id="{726660E8-F296-458A-8C3C-F389465484E5}"/>
            </a:ext>
          </a:extLst>
        </xdr:cNvPr>
        <xdr:cNvPicPr>
          <a:picLocks noChangeAspect="1"/>
        </xdr:cNvPicPr>
      </xdr:nvPicPr>
      <xdr:blipFill>
        <a:blip xmlns:r="http://schemas.openxmlformats.org/officeDocument/2006/relationships" r:embed="rId1" cstate="print"/>
        <a:stretch>
          <a:fillRect/>
        </a:stretch>
      </xdr:blipFill>
      <xdr:spPr>
        <a:xfrm>
          <a:off x="12846655" y="96761"/>
          <a:ext cx="1906938" cy="681603"/>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2FCDB0B-90D2-44C0-8CDA-3B686D71EF15}"/>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833363</xdr:colOff>
      <xdr:row>0</xdr:row>
      <xdr:rowOff>0</xdr:rowOff>
    </xdr:from>
    <xdr:to>
      <xdr:col>15</xdr:col>
      <xdr:colOff>2743021</xdr:colOff>
      <xdr:row>3</xdr:row>
      <xdr:rowOff>29276</xdr:rowOff>
    </xdr:to>
    <xdr:pic>
      <xdr:nvPicPr>
        <xdr:cNvPr id="2" name="Picture 1" descr="PIAS.png">
          <a:extLst>
            <a:ext uri="{FF2B5EF4-FFF2-40B4-BE49-F238E27FC236}">
              <a16:creationId xmlns:a16="http://schemas.microsoft.com/office/drawing/2014/main" id="{766FB2D7-7728-4A1F-ACD2-12F5AA59EC36}"/>
            </a:ext>
          </a:extLst>
        </xdr:cNvPr>
        <xdr:cNvPicPr>
          <a:picLocks noChangeAspect="1"/>
        </xdr:cNvPicPr>
      </xdr:nvPicPr>
      <xdr:blipFill>
        <a:blip xmlns:r="http://schemas.openxmlformats.org/officeDocument/2006/relationships" r:embed="rId1" cstate="print"/>
        <a:stretch>
          <a:fillRect/>
        </a:stretch>
      </xdr:blipFill>
      <xdr:spPr>
        <a:xfrm>
          <a:off x="13950649" y="0"/>
          <a:ext cx="1909658" cy="684324"/>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AB827597-8130-4CBD-907D-42BCE0FD5255}"/>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16</xdr:col>
      <xdr:colOff>264584</xdr:colOff>
      <xdr:row>1</xdr:row>
      <xdr:rowOff>42333</xdr:rowOff>
    </xdr:from>
    <xdr:to>
      <xdr:col>18</xdr:col>
      <xdr:colOff>510542</xdr:colOff>
      <xdr:row>4</xdr:row>
      <xdr:rowOff>97644</xdr:rowOff>
    </xdr:to>
    <xdr:pic>
      <xdr:nvPicPr>
        <xdr:cNvPr id="3" name="Picture 2" descr="PIAS.png">
          <a:extLst>
            <a:ext uri="{FF2B5EF4-FFF2-40B4-BE49-F238E27FC236}">
              <a16:creationId xmlns:a16="http://schemas.microsoft.com/office/drawing/2014/main" id="{DB6159BA-FC82-4A8F-AE12-6338BBA7DFF6}"/>
            </a:ext>
          </a:extLst>
        </xdr:cNvPr>
        <xdr:cNvPicPr>
          <a:picLocks noChangeAspect="1"/>
        </xdr:cNvPicPr>
      </xdr:nvPicPr>
      <xdr:blipFill>
        <a:blip xmlns:r="http://schemas.openxmlformats.org/officeDocument/2006/relationships" r:embed="rId1" cstate="print"/>
        <a:stretch>
          <a:fillRect/>
        </a:stretch>
      </xdr:blipFill>
      <xdr:spPr>
        <a:xfrm>
          <a:off x="15028334" y="243416"/>
          <a:ext cx="1882564" cy="70703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651934</xdr:colOff>
      <xdr:row>0</xdr:row>
      <xdr:rowOff>80433</xdr:rowOff>
    </xdr:from>
    <xdr:to>
      <xdr:col>15</xdr:col>
      <xdr:colOff>2555877</xdr:colOff>
      <xdr:row>3</xdr:row>
      <xdr:rowOff>117329</xdr:rowOff>
    </xdr:to>
    <xdr:pic>
      <xdr:nvPicPr>
        <xdr:cNvPr id="2" name="Picture 1" descr="PIAS.png">
          <a:extLst>
            <a:ext uri="{FF2B5EF4-FFF2-40B4-BE49-F238E27FC236}">
              <a16:creationId xmlns:a16="http://schemas.microsoft.com/office/drawing/2014/main" id="{89E2E376-9DFA-4677-88D0-198502D1ABCE}"/>
            </a:ext>
          </a:extLst>
        </xdr:cNvPr>
        <xdr:cNvPicPr>
          <a:picLocks noChangeAspect="1"/>
        </xdr:cNvPicPr>
      </xdr:nvPicPr>
      <xdr:blipFill>
        <a:blip xmlns:r="http://schemas.openxmlformats.org/officeDocument/2006/relationships" r:embed="rId1" cstate="print"/>
        <a:stretch>
          <a:fillRect/>
        </a:stretch>
      </xdr:blipFill>
      <xdr:spPr>
        <a:xfrm>
          <a:off x="14209184" y="80433"/>
          <a:ext cx="1903943" cy="690946"/>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CAA120D1-4AD4-4958-8B0F-9620DAE4C7F0}"/>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15</xdr:col>
      <xdr:colOff>679450</xdr:colOff>
      <xdr:row>0</xdr:row>
      <xdr:rowOff>93133</xdr:rowOff>
    </xdr:from>
    <xdr:to>
      <xdr:col>15</xdr:col>
      <xdr:colOff>2573657</xdr:colOff>
      <xdr:row>3</xdr:row>
      <xdr:rowOff>132569</xdr:rowOff>
    </xdr:to>
    <xdr:pic>
      <xdr:nvPicPr>
        <xdr:cNvPr id="2" name="Picture 1" descr="PIAS.png">
          <a:extLst>
            <a:ext uri="{FF2B5EF4-FFF2-40B4-BE49-F238E27FC236}">
              <a16:creationId xmlns:a16="http://schemas.microsoft.com/office/drawing/2014/main" id="{C3A01D0E-152E-4656-9FFF-51B728D6BF47}"/>
            </a:ext>
          </a:extLst>
        </xdr:cNvPr>
        <xdr:cNvPicPr>
          <a:picLocks noChangeAspect="1"/>
        </xdr:cNvPicPr>
      </xdr:nvPicPr>
      <xdr:blipFill>
        <a:blip xmlns:r="http://schemas.openxmlformats.org/officeDocument/2006/relationships" r:embed="rId1" cstate="print"/>
        <a:stretch>
          <a:fillRect/>
        </a:stretch>
      </xdr:blipFill>
      <xdr:spPr>
        <a:xfrm>
          <a:off x="14276917" y="93133"/>
          <a:ext cx="1901827" cy="703646"/>
        </a:xfrm>
        <a:prstGeom prst="rect">
          <a:avLst/>
        </a:prstGeom>
      </xdr:spPr>
    </xdr:pic>
    <xdr:clientData/>
  </xdr:twoCellAnchor>
  <xdr:twoCellAnchor>
    <xdr:from>
      <xdr:col>0</xdr:col>
      <xdr:colOff>0</xdr:colOff>
      <xdr:row>0</xdr:row>
      <xdr:rowOff>0</xdr:rowOff>
    </xdr:from>
    <xdr:to>
      <xdr:col>0</xdr:col>
      <xdr:colOff>598170</xdr:colOff>
      <xdr:row>0</xdr:row>
      <xdr:rowOff>179293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556B21D8-D38D-4E7D-A726-AA76B93F7349}"/>
            </a:ext>
          </a:extLst>
        </xdr:cNvPr>
        <xdr:cNvSpPr/>
      </xdr:nvSpPr>
      <xdr:spPr>
        <a:xfrm>
          <a:off x="0" y="0"/>
          <a:ext cx="598170" cy="179293"/>
        </a:xfrm>
        <a:prstGeom prst="roundRect">
          <a:avLst/>
        </a:prstGeom>
        <a:solidFill>
          <a:srgbClr val="0000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00" b="1"/>
            <a:t>Back</a:t>
          </a:r>
          <a:endParaRPr lang="en-US" sz="600" b="1"/>
        </a:p>
      </xdr:txBody>
    </xdr:sp>
    <xdr:clientData/>
  </xdr:twoCellAnchor>
</xdr:wsDr>
</file>

<file path=xl/persons/person.xml><?xml version="1.0" encoding="utf-8"?>
<personList xmlns="http://schemas.microsoft.com/office/spreadsheetml/2018/threadedcomments" xmlns:x="http://schemas.openxmlformats.org/spreadsheetml/2006/main">
  <person displayName="Yong Shun Lee" id="{6050C8E7-57AB-4AC0-AFF9-355AEBF4B256}" userId="S::sg108118@singlife.com::1bba875f-01b7-4485-99ae-b5bd9394d98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142C22-FD67-42CE-B1AD-40A99A398A57}" name="Table23" displayName="Table23" ref="B3:D11" totalsRowShown="0" headerRowDxfId="285" dataDxfId="283" headerRowBorderDxfId="284" tableBorderDxfId="282" totalsRowBorderDxfId="281">
  <autoFilter ref="B3:D11" xr:uid="{98142C22-FD67-42CE-B1AD-40A99A398A57}"/>
  <tableColumns count="3">
    <tableColumn id="2" xr3:uid="{9AB307E1-07A9-4FB6-AD75-51436C47A9B8}" name="Provider" dataDxfId="280"/>
    <tableColumn id="4" xr3:uid="{8D274B3B-AF17-48D9-ADEA-B0EBF378FA22}" name="Plan" dataDxfId="279"/>
    <tableColumn id="6" xr3:uid="{98F8D433-5423-4A28-B266-AD9910AA3B35}" name="Product Info" dataDxfId="27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4" dT="2025-01-16T03:36:47.14" personId="{6050C8E7-57AB-4AC0-AFF9-355AEBF4B256}" id="{7491D488-F5BF-49E8-8C73-E84E1E307511}">
    <text>Manual entry</text>
  </threadedComment>
  <threadedComment ref="L55" dT="2025-01-16T03:37:03.97" personId="{6050C8E7-57AB-4AC0-AFF9-355AEBF4B256}" id="{45CCAC29-C698-4DBA-87F3-2F98341117FC}">
    <text>Manual entry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C52E-8C79-4517-B954-142471E725EB}">
  <sheetPr>
    <pageSetUpPr fitToPage="1"/>
  </sheetPr>
  <dimension ref="A3:I4"/>
  <sheetViews>
    <sheetView zoomScale="70" zoomScaleNormal="70" workbookViewId="0">
      <selection activeCell="O27" sqref="O27"/>
    </sheetView>
  </sheetViews>
  <sheetFormatPr defaultColWidth="9.1796875" defaultRowHeight="12.5" x14ac:dyDescent="0.25"/>
  <cols>
    <col min="1" max="16384" width="9.1796875" style="305"/>
  </cols>
  <sheetData>
    <row r="3" spans="1:9" ht="18" customHeight="1" x14ac:dyDescent="0.35">
      <c r="A3" s="306" t="s">
        <v>399</v>
      </c>
      <c r="B3" s="306"/>
      <c r="C3" s="306"/>
      <c r="D3" s="306"/>
      <c r="E3" s="306"/>
      <c r="F3" s="306"/>
      <c r="G3" s="306"/>
      <c r="H3" s="306"/>
      <c r="I3" s="306"/>
    </row>
    <row r="4" spans="1:9" ht="17.5" x14ac:dyDescent="0.35">
      <c r="A4" s="306" t="s">
        <v>400</v>
      </c>
      <c r="B4" s="306"/>
      <c r="C4" s="306"/>
      <c r="D4" s="306"/>
      <c r="E4" s="306"/>
      <c r="F4" s="306"/>
      <c r="G4" s="306"/>
      <c r="H4" s="306"/>
      <c r="I4" s="306"/>
    </row>
  </sheetData>
  <sheetProtection algorithmName="SHA-512" hashValue="P1OuHrvhrJJ/p9TruuK1rgx2pgp/jQ8vo0F71OBTSE3wt8prSvQumcnJmXo/lZIbJxyx1CIQOQFmzR20XN7R2A==" saltValue="csq6RMKn8L7LQL/p6Gzvvg==" spinCount="100000" sheet="1" objects="1" scenarios="1"/>
  <mergeCells count="2">
    <mergeCell ref="A3:I3"/>
    <mergeCell ref="A4:I4"/>
  </mergeCells>
  <pageMargins left="0.70866141732283472" right="0.70866141732283472" top="0.74803149606299213" bottom="0.74803149606299213" header="0.31496062992125984" footer="0.31496062992125984"/>
  <pageSetup paperSize="9" scale="95" orientation="portrait" r:id="rId1"/>
  <headerFooter>
    <oddFooter>&amp;L_x000D_&amp;1#&amp;"Calibri"&amp;8&amp;K0000FF Internal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032F-F043-4B3C-8752-351040079E7C}">
  <sheetPr>
    <tabColor theme="9" tint="0.79998168889431442"/>
    <pageSetUpPr fitToPage="1"/>
  </sheetPr>
  <dimension ref="A1:I22"/>
  <sheetViews>
    <sheetView showGridLines="0" zoomScale="70" zoomScaleNormal="70" workbookViewId="0">
      <selection activeCell="B17" sqref="B17"/>
    </sheetView>
  </sheetViews>
  <sheetFormatPr defaultColWidth="9.1796875" defaultRowHeight="14.5" x14ac:dyDescent="0.35"/>
  <cols>
    <col min="2" max="2" width="63.81640625" bestFit="1" customWidth="1"/>
    <col min="3" max="3" width="28.54296875" customWidth="1"/>
    <col min="4" max="4" width="30.1796875" customWidth="1"/>
    <col min="5" max="5" width="28.81640625" customWidth="1"/>
    <col min="6" max="6" width="23.81640625" customWidth="1"/>
    <col min="7" max="7" width="25.08984375" customWidth="1"/>
    <col min="8" max="8" width="28.1796875" customWidth="1"/>
  </cols>
  <sheetData>
    <row r="1" spans="1:9" s="99" customFormat="1" x14ac:dyDescent="0.35">
      <c r="A1" s="307" t="s">
        <v>162</v>
      </c>
      <c r="B1" s="307"/>
      <c r="C1" s="307"/>
      <c r="D1" s="307"/>
      <c r="E1" s="307"/>
      <c r="F1" s="307"/>
      <c r="G1" s="307"/>
      <c r="H1" s="308"/>
    </row>
    <row r="2" spans="1:9" s="99" customFormat="1" ht="117.5" customHeight="1" x14ac:dyDescent="0.25">
      <c r="A2" s="317" t="s">
        <v>401</v>
      </c>
      <c r="B2" s="317"/>
      <c r="C2" s="317"/>
      <c r="D2" s="317"/>
      <c r="E2" s="317"/>
      <c r="F2" s="317"/>
      <c r="G2" s="317"/>
      <c r="H2" s="317"/>
    </row>
    <row r="3" spans="1:9" s="99" customFormat="1" x14ac:dyDescent="0.35">
      <c r="A3" s="307" t="s">
        <v>148</v>
      </c>
      <c r="B3" s="307"/>
      <c r="C3" s="307"/>
      <c r="D3" s="307"/>
      <c r="E3" s="307"/>
      <c r="F3" s="307"/>
      <c r="G3" s="307"/>
      <c r="H3" s="308"/>
    </row>
    <row r="4" spans="1:9" x14ac:dyDescent="0.35">
      <c r="A4" s="318" t="s">
        <v>149</v>
      </c>
      <c r="B4" s="318"/>
      <c r="C4" s="101" t="s">
        <v>151</v>
      </c>
      <c r="D4" s="102" t="s">
        <v>152</v>
      </c>
      <c r="E4" s="102" t="s">
        <v>67</v>
      </c>
      <c r="F4" s="102" t="s">
        <v>26</v>
      </c>
      <c r="G4" s="102" t="s">
        <v>27</v>
      </c>
      <c r="H4" s="102" t="s">
        <v>54</v>
      </c>
      <c r="I4" s="129"/>
    </row>
    <row r="5" spans="1:9" x14ac:dyDescent="0.35">
      <c r="A5" s="316" t="str">
        <f>'Product Features'!A4</f>
        <v xml:space="preserve">SRS Option </v>
      </c>
      <c r="B5" s="316"/>
      <c r="C5" s="291" t="str">
        <f>IF('Product Features'!B4="N.A."," ","✔️")</f>
        <v>✔️</v>
      </c>
      <c r="D5" s="291" t="str">
        <f>IF('Product Features'!C4="N.A."," ","✔️")</f>
        <v xml:space="preserve"> </v>
      </c>
      <c r="E5" s="291" t="str">
        <f>IF('Product Features'!D4="N.A."," ","✔️")</f>
        <v xml:space="preserve"> </v>
      </c>
      <c r="F5" s="291" t="str">
        <f>IF('Product Features'!E4="N.A."," ","✔️")</f>
        <v xml:space="preserve"> </v>
      </c>
      <c r="G5" s="291" t="str">
        <f>IF('Product Features'!F4="N.A."," ","✔️")</f>
        <v>✔️</v>
      </c>
      <c r="H5" s="291" t="str">
        <f>IF('Product Features'!G4="N.A."," ","✔️")</f>
        <v>✔️</v>
      </c>
      <c r="I5" s="130"/>
    </row>
    <row r="6" spans="1:9" ht="14.5" customHeight="1" x14ac:dyDescent="0.35">
      <c r="A6" s="319" t="s">
        <v>369</v>
      </c>
      <c r="B6" s="319"/>
      <c r="C6" s="291" t="str">
        <f>IF(ISNUMBER(SEARCH("(flexible)", 'Product Features'!B8)), "✔️", "")</f>
        <v>✔️</v>
      </c>
      <c r="D6" s="291" t="str">
        <f>IF(ISNUMBER(SEARCH("(flexible)", 'Product Features'!C8)), "✔️", "")</f>
        <v/>
      </c>
      <c r="E6" s="291" t="str">
        <f>IF(ISNUMBER(SEARCH("(flexible)", 'Product Features'!D8)), "✔️", "")</f>
        <v>✔️</v>
      </c>
      <c r="F6" s="291" t="str">
        <f>IF(ISNUMBER(SEARCH("(flexible)", 'Product Features'!E8)), "✔️", "")</f>
        <v/>
      </c>
      <c r="G6" s="291" t="str">
        <f>IF(ISNUMBER(SEARCH("(flexible)", 'Product Features'!F8)), "✔️", "")</f>
        <v/>
      </c>
      <c r="H6" s="291" t="str">
        <f>IF(ISNUMBER(SEARCH("(flexible)", 'Product Features'!G8)), "✔️", "")</f>
        <v>✔️</v>
      </c>
      <c r="I6" s="130"/>
    </row>
    <row r="7" spans="1:9" x14ac:dyDescent="0.35">
      <c r="A7" s="319" t="s">
        <v>307</v>
      </c>
      <c r="B7" s="319"/>
      <c r="C7" s="291" t="str">
        <f>IF(ISNUMBER(SEARCH("range", 'Product Features'!B10)), "✔️", "")</f>
        <v>✔️</v>
      </c>
      <c r="D7" s="291" t="str">
        <f>IF(ISNUMBER(SEARCH("range", 'Product Features'!C10)), "✔️", "")</f>
        <v/>
      </c>
      <c r="E7" s="291" t="str">
        <f>IF(ISNUMBER(SEARCH("range", 'Product Features'!D10)), "✔️", "")</f>
        <v/>
      </c>
      <c r="F7" s="291" t="str">
        <f>IF(ISNUMBER(SEARCH("range", 'Product Features'!E10)), "✔️", "")</f>
        <v/>
      </c>
      <c r="G7" s="291" t="str">
        <f>IF(ISNUMBER(SEARCH("range", 'Product Features'!F10)), "✔️", "")</f>
        <v/>
      </c>
      <c r="H7" s="291" t="str">
        <f>IF(ISNUMBER(SEARCH("range", 'Product Features'!G10)), "✔️", "")</f>
        <v/>
      </c>
      <c r="I7" s="130"/>
    </row>
    <row r="8" spans="1:9" x14ac:dyDescent="0.35">
      <c r="A8" s="316" t="str">
        <f>'Product Features'!A11</f>
        <v>Capital Guaranteed</v>
      </c>
      <c r="B8" s="316"/>
      <c r="C8" s="291" t="str">
        <f>IF('Product Features'!B11="N.A."," ","✔️")</f>
        <v>✔️</v>
      </c>
      <c r="D8" s="291" t="str">
        <f>IF('Product Features'!C11="N.A."," ","✔️")</f>
        <v>✔️</v>
      </c>
      <c r="E8" s="291" t="str">
        <f>IF('Product Features'!D11="N.A."," ","✔️")</f>
        <v>✔️</v>
      </c>
      <c r="F8" s="291" t="str">
        <f>IF('Product Features'!E11="N.A."," ","✔️")</f>
        <v>✔️</v>
      </c>
      <c r="G8" s="291" t="str">
        <f>IF('Product Features'!F11="N.A."," ","✔️")</f>
        <v>✔️</v>
      </c>
      <c r="H8" s="291" t="str">
        <f>IF('Product Features'!G11="N.A."," ","✔️")</f>
        <v>✔️</v>
      </c>
      <c r="I8" s="130"/>
    </row>
    <row r="9" spans="1:9" x14ac:dyDescent="0.35">
      <c r="A9" s="316" t="str">
        <f>'Product Features'!A13</f>
        <v>Flexibility to Adjust Income Payout Period  After Policy Has Started</v>
      </c>
      <c r="B9" s="316"/>
      <c r="C9" s="291" t="str">
        <f>IF('Product Features'!B13="N.A."," ","✔️")</f>
        <v>✔️</v>
      </c>
      <c r="D9" s="291" t="str">
        <f>IF('Product Features'!C13="N.A."," ","✔️")</f>
        <v xml:space="preserve"> </v>
      </c>
      <c r="E9" s="291" t="str">
        <f>IF('Product Features'!D13="N.A."," ","✔️")</f>
        <v>✔️</v>
      </c>
      <c r="F9" s="291" t="str">
        <f>IF('Product Features'!E13="N.A."," ","✔️")</f>
        <v xml:space="preserve"> </v>
      </c>
      <c r="G9" s="291" t="str">
        <f>IF('Product Features'!F13="N.A."," ","✔️")</f>
        <v>✔️</v>
      </c>
      <c r="H9" s="291" t="str">
        <f>IF('Product Features'!G13="N.A."," ","✔️")</f>
        <v>✔️</v>
      </c>
      <c r="I9" s="130"/>
    </row>
    <row r="10" spans="1:9" ht="14.5" customHeight="1" x14ac:dyDescent="0.35">
      <c r="A10" s="316" t="str">
        <f>'Product Features'!A17</f>
        <v>Secondary Insured Option</v>
      </c>
      <c r="B10" s="316"/>
      <c r="C10" s="291" t="str">
        <f>IF('Product Features'!B17="N.A."," ","✔️")</f>
        <v xml:space="preserve"> </v>
      </c>
      <c r="D10" s="291" t="str">
        <f>IF('Product Features'!C17="N.A."," ","✔️")</f>
        <v xml:space="preserve"> </v>
      </c>
      <c r="E10" s="291" t="str">
        <f>IF('Product Features'!D17="N.A."," ","✔️")</f>
        <v xml:space="preserve"> </v>
      </c>
      <c r="F10" s="291" t="str">
        <f>IF('Product Features'!E17="N.A."," ","✔️")</f>
        <v xml:space="preserve"> </v>
      </c>
      <c r="G10" s="291" t="str">
        <f>IF('Product Features'!F17="N.A."," ","✔️")</f>
        <v xml:space="preserve"> </v>
      </c>
      <c r="H10" s="291" t="str">
        <f>IF('Product Features'!G17="N.A."," ","✔️")</f>
        <v>✔️</v>
      </c>
      <c r="I10" s="130"/>
    </row>
    <row r="11" spans="1:9" ht="15" customHeight="1" x14ac:dyDescent="0.35">
      <c r="A11" s="316" t="str">
        <f>'Product Features'!A18</f>
        <v>Change of Life Insured</v>
      </c>
      <c r="B11" s="316"/>
      <c r="C11" s="291" t="str">
        <f>IF('Product Features'!B18="N.A."," ","✔️")</f>
        <v>✔️</v>
      </c>
      <c r="D11" s="291" t="str">
        <f>IF('Product Features'!C18="N.A."," ","✔️")</f>
        <v xml:space="preserve"> </v>
      </c>
      <c r="E11" s="291" t="str">
        <f>IF('Product Features'!D18="N.A."," ","✔️")</f>
        <v xml:space="preserve"> </v>
      </c>
      <c r="F11" s="291" t="str">
        <f>IF('Product Features'!E18="N.A."," ","✔️")</f>
        <v xml:space="preserve"> </v>
      </c>
      <c r="G11" s="291" t="str">
        <f>IF('Product Features'!F18="N.A."," ","✔️")</f>
        <v xml:space="preserve"> </v>
      </c>
      <c r="H11" s="291" t="str">
        <f>IF('Product Features'!G18="N.A."," ","✔️")</f>
        <v xml:space="preserve"> </v>
      </c>
      <c r="I11" s="130"/>
    </row>
    <row r="12" spans="1:9" x14ac:dyDescent="0.35">
      <c r="A12" s="316" t="str">
        <f>'Product Features'!A22</f>
        <v>Disability Income Payout
(Additional Payouts)</v>
      </c>
      <c r="B12" s="316"/>
      <c r="C12" s="291" t="str">
        <f>IF('Product Features'!B22="N.A."," ","✔️")</f>
        <v xml:space="preserve"> </v>
      </c>
      <c r="D12" s="291" t="str">
        <f>IF('Product Features'!C22="N.A."," ","✔️")</f>
        <v xml:space="preserve"> </v>
      </c>
      <c r="E12" s="291" t="str">
        <f>IF('Product Features'!D22="N.A."," ","✔️")</f>
        <v>✔️</v>
      </c>
      <c r="F12" s="291" t="str">
        <f>IF('Product Features'!E22="N.A."," ","✔️")</f>
        <v xml:space="preserve"> </v>
      </c>
      <c r="G12" s="291" t="str">
        <f>IF('Product Features'!F22="N.A."," ","✔️")</f>
        <v>✔️</v>
      </c>
      <c r="H12" s="291" t="str">
        <f>IF('Product Features'!G22="N.A."," ","✔️")</f>
        <v>✔️</v>
      </c>
      <c r="I12" s="130"/>
    </row>
    <row r="13" spans="1:9" x14ac:dyDescent="0.35">
      <c r="A13" s="316" t="str">
        <f>'Product Features'!A23</f>
        <v>Retrenchment Benefit</v>
      </c>
      <c r="B13" s="316"/>
      <c r="C13" s="291" t="str">
        <f>IF('Product Features'!B23="N.A."," ","✔️")</f>
        <v xml:space="preserve"> </v>
      </c>
      <c r="D13" s="291" t="str">
        <f>IF('Product Features'!C23="N.A."," ","✔️")</f>
        <v>✔️</v>
      </c>
      <c r="E13" s="291" t="str">
        <f>IF('Product Features'!D23="N.A."," ","✔️")</f>
        <v xml:space="preserve"> </v>
      </c>
      <c r="F13" s="291" t="str">
        <f>IF('Product Features'!E23="N.A."," ","✔️")</f>
        <v xml:space="preserve"> </v>
      </c>
      <c r="G13" s="291" t="str">
        <f>IF('Product Features'!F23="N.A."," ","✔️")</f>
        <v>✔️</v>
      </c>
      <c r="H13" s="291" t="str">
        <f>IF('Product Features'!G23="N.A."," ","✔️")</f>
        <v>✔️</v>
      </c>
      <c r="I13" s="132"/>
    </row>
    <row r="14" spans="1:9" x14ac:dyDescent="0.35">
      <c r="A14" s="315"/>
      <c r="B14" s="315"/>
      <c r="C14" s="291"/>
      <c r="D14" s="291"/>
      <c r="E14" s="291"/>
      <c r="F14" s="291"/>
      <c r="G14" s="291"/>
      <c r="H14" s="291"/>
      <c r="I14" s="132"/>
    </row>
    <row r="16" spans="1:9" ht="23" customHeight="1" x14ac:dyDescent="0.35">
      <c r="B16" s="103" t="s">
        <v>2</v>
      </c>
      <c r="C16" s="314" t="s">
        <v>153</v>
      </c>
      <c r="D16" s="314"/>
      <c r="E16" s="314"/>
      <c r="F16" s="314"/>
      <c r="G16" s="314"/>
      <c r="H16" s="314"/>
    </row>
    <row r="17" spans="2:8" ht="219" customHeight="1" x14ac:dyDescent="0.35">
      <c r="B17" s="43" t="s">
        <v>151</v>
      </c>
      <c r="C17" s="309" t="s">
        <v>171</v>
      </c>
      <c r="D17" s="312"/>
      <c r="E17" s="312"/>
      <c r="F17" s="312"/>
      <c r="G17" s="312"/>
      <c r="H17" s="313"/>
    </row>
    <row r="18" spans="2:8" ht="220" customHeight="1" x14ac:dyDescent="0.35">
      <c r="B18" s="43" t="s">
        <v>64</v>
      </c>
      <c r="C18" s="309" t="s">
        <v>392</v>
      </c>
      <c r="D18" s="312"/>
      <c r="E18" s="312"/>
      <c r="F18" s="312"/>
      <c r="G18" s="312"/>
      <c r="H18" s="313"/>
    </row>
    <row r="19" spans="2:8" ht="178.5" customHeight="1" x14ac:dyDescent="0.35">
      <c r="B19" s="100" t="s">
        <v>67</v>
      </c>
      <c r="C19" s="309" t="s">
        <v>172</v>
      </c>
      <c r="D19" s="312"/>
      <c r="E19" s="312"/>
      <c r="F19" s="312"/>
      <c r="G19" s="312"/>
      <c r="H19" s="313"/>
    </row>
    <row r="20" spans="2:8" ht="98" customHeight="1" x14ac:dyDescent="0.35">
      <c r="B20" s="100" t="s">
        <v>154</v>
      </c>
      <c r="C20" s="309" t="s">
        <v>365</v>
      </c>
      <c r="D20" s="312"/>
      <c r="E20" s="312"/>
      <c r="F20" s="312"/>
      <c r="G20" s="312"/>
      <c r="H20" s="313"/>
    </row>
    <row r="21" spans="2:8" ht="295.5" customHeight="1" x14ac:dyDescent="0.35">
      <c r="B21" s="43" t="s">
        <v>54</v>
      </c>
      <c r="C21" s="309" t="s">
        <v>366</v>
      </c>
      <c r="D21" s="312"/>
      <c r="E21" s="312"/>
      <c r="F21" s="312"/>
      <c r="G21" s="312"/>
      <c r="H21" s="313"/>
    </row>
    <row r="22" spans="2:8" ht="227" customHeight="1" x14ac:dyDescent="0.35">
      <c r="B22" s="43" t="s">
        <v>27</v>
      </c>
      <c r="C22" s="309" t="s">
        <v>367</v>
      </c>
      <c r="D22" s="310"/>
      <c r="E22" s="310"/>
      <c r="F22" s="310"/>
      <c r="G22" s="310"/>
      <c r="H22" s="311"/>
    </row>
  </sheetData>
  <sheetProtection algorithmName="SHA-512" hashValue="+m4K1qsujROMojnxb0M2En13NNcuXVK5AOS4IwEl5eWa4dfI9V56dMpng2+s+3RRRC6JGydJK6Pa9JBdpzc8gQ==" saltValue="jQr8f25RYtLwFQVs7e4rwA==" spinCount="100000" sheet="1" objects="1" scenarios="1" selectLockedCells="1" autoFilter="0" selectUnlockedCells="1"/>
  <mergeCells count="21">
    <mergeCell ref="A7:B7"/>
    <mergeCell ref="A8:B8"/>
    <mergeCell ref="A13:B13"/>
    <mergeCell ref="A9:B9"/>
    <mergeCell ref="A10:B10"/>
    <mergeCell ref="A1:H1"/>
    <mergeCell ref="C22:H22"/>
    <mergeCell ref="C21:H21"/>
    <mergeCell ref="C16:H16"/>
    <mergeCell ref="C17:H17"/>
    <mergeCell ref="C18:H18"/>
    <mergeCell ref="C19:H19"/>
    <mergeCell ref="C20:H20"/>
    <mergeCell ref="A14:B14"/>
    <mergeCell ref="A11:B11"/>
    <mergeCell ref="A12:B12"/>
    <mergeCell ref="A2:H2"/>
    <mergeCell ref="A3:H3"/>
    <mergeCell ref="A4:B4"/>
    <mergeCell ref="A5:B5"/>
    <mergeCell ref="A6:B6"/>
  </mergeCells>
  <hyperlinks>
    <hyperlink ref="A5:B5" location="'Product Features'!B4" display="'Product Features'!B4" xr:uid="{F909ED5A-BBA4-4B31-B272-763C4594ADA3}"/>
    <hyperlink ref="A6:B6" location="'Product Features'!A8" display="Flexible Retirement Age" xr:uid="{727D7292-2510-42DF-B426-4CB51CA3FEA1}"/>
    <hyperlink ref="A7:B7" location="'Product Features'!A10" display="Flexible Payout Period" xr:uid="{116DC9EB-03A7-4DA7-977B-E16DED3E19AB}"/>
    <hyperlink ref="A8:B8" location="'Product Features'!A11" display="'Product Features'!A11" xr:uid="{EBFB47E6-12AD-4949-9D77-D22832C50497}"/>
    <hyperlink ref="A9:B9" location="'Product Features'!A13" display="'Product Features'!A13" xr:uid="{45BB3F2E-FC89-47AD-A30E-BDA403CDABDA}"/>
    <hyperlink ref="A10:B10" location="'Product Features'!A17" display="'Product Features'!A17" xr:uid="{9B5D4F90-0B5A-4705-BEBE-7728C3D08471}"/>
    <hyperlink ref="A11:B11" location="'Product Features'!A18" display="'Product Features'!A18" xr:uid="{F986B488-29D9-41B0-A191-6D110A9EB9D6}"/>
    <hyperlink ref="A12:B12" location="'Product Features'!A22" display="'Product Features'!A22" xr:uid="{84895007-F890-4D31-A003-0AF300C3EF97}"/>
    <hyperlink ref="A13:B13" location="'Product Features'!A23" display="'Product Features'!A23" xr:uid="{79EFA58E-AF9F-4CC8-9F2A-DFD6E51B3D11}"/>
  </hyperlinks>
  <pageMargins left="0.7" right="0.7" top="0.75" bottom="0.75" header="0.3" footer="0.3"/>
  <pageSetup paperSize="9" scale="48" orientation="landscape" r:id="rId1"/>
  <headerFooter>
    <oddFooter>&amp;L_x000D_&amp;1#&amp;"Calibri"&amp;8&amp;K0000FF Internal</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098B-B019-4686-890A-507074BBD3AA}">
  <sheetPr>
    <tabColor theme="9" tint="0.79998168889431442"/>
    <pageSetUpPr fitToPage="1"/>
  </sheetPr>
  <dimension ref="B1:N72"/>
  <sheetViews>
    <sheetView showGridLines="0" zoomScale="70" zoomScaleNormal="70" workbookViewId="0">
      <pane ySplit="8" topLeftCell="A9" activePane="bottomLeft" state="frozen"/>
      <selection pane="bottomLeft"/>
    </sheetView>
  </sheetViews>
  <sheetFormatPr defaultColWidth="9.1796875" defaultRowHeight="14.5" x14ac:dyDescent="0.35"/>
  <cols>
    <col min="2" max="2" width="52.90625" bestFit="1" customWidth="1"/>
    <col min="3" max="3" width="20.36328125" customWidth="1"/>
    <col min="4" max="4" width="19.1796875" customWidth="1"/>
    <col min="5" max="5" width="21.6328125" customWidth="1"/>
    <col min="6" max="6" width="20.90625" customWidth="1"/>
    <col min="7" max="7" width="21.453125" customWidth="1"/>
    <col min="8" max="8" width="19.81640625" customWidth="1"/>
    <col min="9" max="9" width="19.453125" customWidth="1"/>
    <col min="10" max="10" width="16.1796875" customWidth="1"/>
    <col min="11" max="12" width="19" customWidth="1"/>
    <col min="13" max="13" width="15.36328125" customWidth="1"/>
    <col min="14" max="14" width="16.81640625" customWidth="1"/>
  </cols>
  <sheetData>
    <row r="1" spans="2:14" x14ac:dyDescent="0.35">
      <c r="B1" s="320" t="s">
        <v>330</v>
      </c>
      <c r="C1" s="321"/>
      <c r="D1" s="321"/>
      <c r="E1" s="321"/>
      <c r="F1" s="321"/>
      <c r="G1" s="321"/>
      <c r="H1" s="321"/>
      <c r="I1" s="321"/>
      <c r="J1" s="321"/>
      <c r="K1" s="298"/>
      <c r="L1" s="298"/>
      <c r="M1" s="299"/>
      <c r="N1" s="299"/>
    </row>
    <row r="2" spans="2:14" ht="14.5" customHeight="1" x14ac:dyDescent="0.35">
      <c r="B2" s="336" t="s">
        <v>331</v>
      </c>
      <c r="C2" s="337"/>
      <c r="D2" s="337"/>
      <c r="E2" s="337"/>
      <c r="F2" s="337"/>
      <c r="G2" s="337"/>
      <c r="H2" s="337"/>
      <c r="I2" s="337"/>
      <c r="J2" s="337"/>
      <c r="K2" s="337"/>
      <c r="L2" s="337"/>
      <c r="M2" s="337"/>
      <c r="N2" s="338"/>
    </row>
    <row r="3" spans="2:14" x14ac:dyDescent="0.35">
      <c r="B3" s="339"/>
      <c r="C3" s="340"/>
      <c r="D3" s="340"/>
      <c r="E3" s="340"/>
      <c r="F3" s="340"/>
      <c r="G3" s="340"/>
      <c r="H3" s="340"/>
      <c r="I3" s="340"/>
      <c r="J3" s="340"/>
      <c r="K3" s="340"/>
      <c r="L3" s="340"/>
      <c r="M3" s="340"/>
      <c r="N3" s="341"/>
    </row>
    <row r="4" spans="2:14" x14ac:dyDescent="0.35">
      <c r="B4" s="339"/>
      <c r="C4" s="340"/>
      <c r="D4" s="340"/>
      <c r="E4" s="340"/>
      <c r="F4" s="340"/>
      <c r="G4" s="340"/>
      <c r="H4" s="340"/>
      <c r="I4" s="340"/>
      <c r="J4" s="340"/>
      <c r="K4" s="340"/>
      <c r="L4" s="340"/>
      <c r="M4" s="340"/>
      <c r="N4" s="341"/>
    </row>
    <row r="5" spans="2:14" x14ac:dyDescent="0.35">
      <c r="B5" s="342"/>
      <c r="C5" s="343"/>
      <c r="D5" s="343"/>
      <c r="E5" s="343"/>
      <c r="F5" s="343"/>
      <c r="G5" s="343"/>
      <c r="H5" s="343"/>
      <c r="I5" s="343"/>
      <c r="J5" s="343"/>
      <c r="K5" s="343"/>
      <c r="L5" s="343"/>
      <c r="M5" s="343"/>
      <c r="N5" s="344"/>
    </row>
    <row r="6" spans="2:14" ht="18" customHeight="1" x14ac:dyDescent="0.35">
      <c r="B6" s="327" t="s">
        <v>157</v>
      </c>
      <c r="C6" s="327"/>
      <c r="D6" s="327"/>
      <c r="E6" s="327"/>
      <c r="F6" s="327"/>
      <c r="G6" s="327"/>
      <c r="H6" s="327"/>
      <c r="I6" s="327"/>
      <c r="J6" s="327"/>
      <c r="K6" s="327"/>
      <c r="L6" s="327"/>
      <c r="M6" s="327"/>
      <c r="N6" s="327"/>
    </row>
    <row r="7" spans="2:14" ht="16.5" customHeight="1" x14ac:dyDescent="0.35">
      <c r="B7" s="345"/>
      <c r="C7" s="328" t="s">
        <v>151</v>
      </c>
      <c r="D7" s="329"/>
      <c r="E7" s="325" t="s">
        <v>64</v>
      </c>
      <c r="F7" s="326"/>
      <c r="G7" s="325" t="s">
        <v>67</v>
      </c>
      <c r="H7" s="326"/>
      <c r="I7" s="325" t="s">
        <v>26</v>
      </c>
      <c r="J7" s="326"/>
      <c r="K7" s="325" t="s">
        <v>54</v>
      </c>
      <c r="L7" s="326"/>
      <c r="M7" s="325" t="s">
        <v>27</v>
      </c>
      <c r="N7" s="326"/>
    </row>
    <row r="8" spans="2:14" ht="16.5" customHeight="1" x14ac:dyDescent="0.35">
      <c r="B8" s="346"/>
      <c r="C8" s="133" t="s">
        <v>155</v>
      </c>
      <c r="D8" s="133" t="s">
        <v>156</v>
      </c>
      <c r="E8" s="133" t="s">
        <v>155</v>
      </c>
      <c r="F8" s="133" t="s">
        <v>156</v>
      </c>
      <c r="G8" s="133" t="s">
        <v>155</v>
      </c>
      <c r="H8" s="133" t="s">
        <v>156</v>
      </c>
      <c r="I8" s="133" t="s">
        <v>155</v>
      </c>
      <c r="J8" s="133" t="s">
        <v>156</v>
      </c>
      <c r="K8" s="133" t="s">
        <v>155</v>
      </c>
      <c r="L8" s="133" t="s">
        <v>156</v>
      </c>
      <c r="M8" s="133" t="s">
        <v>155</v>
      </c>
      <c r="N8" s="133" t="s">
        <v>156</v>
      </c>
    </row>
    <row r="9" spans="2:14" ht="16.5" customHeight="1" x14ac:dyDescent="0.35">
      <c r="B9" s="333" t="s">
        <v>333</v>
      </c>
      <c r="C9" s="334"/>
      <c r="D9" s="334"/>
      <c r="E9" s="334"/>
      <c r="F9" s="334"/>
      <c r="G9" s="334"/>
      <c r="H9" s="334"/>
      <c r="I9" s="334"/>
      <c r="J9" s="334"/>
      <c r="K9" s="334"/>
      <c r="L9" s="334"/>
      <c r="M9" s="334"/>
      <c r="N9" s="335"/>
    </row>
    <row r="10" spans="2:14" ht="16.5" customHeight="1" x14ac:dyDescent="0.35">
      <c r="B10" s="295" t="s">
        <v>332</v>
      </c>
      <c r="C10" s="292" t="str">
        <f>IF('Endowment Retirement (SP 100k)'!$R6=C$7,"✔️", "")</f>
        <v>✔️</v>
      </c>
      <c r="D10" s="292" t="str">
        <f>IF('Endowment Retirement (SP 100k)'!$S6=C$7,"✔️", "")</f>
        <v/>
      </c>
      <c r="E10" s="296" t="s">
        <v>292</v>
      </c>
      <c r="F10" s="296" t="s">
        <v>292</v>
      </c>
      <c r="G10" s="293" t="s">
        <v>292</v>
      </c>
      <c r="H10" s="293" t="s">
        <v>292</v>
      </c>
      <c r="I10" s="293" t="s">
        <v>292</v>
      </c>
      <c r="J10" s="293" t="s">
        <v>292</v>
      </c>
      <c r="K10" s="292" t="str">
        <f>IF('Endowment Retirement (SP 100k)'!$R6=K$7,"✔️", "")</f>
        <v/>
      </c>
      <c r="L10" s="292" t="str">
        <f>IF('Endowment Retirement (SP 100k)'!$S6=K$7,"✔️", "")</f>
        <v>✔️</v>
      </c>
      <c r="M10" s="292" t="str">
        <f>IF('Endowment Retirement (SP 100k)'!$R6=M$7,"✔️", "")</f>
        <v/>
      </c>
      <c r="N10" s="292" t="str">
        <f>IF('Endowment Retirement (SP 100k)'!$S6=M$7,"✔️", "")</f>
        <v/>
      </c>
    </row>
    <row r="11" spans="2:14" ht="16.5" customHeight="1" x14ac:dyDescent="0.35">
      <c r="B11" s="295" t="s">
        <v>337</v>
      </c>
      <c r="C11" s="292" t="str">
        <f>IF('Endowment Retirement (SP 100k)'!$R7=C$7,"✔️", "")</f>
        <v>✔️</v>
      </c>
      <c r="D11" s="292" t="str">
        <f>IF('Endowment Retirement (SP 100k)'!$S7=C$7,"✔️", "")</f>
        <v/>
      </c>
      <c r="E11" s="296" t="s">
        <v>292</v>
      </c>
      <c r="F11" s="296" t="s">
        <v>292</v>
      </c>
      <c r="G11" s="293" t="s">
        <v>292</v>
      </c>
      <c r="H11" s="293" t="s">
        <v>292</v>
      </c>
      <c r="I11" s="293" t="s">
        <v>292</v>
      </c>
      <c r="J11" s="293" t="s">
        <v>292</v>
      </c>
      <c r="K11" s="292" t="str">
        <f>IF('Endowment Retirement (SP 100k)'!$R7=K$7,"✔️", "")</f>
        <v/>
      </c>
      <c r="L11" s="292" t="str">
        <f>IF('Endowment Retirement (SP 100k)'!$S7=K$7,"✔️", "")</f>
        <v>✔️</v>
      </c>
      <c r="M11" s="292" t="str">
        <f>IF('Endowment Retirement (SP 100k)'!$R7=M$7,"✔️", "")</f>
        <v/>
      </c>
      <c r="N11" s="292" t="str">
        <f>IF('Endowment Retirement (SP 100k)'!$S7=M$7,"✔️", "")</f>
        <v/>
      </c>
    </row>
    <row r="12" spans="2:14" ht="16.5" customHeight="1" x14ac:dyDescent="0.35">
      <c r="B12" s="295" t="s">
        <v>338</v>
      </c>
      <c r="C12" s="292" t="str">
        <f>IF('Endowment Retirement (SP 100k)'!$R8=C$7,"✔️", "")</f>
        <v>✔️</v>
      </c>
      <c r="D12" s="292" t="str">
        <f>IF('Endowment Retirement (SP 100k)'!$S8=C$7,"✔️", "")</f>
        <v/>
      </c>
      <c r="E12" s="296" t="s">
        <v>292</v>
      </c>
      <c r="F12" s="296" t="s">
        <v>292</v>
      </c>
      <c r="G12" s="293" t="s">
        <v>292</v>
      </c>
      <c r="H12" s="293" t="s">
        <v>292</v>
      </c>
      <c r="I12" s="293" t="s">
        <v>292</v>
      </c>
      <c r="J12" s="293" t="s">
        <v>292</v>
      </c>
      <c r="K12" s="292" t="str">
        <f>IF('Endowment Retirement (SP 100k)'!$R8=K$7,"✔️", "")</f>
        <v/>
      </c>
      <c r="L12" s="292" t="str">
        <f>IF('Endowment Retirement (SP 100k)'!$S8=K$7,"✔️", "")</f>
        <v>✔️</v>
      </c>
      <c r="M12" s="292" t="str">
        <f>IF('Endowment Retirement (SP 100k)'!$R8=M$7,"✔️", "")</f>
        <v/>
      </c>
      <c r="N12" s="292" t="str">
        <f>IF('Endowment Retirement (SP 100k)'!$S8=M$7,"✔️", "")</f>
        <v/>
      </c>
    </row>
    <row r="13" spans="2:14" ht="16.5" customHeight="1" x14ac:dyDescent="0.35">
      <c r="B13" s="295" t="s">
        <v>339</v>
      </c>
      <c r="C13" s="292" t="str">
        <f>IF('Endowment Retirement (SP 100k)'!$R9=C$7,"✔️", "")</f>
        <v>✔️</v>
      </c>
      <c r="D13" s="292" t="str">
        <f>IF('Endowment Retirement (SP 100k)'!$S9=C$7,"✔️", "")</f>
        <v/>
      </c>
      <c r="E13" s="296" t="s">
        <v>292</v>
      </c>
      <c r="F13" s="296" t="s">
        <v>292</v>
      </c>
      <c r="G13" s="293" t="s">
        <v>292</v>
      </c>
      <c r="H13" s="293" t="s">
        <v>292</v>
      </c>
      <c r="I13" s="293" t="s">
        <v>292</v>
      </c>
      <c r="J13" s="293" t="s">
        <v>292</v>
      </c>
      <c r="K13" s="292" t="str">
        <f>IF('Endowment Retirement (SP 100k)'!$R9=K$7,"✔️", "")</f>
        <v/>
      </c>
      <c r="L13" s="292" t="str">
        <f>IF('Endowment Retirement (SP 100k)'!$S9=K$7,"✔️", "")</f>
        <v>✔️</v>
      </c>
      <c r="M13" s="292" t="str">
        <f>IF('Endowment Retirement (SP 100k)'!$R9=M$7,"✔️", "")</f>
        <v/>
      </c>
      <c r="N13" s="292" t="str">
        <f>IF('Endowment Retirement (SP 100k)'!$S9=M$7,"✔️", "")</f>
        <v/>
      </c>
    </row>
    <row r="14" spans="2:14" ht="16.5" customHeight="1" x14ac:dyDescent="0.35">
      <c r="B14" s="295" t="s">
        <v>341</v>
      </c>
      <c r="C14" s="292" t="str">
        <f>IF('Endowment Retirement (SP 100k)'!$R10=C$7,"✔️", "")</f>
        <v>✔️</v>
      </c>
      <c r="D14" s="292" t="str">
        <f>IF('Endowment Retirement (SP 100k)'!$S10=C$7,"✔️", "")</f>
        <v/>
      </c>
      <c r="E14" s="296" t="s">
        <v>292</v>
      </c>
      <c r="F14" s="296" t="s">
        <v>292</v>
      </c>
      <c r="G14" s="292" t="str">
        <f>IF('Endowment Retirement (SP 100k)'!$R10=G$7,"✔️", "")</f>
        <v/>
      </c>
      <c r="H14" s="292" t="str">
        <f>IF('Endowment Retirement (SP 100k)'!$S10=G$7,"✔️", "")</f>
        <v>✔️</v>
      </c>
      <c r="I14" s="293" t="s">
        <v>292</v>
      </c>
      <c r="J14" s="293" t="s">
        <v>292</v>
      </c>
      <c r="K14" s="292" t="str">
        <f>IF('Endowment Retirement (SP 100k)'!$R10=K$7,"✔️", "")</f>
        <v/>
      </c>
      <c r="L14" s="292" t="str">
        <f>IF('Endowment Retirement (SP 100k)'!$S10=K$7,"✔️", "")</f>
        <v/>
      </c>
      <c r="M14" s="292" t="str">
        <f>IF('Endowment Retirement (SP 100k)'!$R10=M$7,"✔️", "")</f>
        <v/>
      </c>
      <c r="N14" s="292" t="str">
        <f>IF('Endowment Retirement (SP 100k)'!$S10=M$7,"✔️", "")</f>
        <v/>
      </c>
    </row>
    <row r="15" spans="2:14" ht="16.5" customHeight="1" x14ac:dyDescent="0.35">
      <c r="B15" s="295" t="s">
        <v>340</v>
      </c>
      <c r="C15" s="292" t="str">
        <f>IF('Endowment Retirement (SP 100k)'!$R11=C$7,"✔️", "")</f>
        <v>✔️</v>
      </c>
      <c r="D15" s="292" t="str">
        <f>IF('Endowment Retirement (SP 100k)'!$S11=C$7,"✔️", "")</f>
        <v/>
      </c>
      <c r="E15" s="296" t="s">
        <v>292</v>
      </c>
      <c r="F15" s="296" t="s">
        <v>292</v>
      </c>
      <c r="G15" s="292" t="str">
        <f>IF('Endowment Retirement (SP 100k)'!$R11=G$7,"✔️", "")</f>
        <v/>
      </c>
      <c r="H15" s="292" t="str">
        <f>IF('Endowment Retirement (SP 100k)'!$S11=G$7,"✔️", "")</f>
        <v>✔️</v>
      </c>
      <c r="I15" s="293" t="s">
        <v>292</v>
      </c>
      <c r="J15" s="293" t="s">
        <v>292</v>
      </c>
      <c r="K15" s="292" t="str">
        <f>IF('Endowment Retirement (SP 100k)'!$R11=K$7,"✔️", "")</f>
        <v/>
      </c>
      <c r="L15" s="292" t="str">
        <f>IF('Endowment Retirement (SP 100k)'!$S11=K$7,"✔️", "")</f>
        <v/>
      </c>
      <c r="M15" s="292" t="str">
        <f>IF('Endowment Retirement (SP 100k)'!$R11=M$7,"✔️", "")</f>
        <v/>
      </c>
      <c r="N15" s="292" t="str">
        <f>IF('Endowment Retirement (SP 100k)'!$S11=M$7,"✔️", "")</f>
        <v/>
      </c>
    </row>
    <row r="16" spans="2:14" ht="16.5" customHeight="1" x14ac:dyDescent="0.35">
      <c r="B16" s="295" t="s">
        <v>342</v>
      </c>
      <c r="C16" s="292" t="str">
        <f>IF('Endowment Retirement (SP 100k)'!$R12=C$7,"✔️", "")</f>
        <v>✔️</v>
      </c>
      <c r="D16" s="292" t="str">
        <f>IF('Endowment Retirement (SP 100k)'!$S12=C$7,"✔️", "")</f>
        <v/>
      </c>
      <c r="E16" s="296" t="s">
        <v>292</v>
      </c>
      <c r="F16" s="296" t="s">
        <v>292</v>
      </c>
      <c r="G16" s="292" t="str">
        <f>IF('Endowment Retirement (SP 100k)'!$R12=G$7,"✔️", "")</f>
        <v/>
      </c>
      <c r="H16" s="292" t="str">
        <f>IF('Endowment Retirement (SP 100k)'!$S12=G$7,"✔️", "")</f>
        <v>✔️</v>
      </c>
      <c r="I16" s="293" t="s">
        <v>292</v>
      </c>
      <c r="J16" s="293" t="s">
        <v>292</v>
      </c>
      <c r="K16" s="292" t="str">
        <f>IF('Endowment Retirement (SP 100k)'!$R12=K$7,"✔️", "")</f>
        <v/>
      </c>
      <c r="L16" s="292" t="str">
        <f>IF('Endowment Retirement (SP 100k)'!$S12=K$7,"✔️", "")</f>
        <v/>
      </c>
      <c r="M16" s="292" t="str">
        <f>IF('Endowment Retirement (SP 100k)'!$R12=M$7,"✔️", "")</f>
        <v/>
      </c>
      <c r="N16" s="292" t="str">
        <f>IF('Endowment Retirement (SP 100k)'!$S12=M$7,"✔️", "")</f>
        <v/>
      </c>
    </row>
    <row r="17" spans="2:14" ht="16.5" customHeight="1" x14ac:dyDescent="0.35">
      <c r="B17" s="295" t="s">
        <v>343</v>
      </c>
      <c r="C17" s="292" t="str">
        <f>IF('Endowment Retirement (SP 100k)'!$R13=C$7,"✔️", "")</f>
        <v>✔️</v>
      </c>
      <c r="D17" s="292" t="str">
        <f>IF('Endowment Retirement (SP 100k)'!$S13=C$7,"✔️", "")</f>
        <v>✔️</v>
      </c>
      <c r="E17" s="296" t="s">
        <v>292</v>
      </c>
      <c r="F17" s="296" t="s">
        <v>292</v>
      </c>
      <c r="G17" s="292" t="str">
        <f>IF('Endowment Retirement (SP 100k)'!$R13=G$7,"✔️", "")</f>
        <v/>
      </c>
      <c r="H17" s="292" t="str">
        <f>IF('Endowment Retirement (SP 100k)'!$S13=G$7,"✔️", "")</f>
        <v/>
      </c>
      <c r="I17" s="293" t="s">
        <v>292</v>
      </c>
      <c r="J17" s="293" t="s">
        <v>292</v>
      </c>
      <c r="K17" s="292" t="str">
        <f>IF('Endowment Retirement (SP 100k)'!$R13=K$7,"✔️", "")</f>
        <v/>
      </c>
      <c r="L17" s="292" t="str">
        <f>IF('Endowment Retirement (SP 100k)'!$S13=K$7,"✔️", "")</f>
        <v/>
      </c>
      <c r="M17" s="292" t="str">
        <f>IF('Endowment Retirement (SP 100k)'!$R13=M$7,"✔️", "")</f>
        <v/>
      </c>
      <c r="N17" s="292" t="str">
        <f>IF('Endowment Retirement (SP 100k)'!$S13=M$7,"✔️", "")</f>
        <v/>
      </c>
    </row>
    <row r="18" spans="2:14" ht="16.5" customHeight="1" x14ac:dyDescent="0.35">
      <c r="B18" s="333" t="s">
        <v>363</v>
      </c>
      <c r="C18" s="334"/>
      <c r="D18" s="334"/>
      <c r="E18" s="334"/>
      <c r="F18" s="334"/>
      <c r="G18" s="334"/>
      <c r="H18" s="334"/>
      <c r="I18" s="334"/>
      <c r="J18" s="334"/>
      <c r="K18" s="334"/>
      <c r="L18" s="334"/>
      <c r="M18" s="334"/>
      <c r="N18" s="335"/>
    </row>
    <row r="19" spans="2:14" ht="16.5" customHeight="1" x14ac:dyDescent="0.35">
      <c r="B19" s="295" t="s">
        <v>343</v>
      </c>
      <c r="C19" s="292" t="str">
        <f>IF('Endowment Retirement (SP 100k)'!$R14=C$7,"✔️", "")</f>
        <v>✔️</v>
      </c>
      <c r="D19" s="292" t="str">
        <f>IF('Endowment Retirement (SP 100k)'!$S14=C$7,"✔️", "")</f>
        <v/>
      </c>
      <c r="E19" s="296" t="s">
        <v>292</v>
      </c>
      <c r="F19" s="296" t="s">
        <v>292</v>
      </c>
      <c r="G19" s="292" t="str">
        <f>IF('Endowment Retirement (SP 100k)'!$R14=G$7,"✔️", "")</f>
        <v/>
      </c>
      <c r="H19" s="292" t="str">
        <f>IF('Endowment Retirement (SP 100k)'!$S14=G$7,"✔️", "")</f>
        <v>✔️</v>
      </c>
      <c r="I19" s="293" t="s">
        <v>292</v>
      </c>
      <c r="J19" s="293" t="s">
        <v>292</v>
      </c>
      <c r="K19" s="292" t="str">
        <f>IF('Endowment Retirement (SP 100k)'!$R14=K$7,"✔️", "")</f>
        <v/>
      </c>
      <c r="L19" s="292" t="str">
        <f>IF('Endowment Retirement (SP 100k)'!$S14=K$7,"✔️", "")</f>
        <v/>
      </c>
      <c r="M19" s="292" t="str">
        <f>IF('Endowment Retirement (SP 100k)'!$R14=M$7,"✔️", "")</f>
        <v/>
      </c>
      <c r="N19" s="292" t="str">
        <f>IF('Endowment Retirement (SP 100k)'!$S14=M$7,"✔️", "")</f>
        <v/>
      </c>
    </row>
    <row r="20" spans="2:14" ht="16.5" customHeight="1" x14ac:dyDescent="0.35">
      <c r="B20" s="333" t="s">
        <v>334</v>
      </c>
      <c r="C20" s="334"/>
      <c r="D20" s="334"/>
      <c r="E20" s="334"/>
      <c r="F20" s="334"/>
      <c r="G20" s="334"/>
      <c r="H20" s="334"/>
      <c r="I20" s="334"/>
      <c r="J20" s="334"/>
      <c r="K20" s="334"/>
      <c r="L20" s="334"/>
      <c r="M20" s="334"/>
      <c r="N20" s="335"/>
    </row>
    <row r="21" spans="2:14" ht="16.5" customHeight="1" x14ac:dyDescent="0.35">
      <c r="B21" s="295" t="s">
        <v>332</v>
      </c>
      <c r="C21" s="292" t="str">
        <f>IF('Endowment Retirement (SP 200k)'!$R6=C$7,"✔️", "")</f>
        <v>✔️</v>
      </c>
      <c r="D21" s="292" t="str">
        <f>IF('Endowment Retirement (SP 200k)'!$S6=C$7,"✔️", "")</f>
        <v/>
      </c>
      <c r="E21" s="134" t="s">
        <v>292</v>
      </c>
      <c r="F21" s="134" t="s">
        <v>292</v>
      </c>
      <c r="G21" s="134" t="s">
        <v>292</v>
      </c>
      <c r="H21" s="134" t="s">
        <v>292</v>
      </c>
      <c r="I21" s="134" t="s">
        <v>292</v>
      </c>
      <c r="J21" s="134" t="s">
        <v>292</v>
      </c>
      <c r="K21" s="292" t="str">
        <f>IF('Endowment Retirement (SP 200k)'!$R6=K$7,"✔️", "")</f>
        <v/>
      </c>
      <c r="L21" s="292" t="str">
        <f>IF('Endowment Retirement (SP 200k)'!$S6=K$7,"✔️", "")</f>
        <v>✔️</v>
      </c>
      <c r="M21" s="292" t="str">
        <f>IF('Endowment Retirement (SP 200k)'!$R6=M$7,"✔️", "")</f>
        <v/>
      </c>
      <c r="N21" s="292" t="str">
        <f>IF('Endowment Retirement (SP 200k)'!$S6=M$7,"✔️", "")</f>
        <v/>
      </c>
    </row>
    <row r="22" spans="2:14" ht="16.5" customHeight="1" x14ac:dyDescent="0.35">
      <c r="B22" s="295" t="s">
        <v>337</v>
      </c>
      <c r="C22" s="292" t="str">
        <f>IF('Endowment Retirement (SP 200k)'!$R7=C$7,"✔️", "")</f>
        <v>✔️</v>
      </c>
      <c r="D22" s="292" t="str">
        <f>IF('Endowment Retirement (SP 200k)'!$S7=C$7,"✔️", "")</f>
        <v/>
      </c>
      <c r="E22" s="134" t="s">
        <v>292</v>
      </c>
      <c r="F22" s="134" t="s">
        <v>292</v>
      </c>
      <c r="G22" s="134" t="s">
        <v>292</v>
      </c>
      <c r="H22" s="134" t="s">
        <v>292</v>
      </c>
      <c r="I22" s="134" t="s">
        <v>292</v>
      </c>
      <c r="J22" s="134" t="s">
        <v>292</v>
      </c>
      <c r="K22" s="292" t="str">
        <f>IF('Endowment Retirement (SP 200k)'!$R7=K$7,"✔️", "")</f>
        <v/>
      </c>
      <c r="L22" s="292" t="str">
        <f>IF('Endowment Retirement (SP 200k)'!$S7=K$7,"✔️", "")</f>
        <v>✔️</v>
      </c>
      <c r="M22" s="292" t="str">
        <f>IF('Endowment Retirement (SP 200k)'!$R7=M$7,"✔️", "")</f>
        <v/>
      </c>
      <c r="N22" s="292" t="str">
        <f>IF('Endowment Retirement (SP 200k)'!$S7=M$7,"✔️", "")</f>
        <v/>
      </c>
    </row>
    <row r="23" spans="2:14" ht="16.5" customHeight="1" x14ac:dyDescent="0.35">
      <c r="B23" s="295" t="s">
        <v>338</v>
      </c>
      <c r="C23" s="292" t="str">
        <f>IF('Endowment Retirement (SP 200k)'!$R8=C$7,"✔️", "")</f>
        <v>✔️</v>
      </c>
      <c r="D23" s="292" t="str">
        <f>IF('Endowment Retirement (SP 200k)'!$S8=C$7,"✔️", "")</f>
        <v/>
      </c>
      <c r="E23" s="134" t="s">
        <v>292</v>
      </c>
      <c r="F23" s="134" t="s">
        <v>292</v>
      </c>
      <c r="G23" s="134" t="s">
        <v>292</v>
      </c>
      <c r="H23" s="134" t="s">
        <v>292</v>
      </c>
      <c r="I23" s="134" t="s">
        <v>292</v>
      </c>
      <c r="J23" s="134" t="s">
        <v>292</v>
      </c>
      <c r="K23" s="292" t="str">
        <f>IF('Endowment Retirement (SP 200k)'!$R8=K$7,"✔️", "")</f>
        <v/>
      </c>
      <c r="L23" s="292" t="str">
        <f>IF('Endowment Retirement (SP 200k)'!$S8=K$7,"✔️", "")</f>
        <v>✔️</v>
      </c>
      <c r="M23" s="292" t="str">
        <f>IF('Endowment Retirement (SP 200k)'!$R8=M$7,"✔️", "")</f>
        <v/>
      </c>
      <c r="N23" s="292" t="str">
        <f>IF('Endowment Retirement (SP 200k)'!$S8=M$7,"✔️", "")</f>
        <v/>
      </c>
    </row>
    <row r="24" spans="2:14" ht="16.5" customHeight="1" x14ac:dyDescent="0.35">
      <c r="B24" s="295" t="s">
        <v>339</v>
      </c>
      <c r="C24" s="292" t="str">
        <f>IF('Endowment Retirement (SP 200k)'!$R9=C$7,"✔️", "")</f>
        <v>✔️</v>
      </c>
      <c r="D24" s="292" t="str">
        <f>IF('Endowment Retirement (SP 200k)'!$S9=C$7,"✔️", "")</f>
        <v/>
      </c>
      <c r="E24" s="134" t="s">
        <v>292</v>
      </c>
      <c r="F24" s="134" t="s">
        <v>292</v>
      </c>
      <c r="G24" s="134" t="s">
        <v>292</v>
      </c>
      <c r="H24" s="134" t="s">
        <v>292</v>
      </c>
      <c r="I24" s="134" t="s">
        <v>292</v>
      </c>
      <c r="J24" s="134" t="s">
        <v>292</v>
      </c>
      <c r="K24" s="292" t="str">
        <f>IF('Endowment Retirement (SP 200k)'!$R9=K$7,"✔️", "")</f>
        <v/>
      </c>
      <c r="L24" s="292" t="str">
        <f>IF('Endowment Retirement (SP 200k)'!$S9=K$7,"✔️", "")</f>
        <v>✔️</v>
      </c>
      <c r="M24" s="292" t="str">
        <f>IF('Endowment Retirement (SP 200k)'!$R9=M$7,"✔️", "")</f>
        <v/>
      </c>
      <c r="N24" s="292" t="str">
        <f>IF('Endowment Retirement (SP 200k)'!$S9=M$7,"✔️", "")</f>
        <v/>
      </c>
    </row>
    <row r="25" spans="2:14" ht="16.5" customHeight="1" x14ac:dyDescent="0.35">
      <c r="B25" s="295" t="s">
        <v>344</v>
      </c>
      <c r="C25" s="292" t="str">
        <f>IF('Endowment Retirement (SP 200k)'!$R10=C$7,"✔️", "")</f>
        <v>✔️</v>
      </c>
      <c r="D25" s="292" t="str">
        <f>IF('Endowment Retirement (SP 200k)'!$S10=C$7,"✔️", "")</f>
        <v/>
      </c>
      <c r="E25" s="134" t="s">
        <v>292</v>
      </c>
      <c r="F25" s="134" t="s">
        <v>292</v>
      </c>
      <c r="G25" s="292" t="str">
        <f>IF('Endowment Retirement (SP 200k)'!$R10=G$7,"✔️", "")</f>
        <v/>
      </c>
      <c r="H25" s="292" t="str">
        <f>IF('Endowment Retirement (SP 200k)'!$S10=G$7,"✔️", "")</f>
        <v>✔️</v>
      </c>
      <c r="I25" s="134" t="s">
        <v>292</v>
      </c>
      <c r="J25" s="134" t="s">
        <v>292</v>
      </c>
      <c r="K25" s="292" t="str">
        <f>IF('Endowment Retirement (SP 200k)'!$R10=K$7,"✔️", "")</f>
        <v/>
      </c>
      <c r="L25" s="292" t="str">
        <f>IF('Endowment Retirement (SP 200k)'!$S10=K$7,"✔️", "")</f>
        <v/>
      </c>
      <c r="M25" s="292" t="str">
        <f>IF('Endowment Retirement (SP 200k)'!$R10=M$7,"✔️", "")</f>
        <v/>
      </c>
      <c r="N25" s="292" t="str">
        <f>IF('Endowment Retirement (SP 200k)'!$S10=M$7,"✔️", "")</f>
        <v/>
      </c>
    </row>
    <row r="26" spans="2:14" ht="16.5" customHeight="1" x14ac:dyDescent="0.35">
      <c r="B26" s="295" t="s">
        <v>340</v>
      </c>
      <c r="C26" s="292" t="str">
        <f>IF('Endowment Retirement (SP 200k)'!$R11=C$7,"✔️", "")</f>
        <v>✔️</v>
      </c>
      <c r="D26" s="292" t="str">
        <f>IF('Endowment Retirement (SP 200k)'!$S11=C$7,"✔️", "")</f>
        <v/>
      </c>
      <c r="E26" s="134" t="s">
        <v>292</v>
      </c>
      <c r="F26" s="134" t="s">
        <v>292</v>
      </c>
      <c r="G26" s="292" t="str">
        <f>IF('Endowment Retirement (SP 200k)'!$R11=G$7,"✔️", "")</f>
        <v/>
      </c>
      <c r="H26" s="292" t="str">
        <f>IF('Endowment Retirement (SP 200k)'!$S11=G$7,"✔️", "")</f>
        <v>✔️</v>
      </c>
      <c r="I26" s="134" t="s">
        <v>292</v>
      </c>
      <c r="J26" s="134" t="s">
        <v>292</v>
      </c>
      <c r="K26" s="292" t="str">
        <f>IF('Endowment Retirement (SP 200k)'!$R11=K$7,"✔️", "")</f>
        <v/>
      </c>
      <c r="L26" s="292" t="str">
        <f>IF('Endowment Retirement (SP 200k)'!$S11=K$7,"✔️", "")</f>
        <v/>
      </c>
      <c r="M26" s="292" t="str">
        <f>IF('Endowment Retirement (SP 200k)'!$R11=M$7,"✔️", "")</f>
        <v/>
      </c>
      <c r="N26" s="292" t="str">
        <f>IF('Endowment Retirement (SP 200k)'!$S11=M$7,"✔️", "")</f>
        <v/>
      </c>
    </row>
    <row r="27" spans="2:14" ht="16.5" customHeight="1" x14ac:dyDescent="0.35">
      <c r="B27" s="295" t="s">
        <v>342</v>
      </c>
      <c r="C27" s="292" t="str">
        <f>IF('Endowment Retirement (SP 200k)'!$R12=C$7,"✔️", "")</f>
        <v>✔️</v>
      </c>
      <c r="D27" s="292" t="str">
        <f>IF('Endowment Retirement (SP 200k)'!$S12=C$7,"✔️", "")</f>
        <v/>
      </c>
      <c r="E27" s="134" t="s">
        <v>292</v>
      </c>
      <c r="F27" s="134" t="s">
        <v>292</v>
      </c>
      <c r="G27" s="292" t="str">
        <f>IF('Endowment Retirement (SP 200k)'!$R12=G$7,"✔️", "")</f>
        <v/>
      </c>
      <c r="H27" s="292" t="str">
        <f>IF('Endowment Retirement (SP 200k)'!$S12=G$7,"✔️", "")</f>
        <v>✔️</v>
      </c>
      <c r="I27" s="134" t="s">
        <v>292</v>
      </c>
      <c r="J27" s="134" t="s">
        <v>292</v>
      </c>
      <c r="K27" s="292" t="str">
        <f>IF('Endowment Retirement (SP 200k)'!$R12=K$7,"✔️", "")</f>
        <v/>
      </c>
      <c r="L27" s="292" t="str">
        <f>IF('Endowment Retirement (SP 200k)'!$S12=K$7,"✔️", "")</f>
        <v/>
      </c>
      <c r="M27" s="292" t="str">
        <f>IF('Endowment Retirement (SP 200k)'!$R12=M$7,"✔️", "")</f>
        <v/>
      </c>
      <c r="N27" s="292" t="str">
        <f>IF('Endowment Retirement (SP 200k)'!$S12=M$7,"✔️", "")</f>
        <v/>
      </c>
    </row>
    <row r="28" spans="2:14" ht="16.5" customHeight="1" x14ac:dyDescent="0.35">
      <c r="B28" s="295" t="s">
        <v>345</v>
      </c>
      <c r="C28" s="292" t="str">
        <f>IF('Endowment Retirement (SP 200k)'!$R13=C$7,"✔️", "")</f>
        <v>✔️</v>
      </c>
      <c r="D28" s="292" t="str">
        <f>IF('Endowment Retirement (SP 200k)'!$S13=C$7,"✔️", "")</f>
        <v>✔️</v>
      </c>
      <c r="E28" s="134" t="s">
        <v>292</v>
      </c>
      <c r="F28" s="134" t="s">
        <v>292</v>
      </c>
      <c r="G28" s="292" t="str">
        <f>IF('Endowment Retirement (SP 200k)'!$R13=G$7,"✔️", "")</f>
        <v/>
      </c>
      <c r="H28" s="292" t="str">
        <f>IF('Endowment Retirement (SP 200k)'!$S13=G$7,"✔️", "")</f>
        <v/>
      </c>
      <c r="I28" s="134" t="s">
        <v>292</v>
      </c>
      <c r="J28" s="134" t="s">
        <v>292</v>
      </c>
      <c r="K28" s="292" t="str">
        <f>IF('Endowment Retirement (SP 200k)'!$R13=K$7,"✔️", "")</f>
        <v/>
      </c>
      <c r="L28" s="292" t="str">
        <f>IF('Endowment Retirement (SP 200k)'!$S13=K$7,"✔️", "")</f>
        <v/>
      </c>
      <c r="M28" s="292" t="str">
        <f>IF('Endowment Retirement (SP 200k)'!$R13=M$7,"✔️", "")</f>
        <v/>
      </c>
      <c r="N28" s="292" t="str">
        <f>IF('Endowment Retirement (SP 200k)'!$S13=M$7,"✔️", "")</f>
        <v/>
      </c>
    </row>
    <row r="29" spans="2:14" ht="16.5" customHeight="1" x14ac:dyDescent="0.35">
      <c r="B29" s="333" t="s">
        <v>364</v>
      </c>
      <c r="C29" s="334"/>
      <c r="D29" s="334"/>
      <c r="E29" s="334"/>
      <c r="F29" s="334"/>
      <c r="G29" s="334"/>
      <c r="H29" s="334"/>
      <c r="I29" s="334"/>
      <c r="J29" s="334"/>
      <c r="K29" s="334"/>
      <c r="L29" s="334"/>
      <c r="M29" s="334"/>
      <c r="N29" s="335"/>
    </row>
    <row r="30" spans="2:14" ht="16.5" customHeight="1" x14ac:dyDescent="0.35">
      <c r="B30" s="295" t="s">
        <v>345</v>
      </c>
      <c r="C30" s="292" t="str">
        <f>IF('Endowment Retirement (SP 200k)'!$R14=C$7,"✔️", "")</f>
        <v>✔️</v>
      </c>
      <c r="D30" s="292" t="str">
        <f>IF('Endowment Retirement (SP 200k)'!$S14=C$7,"✔️", "")</f>
        <v/>
      </c>
      <c r="E30" s="134" t="s">
        <v>292</v>
      </c>
      <c r="F30" s="134" t="s">
        <v>292</v>
      </c>
      <c r="G30" s="292" t="str">
        <f>IF('Endowment Retirement (SP 200k)'!$R14=G$7,"✔️", "")</f>
        <v/>
      </c>
      <c r="H30" s="292" t="str">
        <f>IF('Endowment Retirement (SP 200k)'!$S14=G$7,"✔️", "")</f>
        <v>✔️</v>
      </c>
      <c r="I30" s="134" t="s">
        <v>292</v>
      </c>
      <c r="J30" s="134" t="s">
        <v>292</v>
      </c>
      <c r="K30" s="292" t="str">
        <f>IF('Endowment Retirement (SP 200k)'!$R14=K$7,"✔️", "")</f>
        <v/>
      </c>
      <c r="L30" s="292" t="str">
        <f>IF('Endowment Retirement (SP 200k)'!$S14=K$7,"✔️", "")</f>
        <v/>
      </c>
      <c r="M30" s="292" t="str">
        <f>IF('Endowment Retirement (SP 200k)'!$R14=M$7,"✔️", "")</f>
        <v/>
      </c>
      <c r="N30" s="292" t="str">
        <f>IF('Endowment Retirement (SP 200k)'!$S14=M$7,"✔️", "")</f>
        <v/>
      </c>
    </row>
    <row r="31" spans="2:14" ht="16.5" customHeight="1" x14ac:dyDescent="0.35">
      <c r="B31" s="330" t="s">
        <v>335</v>
      </c>
      <c r="C31" s="331"/>
      <c r="D31" s="331"/>
      <c r="E31" s="331"/>
      <c r="F31" s="331"/>
      <c r="G31" s="331"/>
      <c r="H31" s="331"/>
      <c r="I31" s="331"/>
      <c r="J31" s="331"/>
      <c r="K31" s="331"/>
      <c r="L31" s="331"/>
      <c r="M31" s="331"/>
      <c r="N31" s="332"/>
    </row>
    <row r="32" spans="2:14" ht="16.5" customHeight="1" x14ac:dyDescent="0.35">
      <c r="B32" s="322" t="s">
        <v>388</v>
      </c>
      <c r="C32" s="323"/>
      <c r="D32" s="323"/>
      <c r="E32" s="323"/>
      <c r="F32" s="323"/>
      <c r="G32" s="323"/>
      <c r="H32" s="323"/>
      <c r="I32" s="323"/>
      <c r="J32" s="323"/>
      <c r="K32" s="323"/>
      <c r="L32" s="323"/>
      <c r="M32" s="323"/>
      <c r="N32" s="324"/>
    </row>
    <row r="33" spans="2:14" ht="16.5" customHeight="1" x14ac:dyDescent="0.35">
      <c r="B33" s="295" t="s">
        <v>349</v>
      </c>
      <c r="C33" s="292" t="str">
        <f>IF('Age 20 - 29  ($12k premiums)'!$R6=C$7,"✔️", "")</f>
        <v>✔️</v>
      </c>
      <c r="D33" s="292" t="str">
        <f>IF('Age 20 - 29  ($12k premiums)'!$S6=C$7,"✔️", "")</f>
        <v/>
      </c>
      <c r="E33" s="292" t="str">
        <f>IF('Age 20 - 29  ($12k premiums)'!$R6=E$7,"✔️", "")</f>
        <v/>
      </c>
      <c r="F33" s="292" t="str">
        <f>IF('Age 20 - 29  ($12k premiums)'!$S6=E$7,"✔️", "")</f>
        <v/>
      </c>
      <c r="G33" s="134" t="s">
        <v>292</v>
      </c>
      <c r="H33" s="134" t="s">
        <v>292</v>
      </c>
      <c r="I33" s="292" t="str">
        <f>IF('Age 20 - 29  ($12k premiums)'!$R6=I$7,"✔️", "")</f>
        <v/>
      </c>
      <c r="J33" s="292" t="str">
        <f>IF('Age 20 - 29  ($12k premiums)'!$S6=I$7,"✔️", "")</f>
        <v/>
      </c>
      <c r="K33" s="292" t="str">
        <f>IF('Age 20 - 29  ($12k premiums)'!$R6=K$7,"✔️", "")</f>
        <v/>
      </c>
      <c r="L33" s="292" t="str">
        <f>IF('Age 20 - 29  ($12k premiums)'!$S6=K$7,"✔️", "")</f>
        <v>✔️</v>
      </c>
      <c r="M33" s="292" t="str">
        <f>IF('Age 20 - 29  ($12k premiums)'!$R6=M$7,"✔️", "")</f>
        <v/>
      </c>
      <c r="N33" s="292" t="str">
        <f>IF('Age 20 - 29  ($12k premiums)'!$S6=M$7,"✔️", "")</f>
        <v/>
      </c>
    </row>
    <row r="34" spans="2:14" ht="16.5" customHeight="1" x14ac:dyDescent="0.35">
      <c r="B34" s="295" t="s">
        <v>348</v>
      </c>
      <c r="C34" s="292" t="str">
        <f>IF('Age 20 - 29  ($12k premiums)'!$R7=C$7,"✔️", "")</f>
        <v>✔️</v>
      </c>
      <c r="D34" s="292" t="str">
        <f>IF('Age 20 - 29  ($12k premiums)'!$S7=C$7,"✔️", "")</f>
        <v/>
      </c>
      <c r="E34" s="292" t="str">
        <f>IF('Age 20 - 29  ($12k premiums)'!$R7=E$7,"✔️", "")</f>
        <v/>
      </c>
      <c r="F34" s="292" t="str">
        <f>IF('Age 20 - 29  ($12k premiums)'!$S7=E$7,"✔️", "")</f>
        <v>✔️</v>
      </c>
      <c r="G34" s="134" t="s">
        <v>292</v>
      </c>
      <c r="H34" s="134" t="s">
        <v>292</v>
      </c>
      <c r="I34" s="134" t="s">
        <v>292</v>
      </c>
      <c r="J34" s="134" t="s">
        <v>292</v>
      </c>
      <c r="K34" s="292" t="str">
        <f>IF('Age 20 - 29  ($12k premiums)'!$R7=K$7,"✔️", "")</f>
        <v/>
      </c>
      <c r="L34" s="292" t="s">
        <v>150</v>
      </c>
      <c r="M34" s="292" t="str">
        <f>IF('Age 20 - 29  ($12k premiums)'!$R7=M$7,"✔️", "")</f>
        <v/>
      </c>
      <c r="N34" s="292" t="str">
        <f>IF('Age 20 - 29  ($12k premiums)'!$S7=M$7,"✔️", "")</f>
        <v/>
      </c>
    </row>
    <row r="35" spans="2:14" ht="16.5" customHeight="1" x14ac:dyDescent="0.35">
      <c r="B35" s="295" t="s">
        <v>347</v>
      </c>
      <c r="C35" s="292" t="str">
        <f>IF('Age 20 - 29  ($12k premiums)'!$R8=C$7,"✔️", "")</f>
        <v>✔️</v>
      </c>
      <c r="D35" s="292" t="str">
        <f>IF('Age 20 - 29  ($12k premiums)'!$S8=C$7,"✔️", "")</f>
        <v/>
      </c>
      <c r="E35" s="292" t="str">
        <f>IF('Age 20 - 29  ($12k premiums)'!$R8=E$7,"✔️", "")</f>
        <v/>
      </c>
      <c r="F35" s="292" t="str">
        <f>IF('Age 20 - 29  ($12k premiums)'!$S8=E$7,"✔️", "")</f>
        <v/>
      </c>
      <c r="G35" s="134" t="s">
        <v>292</v>
      </c>
      <c r="H35" s="134" t="s">
        <v>292</v>
      </c>
      <c r="I35" s="292" t="str">
        <f>IF('Age 20 - 29  ($12k premiums)'!$R8=I$7,"✔️", "")</f>
        <v/>
      </c>
      <c r="J35" s="292" t="str">
        <f>IF('Age 20 - 29  ($12k premiums)'!$S8=I$7,"✔️", "")</f>
        <v/>
      </c>
      <c r="K35" s="292" t="str">
        <f>IF('Age 20 - 29  ($12k premiums)'!$R8=K$7,"✔️", "")</f>
        <v/>
      </c>
      <c r="L35" s="292" t="str">
        <f>IF('Age 20 - 29  ($12k premiums)'!$S8=K$7,"✔️", "")</f>
        <v>✔️</v>
      </c>
      <c r="M35" s="292" t="str">
        <f>IF('Age 20 - 29  ($12k premiums)'!$R8=M$7,"✔️", "")</f>
        <v/>
      </c>
      <c r="N35" s="292" t="str">
        <f>IF('Age 20 - 29  ($12k premiums)'!$S8=M$7,"✔️", "")</f>
        <v/>
      </c>
    </row>
    <row r="36" spans="2:14" ht="16.5" customHeight="1" x14ac:dyDescent="0.35">
      <c r="B36" s="295" t="s">
        <v>350</v>
      </c>
      <c r="C36" s="292" t="str">
        <f>IF('Age 20 - 29  ($12k premiums)'!$R9=C$7,"✔️", "")</f>
        <v>✔️</v>
      </c>
      <c r="D36" s="292" t="str">
        <f>IF('Age 20 - 29  ($12k premiums)'!$S9=C$7,"✔️", "")</f>
        <v/>
      </c>
      <c r="E36" s="292" t="str">
        <f>IF('Age 20 - 29  ($12k premiums)'!$R9=E$7,"✔️", "")</f>
        <v/>
      </c>
      <c r="F36" s="292" t="str">
        <f>IF('Age 20 - 29  ($12k premiums)'!$S9=E$7,"✔️", "")</f>
        <v>✔️</v>
      </c>
      <c r="G36" s="134" t="s">
        <v>292</v>
      </c>
      <c r="H36" s="134" t="s">
        <v>292</v>
      </c>
      <c r="I36" s="134" t="s">
        <v>292</v>
      </c>
      <c r="J36" s="134" t="s">
        <v>292</v>
      </c>
      <c r="K36" s="292" t="str">
        <f>IF('Age 20 - 29  ($12k premiums)'!$R9=K$7,"✔️", "")</f>
        <v/>
      </c>
      <c r="L36" s="292" t="str">
        <f>IF('Age 20 - 29  ($12k premiums)'!$S9=K$7,"✔️", "")</f>
        <v/>
      </c>
      <c r="M36" s="292" t="str">
        <f>IF('Age 20 - 29  ($12k premiums)'!$R9=M$7,"✔️", "")</f>
        <v/>
      </c>
      <c r="N36" s="292" t="str">
        <f>IF('Age 20 - 29  ($12k premiums)'!$S9=M$7,"✔️", "")</f>
        <v/>
      </c>
    </row>
    <row r="37" spans="2:14" ht="16.5" customHeight="1" x14ac:dyDescent="0.35">
      <c r="B37" s="322" t="s">
        <v>389</v>
      </c>
      <c r="C37" s="323"/>
      <c r="D37" s="323"/>
      <c r="E37" s="323"/>
      <c r="F37" s="323"/>
      <c r="G37" s="323"/>
      <c r="H37" s="323"/>
      <c r="I37" s="323"/>
      <c r="J37" s="323"/>
      <c r="K37" s="323"/>
      <c r="L37" s="323"/>
      <c r="M37" s="323"/>
      <c r="N37" s="324"/>
    </row>
    <row r="38" spans="2:14" ht="16.5" customHeight="1" x14ac:dyDescent="0.35">
      <c r="B38" s="295" t="s">
        <v>351</v>
      </c>
      <c r="C38" s="292" t="str">
        <f>IF('Age 30 - 39 ($12k premiums)'!$R6=C$7,"✔️", "")</f>
        <v>✔️</v>
      </c>
      <c r="D38" s="292" t="str">
        <f>IF('Age 30 - 39 ($12k premiums)'!$S6=C$7,"✔️", "")</f>
        <v/>
      </c>
      <c r="E38" s="292" t="str">
        <f>IF('Age 30 - 39 ($12k premiums)'!$R6=E$7,"✔️", "")</f>
        <v/>
      </c>
      <c r="F38" s="292" t="str">
        <f>IF('Age 30 - 39 ($12k premiums)'!$S6=E$7,"✔️", "")</f>
        <v/>
      </c>
      <c r="G38" s="292" t="str">
        <f>IF('Age 30 - 39 ($12k premiums)'!$R6=G$7,"✔️", "")</f>
        <v/>
      </c>
      <c r="H38" s="292" t="str">
        <f>IF('Age 30 - 39 ($12k premiums)'!$S6=G$7,"✔️", "")</f>
        <v>✔️</v>
      </c>
      <c r="I38" s="292" t="str">
        <f>IF('Age 30 - 39 ($12k premiums)'!$R6=I$7,"✔️", "")</f>
        <v/>
      </c>
      <c r="J38" s="292" t="str">
        <f>IF('Age 30 - 39 ($12k premiums)'!$S6=I$7,"✔️", "")</f>
        <v/>
      </c>
      <c r="K38" s="292" t="str">
        <f>IF('Age 30 - 39 ($12k premiums)'!$R6=K$7,"✔️", "")</f>
        <v/>
      </c>
      <c r="L38" s="292" t="str">
        <f>IF('Age 30 - 39 ($12k premiums)'!$S6=K$7,"✔️", "")</f>
        <v/>
      </c>
      <c r="M38" s="292" t="str">
        <f>IF('Age 30 - 39 ($12k premiums)'!$R6=M$7,"✔️", "")</f>
        <v/>
      </c>
      <c r="N38" s="292" t="str">
        <f>IF('Age 30 - 39 ($12k premiums)'!$S6=M$7,"✔️", "")</f>
        <v/>
      </c>
    </row>
    <row r="39" spans="2:14" ht="16.5" customHeight="1" x14ac:dyDescent="0.35">
      <c r="B39" s="295" t="s">
        <v>352</v>
      </c>
      <c r="C39" s="292" t="str">
        <f>IF('Age 30 - 39 ($12k premiums)'!$R7=C$7,"✔️", "")</f>
        <v>✔️</v>
      </c>
      <c r="D39" s="292" t="str">
        <f>IF('Age 30 - 39 ($12k premiums)'!$S7=C$7,"✔️", "")</f>
        <v/>
      </c>
      <c r="E39" s="292" t="str">
        <f>IF('Age 30 - 39 ($12k premiums)'!$R7=E$7,"✔️", "")</f>
        <v/>
      </c>
      <c r="F39" s="292" t="str">
        <f>IF('Age 30 - 39 ($12k premiums)'!$S7=E$7,"✔️", "")</f>
        <v>✔️</v>
      </c>
      <c r="G39" s="134" t="s">
        <v>292</v>
      </c>
      <c r="H39" s="134" t="s">
        <v>292</v>
      </c>
      <c r="I39" s="134" t="s">
        <v>292</v>
      </c>
      <c r="J39" s="134" t="s">
        <v>292</v>
      </c>
      <c r="K39" s="292" t="str">
        <f>IF('Age 30 - 39 ($12k premiums)'!$R7=K$7,"✔️", "")</f>
        <v/>
      </c>
      <c r="L39" s="292" t="str">
        <f>IF('Age 30 - 39 ($12k premiums)'!$S7=K$7,"✔️", "")</f>
        <v/>
      </c>
      <c r="M39" s="292" t="str">
        <f>IF('Age 30 - 39 ($12k premiums)'!$R7=M$7,"✔️", "")</f>
        <v/>
      </c>
      <c r="N39" s="292" t="str">
        <f>IF('Age 30 - 39 ($12k premiums)'!$S7=M$7,"✔️", "")</f>
        <v/>
      </c>
    </row>
    <row r="40" spans="2:14" ht="16.5" customHeight="1" x14ac:dyDescent="0.35">
      <c r="B40" s="295" t="s">
        <v>346</v>
      </c>
      <c r="C40" s="292" t="str">
        <f>IF('Age 30 - 39 ($12k premiums)'!$R8=C$7,"✔️", "")</f>
        <v/>
      </c>
      <c r="D40" s="292" t="str">
        <f>IF('Age 30 - 39 ($12k premiums)'!$S8=C$7,"✔️", "")</f>
        <v/>
      </c>
      <c r="E40" s="292" t="str">
        <f>IF('Age 30 - 39 ($12k premiums)'!$R8=E$7,"✔️", "")</f>
        <v>✔️</v>
      </c>
      <c r="F40" s="292" t="str">
        <f>IF('Age 30 - 39 ($12k premiums)'!$S8=E$7,"✔️", "")</f>
        <v/>
      </c>
      <c r="G40" s="292" t="str">
        <f>IF('Age 30 - 39 ($12k premiums)'!$R8=G$7,"✔️", "")</f>
        <v/>
      </c>
      <c r="H40" s="292" t="str">
        <f>IF('Age 30 - 39 ($12k premiums)'!$S8=G$7,"✔️", "")</f>
        <v>✔️</v>
      </c>
      <c r="I40" s="292" t="str">
        <f>IF('Age 30 - 39 ($12k premiums)'!$R8=I$7,"✔️", "")</f>
        <v/>
      </c>
      <c r="J40" s="292" t="str">
        <f>IF('Age 30 - 39 ($12k premiums)'!$S8=I$7,"✔️", "")</f>
        <v/>
      </c>
      <c r="K40" s="292" t="str">
        <f>IF('Age 30 - 39 ($12k premiums)'!$R8=K$7,"✔️", "")</f>
        <v/>
      </c>
      <c r="L40" s="292" t="str">
        <f>IF('Age 30 - 39 ($12k premiums)'!$S8=K$7,"✔️", "")</f>
        <v/>
      </c>
      <c r="M40" s="292" t="str">
        <f>IF('Age 30 - 39 ($12k premiums)'!$R8=M$7,"✔️", "")</f>
        <v/>
      </c>
      <c r="N40" s="292" t="str">
        <f>IF('Age 30 - 39 ($12k premiums)'!$S8=M$7,"✔️", "")</f>
        <v/>
      </c>
    </row>
    <row r="41" spans="2:14" ht="16.5" customHeight="1" x14ac:dyDescent="0.35">
      <c r="B41" s="295" t="s">
        <v>353</v>
      </c>
      <c r="C41" s="292" t="str">
        <f>IF('Age 30 - 39 ($12k premiums)'!$R9=C$7,"✔️", "")</f>
        <v/>
      </c>
      <c r="D41" s="292" t="str">
        <f>IF('Age 30 - 39 ($12k premiums)'!$S9=C$7,"✔️", "")</f>
        <v/>
      </c>
      <c r="E41" s="292" t="str">
        <f>IF('Age 30 - 39 ($12k premiums)'!$R9=E$7,"✔️", "")</f>
        <v>✔️</v>
      </c>
      <c r="F41" s="292" t="str">
        <f>IF('Age 30 - 39 ($12k premiums)'!$S9=E$7,"✔️", "")</f>
        <v/>
      </c>
      <c r="G41" s="292" t="str">
        <f>IF('Age 30 - 39 ($12k premiums)'!$R9=G$7,"✔️", "")</f>
        <v/>
      </c>
      <c r="H41" s="292" t="str">
        <f>IF('Age 30 - 39 ($12k premiums)'!$S9=G$7,"✔️", "")</f>
        <v>✔️</v>
      </c>
      <c r="I41" s="292" t="str">
        <f>IF('Age 30 - 39 ($12k premiums)'!$R9=I$7,"✔️", "")</f>
        <v/>
      </c>
      <c r="J41" s="292" t="str">
        <f>IF('Age 30 - 39 ($12k premiums)'!$S9=I$7,"✔️", "")</f>
        <v/>
      </c>
      <c r="K41" s="292" t="str">
        <f>IF('Age 30 - 39 ($12k premiums)'!$R9=K$7,"✔️", "")</f>
        <v/>
      </c>
      <c r="L41" s="292" t="str">
        <f>IF('Age 30 - 39 ($12k premiums)'!$S9=K$7,"✔️", "")</f>
        <v/>
      </c>
      <c r="M41" s="292" t="str">
        <f>IF('Age 30 - 39 ($12k premiums)'!$R9=M$7,"✔️", "")</f>
        <v/>
      </c>
      <c r="N41" s="292" t="str">
        <f>IF('Age 30 - 39 ($12k premiums)'!$S9=M$7,"✔️", "")</f>
        <v/>
      </c>
    </row>
    <row r="42" spans="2:14" ht="16.5" customHeight="1" x14ac:dyDescent="0.35">
      <c r="B42" s="295" t="s">
        <v>354</v>
      </c>
      <c r="C42" s="292" t="str">
        <f>IF('Age 30 - 39 ($12k premiums)'!$R10=C$7,"✔️", "")</f>
        <v>✔️</v>
      </c>
      <c r="D42" s="292" t="str">
        <f>IF('Age 30 - 39 ($12k premiums)'!$S10=C$7,"✔️", "")</f>
        <v/>
      </c>
      <c r="E42" s="292" t="str">
        <f>IF('Age 30 - 39 ($12k premiums)'!$R10=E$7,"✔️", "")</f>
        <v/>
      </c>
      <c r="F42" s="292" t="str">
        <f>IF('Age 30 - 39 ($12k premiums)'!$S10=E$7,"✔️", "")</f>
        <v>✔️</v>
      </c>
      <c r="G42" s="134" t="s">
        <v>292</v>
      </c>
      <c r="H42" s="134" t="s">
        <v>292</v>
      </c>
      <c r="I42" s="134" t="s">
        <v>292</v>
      </c>
      <c r="J42" s="134" t="s">
        <v>292</v>
      </c>
      <c r="K42" s="292" t="str">
        <f>IF('Age 30 - 39 ($12k premiums)'!$R10=K$7,"✔️", "")</f>
        <v/>
      </c>
      <c r="L42" s="292" t="str">
        <f>IF('Age 30 - 39 ($12k premiums)'!$S10=K$7,"✔️", "")</f>
        <v/>
      </c>
      <c r="M42" s="292" t="str">
        <f>IF('Age 30 - 39 ($12k premiums)'!$R10=M$7,"✔️", "")</f>
        <v/>
      </c>
      <c r="N42" s="292" t="str">
        <f>IF('Age 30 - 39 ($12k premiums)'!$S10=M$7,"✔️", "")</f>
        <v/>
      </c>
    </row>
    <row r="43" spans="2:14" ht="16.5" customHeight="1" x14ac:dyDescent="0.35">
      <c r="B43" s="322" t="s">
        <v>390</v>
      </c>
      <c r="C43" s="323"/>
      <c r="D43" s="323"/>
      <c r="E43" s="323"/>
      <c r="F43" s="323"/>
      <c r="G43" s="323"/>
      <c r="H43" s="323"/>
      <c r="I43" s="323"/>
      <c r="J43" s="323"/>
      <c r="K43" s="323"/>
      <c r="L43" s="323"/>
      <c r="M43" s="323"/>
      <c r="N43" s="324"/>
    </row>
    <row r="44" spans="2:14" ht="16.5" customHeight="1" x14ac:dyDescent="0.35">
      <c r="B44" s="295" t="s">
        <v>355</v>
      </c>
      <c r="C44" s="292" t="str">
        <f>IF('Age 40 - 49 ($12k premiums)'!$R6=C$7,"✔️", "")</f>
        <v/>
      </c>
      <c r="D44" s="292" t="str">
        <f>IF('Age 40 - 49 ($12k premiums)'!$S6=C$7,"✔️", "")</f>
        <v/>
      </c>
      <c r="E44" s="292" t="str">
        <f>IF('Age 40 - 49 ($12k premiums)'!$R6=E$7,"✔️", "")</f>
        <v/>
      </c>
      <c r="F44" s="292" t="str">
        <f>IF('Age 40 - 49 ($12k premiums)'!$S6=E$7,"✔️", "")</f>
        <v/>
      </c>
      <c r="G44" s="292" t="str">
        <f>IF('Age 40 - 49 ($12k premiums)'!$R6=G$7,"✔️", "")</f>
        <v>✔️</v>
      </c>
      <c r="H44" s="292" t="str">
        <f>IF('Age 40 - 49 ($12k premiums)'!$S6=G$7,"✔️", "")</f>
        <v>✔️</v>
      </c>
      <c r="I44" s="292" t="str">
        <f>IF('Age 40 - 49 ($12k premiums)'!$R6=I$7,"✔️", "")</f>
        <v/>
      </c>
      <c r="J44" s="292" t="str">
        <f>IF('Age 40 - 49 ($12k premiums)'!$S6=I$7,"✔️", "")</f>
        <v/>
      </c>
      <c r="K44" s="292" t="str">
        <f>IF('Age 40 - 49 ($12k premiums)'!$R6=K$7,"✔️", "")</f>
        <v/>
      </c>
      <c r="L44" s="292" t="str">
        <f>IF('Age 40 - 49 ($12k premiums)'!$S6=K$7,"✔️", "")</f>
        <v/>
      </c>
      <c r="M44" s="292" t="str">
        <f>IF('Age 40 - 49 ($12k premiums)'!$R6=M$7,"✔️", "")</f>
        <v/>
      </c>
      <c r="N44" s="292" t="str">
        <f>IF('Age 40 - 49 ($12k premiums)'!$S6=M$7,"✔️", "")</f>
        <v/>
      </c>
    </row>
    <row r="45" spans="2:14" ht="16.5" customHeight="1" x14ac:dyDescent="0.35">
      <c r="B45" s="295" t="s">
        <v>356</v>
      </c>
      <c r="C45" s="292" t="str">
        <f>IF('Age 40 - 49 ($12k premiums)'!$R7=C$7,"✔️", "")</f>
        <v>✔️</v>
      </c>
      <c r="D45" s="292" t="str">
        <f>IF('Age 40 - 49 ($12k premiums)'!$S7=C$7,"✔️", "")</f>
        <v/>
      </c>
      <c r="E45" s="292" t="str">
        <f>IF('Age 40 - 49 ($12k premiums)'!$R7=E$7,"✔️", "")</f>
        <v/>
      </c>
      <c r="F45" s="292" t="str">
        <f>IF('Age 40 - 49 ($12k premiums)'!$S7=E$7,"✔️", "")</f>
        <v/>
      </c>
      <c r="G45" s="292" t="str">
        <f>IF('Age 40 - 49 ($12k premiums)'!$R7=G$7,"✔️", "")</f>
        <v/>
      </c>
      <c r="H45" s="292" t="str">
        <f>IF('Age 40 - 49 ($12k premiums)'!$S7=G$7,"✔️", "")</f>
        <v>✔️</v>
      </c>
      <c r="I45" s="292" t="str">
        <f>IF('Age 40 - 49 ($12k premiums)'!$R7=I$7,"✔️", "")</f>
        <v/>
      </c>
      <c r="J45" s="292" t="str">
        <f>IF('Age 40 - 49 ($12k premiums)'!$S7=I$7,"✔️", "")</f>
        <v/>
      </c>
      <c r="K45" s="292" t="str">
        <f>IF('Age 40 - 49 ($12k premiums)'!$R7=K$7,"✔️", "")</f>
        <v/>
      </c>
      <c r="L45" s="292" t="str">
        <f>IF('Age 40 - 49 ($12k premiums)'!$S7=K$7,"✔️", "")</f>
        <v/>
      </c>
      <c r="M45" s="292" t="str">
        <f>IF('Age 40 - 49 ($12k premiums)'!$R7=M$7,"✔️", "")</f>
        <v/>
      </c>
      <c r="N45" s="292" t="str">
        <f>IF('Age 40 - 49 ($12k premiums)'!$S7=M$7,"✔️", "")</f>
        <v/>
      </c>
    </row>
    <row r="46" spans="2:14" ht="16.5" customHeight="1" x14ac:dyDescent="0.35">
      <c r="B46" s="295" t="s">
        <v>357</v>
      </c>
      <c r="C46" s="292" t="str">
        <f>IF('Age 40 - 49 ($12k premiums)'!$R8=C$7,"✔️", "")</f>
        <v>✔️</v>
      </c>
      <c r="D46" s="292" t="str">
        <f>IF('Age 40 - 49 ($12k premiums)'!$S8=C$7,"✔️", "")</f>
        <v/>
      </c>
      <c r="E46" s="292" t="str">
        <f>IF('Age 40 - 49 ($12k premiums)'!$R8=E$7,"✔️", "")</f>
        <v/>
      </c>
      <c r="F46" s="292" t="str">
        <f>IF('Age 40 - 49 ($12k premiums)'!$S8=E$7,"✔️", "")</f>
        <v/>
      </c>
      <c r="G46" s="292" t="str">
        <f>IF('Age 40 - 49 ($12k premiums)'!$R8=G$7,"✔️", "")</f>
        <v/>
      </c>
      <c r="H46" s="292" t="str">
        <f>IF('Age 40 - 49 ($12k premiums)'!$S8=G$7,"✔️", "")</f>
        <v>✔️</v>
      </c>
      <c r="I46" s="292" t="str">
        <f>IF('Age 40 - 49 ($12k premiums)'!$R8=I$7,"✔️", "")</f>
        <v/>
      </c>
      <c r="J46" s="292" t="str">
        <f>IF('Age 40 - 49 ($12k premiums)'!$S8=I$7,"✔️", "")</f>
        <v/>
      </c>
      <c r="K46" s="292" t="str">
        <f>IF('Age 40 - 49 ($12k premiums)'!$R8=K$7,"✔️", "")</f>
        <v/>
      </c>
      <c r="L46" s="292" t="str">
        <f>IF('Age 40 - 49 ($12k premiums)'!$S8=K$7,"✔️", "")</f>
        <v/>
      </c>
      <c r="M46" s="292" t="str">
        <f>IF('Age 40 - 49 ($12k premiums)'!$R8=M$7,"✔️", "")</f>
        <v/>
      </c>
      <c r="N46" s="292" t="str">
        <f>IF('Age 40 - 49 ($12k premiums)'!$S8=M$7,"✔️", "")</f>
        <v/>
      </c>
    </row>
    <row r="47" spans="2:14" ht="16.5" customHeight="1" x14ac:dyDescent="0.35">
      <c r="B47" s="295" t="s">
        <v>358</v>
      </c>
      <c r="C47" s="292" t="str">
        <f>IF('Age 40 - 49 ($12k premiums)'!$R9=C$7,"✔️", "")</f>
        <v>✔️</v>
      </c>
      <c r="D47" s="292" t="str">
        <f>IF('Age 40 - 49 ($12k premiums)'!$S9=C$7,"✔️", "")</f>
        <v/>
      </c>
      <c r="E47" s="292" t="str">
        <f>IF('Age 40 - 49 ($12k premiums)'!$R9=E$7,"✔️", "")</f>
        <v/>
      </c>
      <c r="F47" s="292" t="str">
        <f>IF('Age 40 - 49 ($12k premiums)'!$S9=E$7,"✔️", "")</f>
        <v/>
      </c>
      <c r="G47" s="292" t="str">
        <f>IF('Age 40 - 49 ($12k premiums)'!$R9=G$7,"✔️", "")</f>
        <v/>
      </c>
      <c r="H47" s="292" t="str">
        <f>IF('Age 40 - 49 ($12k premiums)'!$S9=G$7,"✔️", "")</f>
        <v>✔️</v>
      </c>
      <c r="I47" s="292" t="str">
        <f>IF('Age 40 - 49 ($12k premiums)'!$R9=I$7,"✔️", "")</f>
        <v/>
      </c>
      <c r="J47" s="292" t="str">
        <f>IF('Age 40 - 49 ($12k premiums)'!$S9=I$7,"✔️", "")</f>
        <v/>
      </c>
      <c r="K47" s="292" t="str">
        <f>IF('Age 40 - 49 ($12k premiums)'!$R9=K$7,"✔️", "")</f>
        <v/>
      </c>
      <c r="L47" s="292" t="str">
        <f>IF('Age 40 - 49 ($12k premiums)'!$S9=K$7,"✔️", "")</f>
        <v/>
      </c>
      <c r="M47" s="292" t="str">
        <f>IF('Age 40 - 49 ($12k premiums)'!$R9=M$7,"✔️", "")</f>
        <v/>
      </c>
      <c r="N47" s="292" t="str">
        <f>IF('Age 40 - 49 ($12k premiums)'!$S9=M$7,"✔️", "")</f>
        <v/>
      </c>
    </row>
    <row r="48" spans="2:14" ht="16.5" customHeight="1" x14ac:dyDescent="0.35">
      <c r="B48" s="322" t="s">
        <v>391</v>
      </c>
      <c r="C48" s="323"/>
      <c r="D48" s="323"/>
      <c r="E48" s="323"/>
      <c r="F48" s="323"/>
      <c r="G48" s="323"/>
      <c r="H48" s="323"/>
      <c r="I48" s="323"/>
      <c r="J48" s="323"/>
      <c r="K48" s="323"/>
      <c r="L48" s="323"/>
      <c r="M48" s="323"/>
      <c r="N48" s="324"/>
    </row>
    <row r="49" spans="2:14" ht="16.5" customHeight="1" x14ac:dyDescent="0.35">
      <c r="B49" s="295" t="s">
        <v>359</v>
      </c>
      <c r="C49" s="292" t="str">
        <f>IF('Age 50 - 59 ($12k premiums)'!$R6=C$7,"✔️", "")</f>
        <v>✔️</v>
      </c>
      <c r="D49" s="292" t="str">
        <f>IF('Age 50 - 59 ($12k premiums)'!$S6=C$7,"✔️", "")</f>
        <v/>
      </c>
      <c r="E49" s="292" t="str">
        <f>IF('Age 50 - 59 ($12k premiums)'!$R6=E$7,"✔️", "")</f>
        <v/>
      </c>
      <c r="F49" s="292" t="str">
        <f>IF('Age 50 - 59 ($12k premiums)'!$S6=E$7,"✔️", "")</f>
        <v/>
      </c>
      <c r="G49" s="292" t="str">
        <f>IF('Age 50 - 59 ($12k premiums)'!$R6=G$7,"✔️", "")</f>
        <v/>
      </c>
      <c r="H49" s="292" t="str">
        <f>IF('Age 50 - 59 ($12k premiums)'!$S6=G$7,"✔️", "")</f>
        <v>✔️</v>
      </c>
      <c r="I49" s="292" t="str">
        <f>IF('Age 50 - 59 ($12k premiums)'!$R6=I$7,"✔️", "")</f>
        <v/>
      </c>
      <c r="J49" s="292" t="str">
        <f>IF('Age 50 - 59 ($12k premiums)'!$S6=I$7,"✔️", "")</f>
        <v/>
      </c>
      <c r="K49" s="292" t="str">
        <f>IF('Age 50 - 59 ($12k premiums)'!$R6=K$7,"✔️", "")</f>
        <v/>
      </c>
      <c r="L49" s="292" t="str">
        <f>IF('Age 50 - 59 ($12k premiums)'!$S6=K$7,"✔️", "")</f>
        <v/>
      </c>
      <c r="M49" s="292" t="str">
        <f>IF('Age 50 - 59 ($12k premiums)'!$R6=M$7,"✔️", "")</f>
        <v/>
      </c>
      <c r="N49" s="292" t="str">
        <f>IF('Age 50 - 59 ($12k premiums)'!$S6=M$7,"✔️", "")</f>
        <v/>
      </c>
    </row>
    <row r="50" spans="2:14" ht="16.5" customHeight="1" x14ac:dyDescent="0.35">
      <c r="B50" s="295" t="s">
        <v>360</v>
      </c>
      <c r="C50" s="292" t="str">
        <f>IF('Age 50 - 59 ($12k premiums)'!$R7=C$7,"✔️", "")</f>
        <v>✔️</v>
      </c>
      <c r="D50" s="292" t="str">
        <f>IF('Age 50 - 59 ($12k premiums)'!$S7=C$7,"✔️", "")</f>
        <v>✔️</v>
      </c>
      <c r="E50" s="134" t="s">
        <v>292</v>
      </c>
      <c r="F50" s="134" t="s">
        <v>292</v>
      </c>
      <c r="G50" s="134" t="s">
        <v>292</v>
      </c>
      <c r="H50" s="134" t="s">
        <v>292</v>
      </c>
      <c r="I50" s="134" t="s">
        <v>292</v>
      </c>
      <c r="J50" s="134" t="s">
        <v>292</v>
      </c>
      <c r="K50" s="134" t="s">
        <v>292</v>
      </c>
      <c r="L50" s="134" t="s">
        <v>292</v>
      </c>
      <c r="M50" s="292" t="str">
        <f>IF('Age 50 - 59 ($12k premiums)'!$R7=M$7,"✔️", "")</f>
        <v/>
      </c>
      <c r="N50" s="292" t="str">
        <f>IF('Age 50 - 59 ($12k premiums)'!$S7=M$7,"✔️", "")</f>
        <v/>
      </c>
    </row>
    <row r="51" spans="2:14" ht="16.5" customHeight="1" x14ac:dyDescent="0.35">
      <c r="B51" s="295" t="s">
        <v>361</v>
      </c>
      <c r="C51" s="292" t="str">
        <f>IF('Age 50 - 59 ($12k premiums)'!$R8=C$7,"✔️", "")</f>
        <v>✔️</v>
      </c>
      <c r="D51" s="292" t="str">
        <f>IF('Age 50 - 59 ($12k premiums)'!$S8=C$7,"✔️", "")</f>
        <v/>
      </c>
      <c r="E51" s="292" t="str">
        <f>IF('Age 50 - 59 ($12k premiums)'!$R8=E$7,"✔️", "")</f>
        <v/>
      </c>
      <c r="F51" s="292" t="str">
        <f>IF('Age 50 - 59 ($12k premiums)'!$S8=E$7,"✔️", "")</f>
        <v/>
      </c>
      <c r="G51" s="292" t="str">
        <f>IF('Age 50 - 59 ($12k premiums)'!$R8=G$7,"✔️", "")</f>
        <v/>
      </c>
      <c r="H51" s="292" t="str">
        <f>IF('Age 50 - 59 ($12k premiums)'!$S8=G$7,"✔️", "")</f>
        <v>✔️</v>
      </c>
      <c r="I51" s="134" t="s">
        <v>292</v>
      </c>
      <c r="J51" s="134" t="s">
        <v>292</v>
      </c>
      <c r="K51" s="292" t="str">
        <f>IF('Age 50 - 59 ($12k premiums)'!$R8=K$7,"✔️", "")</f>
        <v/>
      </c>
      <c r="L51" s="292" t="str">
        <f>IF('Age 50 - 59 ($12k premiums)'!$S8=K$7,"✔️", "")</f>
        <v/>
      </c>
      <c r="M51" s="292" t="str">
        <f>IF('Age 50 - 59 ($12k premiums)'!$R8=M$7,"✔️", "")</f>
        <v/>
      </c>
      <c r="N51" s="292" t="str">
        <f>IF('Age 50 - 59 ($12k premiums)'!$S8=M$7,"✔️", "")</f>
        <v/>
      </c>
    </row>
    <row r="52" spans="2:14" ht="16.5" customHeight="1" x14ac:dyDescent="0.35">
      <c r="B52" s="330" t="s">
        <v>336</v>
      </c>
      <c r="C52" s="331"/>
      <c r="D52" s="331"/>
      <c r="E52" s="331"/>
      <c r="F52" s="331"/>
      <c r="G52" s="331"/>
      <c r="H52" s="331"/>
      <c r="I52" s="331"/>
      <c r="J52" s="331"/>
      <c r="K52" s="331"/>
      <c r="L52" s="331"/>
      <c r="M52" s="331"/>
      <c r="N52" s="332"/>
    </row>
    <row r="53" spans="2:14" ht="16.5" customHeight="1" x14ac:dyDescent="0.35">
      <c r="B53" s="322" t="s">
        <v>388</v>
      </c>
      <c r="C53" s="323"/>
      <c r="D53" s="323"/>
      <c r="E53" s="323"/>
      <c r="F53" s="323"/>
      <c r="G53" s="323"/>
      <c r="H53" s="323"/>
      <c r="I53" s="323"/>
      <c r="J53" s="323"/>
      <c r="K53" s="323"/>
      <c r="L53" s="323"/>
      <c r="M53" s="323"/>
      <c r="N53" s="324"/>
    </row>
    <row r="54" spans="2:14" ht="16.5" customHeight="1" x14ac:dyDescent="0.35">
      <c r="B54" s="295" t="s">
        <v>349</v>
      </c>
      <c r="C54" s="292" t="str">
        <f>IF('Age 20 - 29  ($24k premiums)'!$R6=C$7,"✔️", "")</f>
        <v>✔️</v>
      </c>
      <c r="D54" s="292" t="str">
        <f>IF('Age 20 - 29  ($24k premiums)'!$S6=C$7,"✔️", "")</f>
        <v/>
      </c>
      <c r="E54" s="292" t="str">
        <f>IF('Age 20 - 29  ($24k premiums)'!$R6=E$7,"✔️", "")</f>
        <v/>
      </c>
      <c r="F54" s="292" t="str">
        <f>IF('Age 20 - 29  ($24k premiums)'!$S6=E$7,"✔️", "")</f>
        <v/>
      </c>
      <c r="G54" s="134" t="s">
        <v>292</v>
      </c>
      <c r="H54" s="134" t="s">
        <v>292</v>
      </c>
      <c r="I54" s="292" t="str">
        <f>IF('Age 20 - 29  ($24k premiums)'!$R6=I$7,"✔️", "")</f>
        <v/>
      </c>
      <c r="J54" s="292" t="str">
        <f>IF('Age 20 - 29  ($24k premiums)'!$S6=I$7,"✔️", "")</f>
        <v/>
      </c>
      <c r="K54" s="292" t="str">
        <f>IF('Age 20 - 29  ($24k premiums)'!$R6=K$7,"✔️", "")</f>
        <v/>
      </c>
      <c r="L54" s="292" t="str">
        <f>IF('Age 20 - 29  ($24k premiums)'!$S6=K$7,"✔️", "")</f>
        <v>✔️</v>
      </c>
      <c r="M54" s="292" t="str">
        <f>IF('Age 20 - 29  ($24k premiums)'!$R6=M$7,"✔️", "")</f>
        <v/>
      </c>
      <c r="N54" s="292" t="str">
        <f>IF('Age 20 - 29  ($24k premiums)'!$S6=M$7,"✔️", "")</f>
        <v/>
      </c>
    </row>
    <row r="55" spans="2:14" ht="16.5" customHeight="1" x14ac:dyDescent="0.35">
      <c r="B55" s="295" t="s">
        <v>348</v>
      </c>
      <c r="C55" s="292" t="str">
        <f>IF('Age 20 - 29  ($24k premiums)'!$R7=C$7,"✔️", "")</f>
        <v>✔️</v>
      </c>
      <c r="D55" s="292" t="str">
        <f>IF('Age 20 - 29  ($24k premiums)'!$S7=C$7,"✔️", "")</f>
        <v/>
      </c>
      <c r="E55" s="292" t="str">
        <f>IF('Age 20 - 29  ($24k premiums)'!$R7=E$7,"✔️", "")</f>
        <v/>
      </c>
      <c r="F55" s="292" t="str">
        <f>IF('Age 20 - 29  ($24k premiums)'!$S7=E$7,"✔️", "")</f>
        <v>✔️</v>
      </c>
      <c r="G55" s="134" t="s">
        <v>292</v>
      </c>
      <c r="H55" s="134" t="s">
        <v>292</v>
      </c>
      <c r="I55" s="134" t="s">
        <v>292</v>
      </c>
      <c r="J55" s="134" t="s">
        <v>292</v>
      </c>
      <c r="K55" s="292" t="str">
        <f>IF('Age 20 - 29  ($24k premiums)'!$R7=K$7,"✔️", "")</f>
        <v/>
      </c>
      <c r="L55" s="292" t="s">
        <v>150</v>
      </c>
      <c r="M55" s="292" t="str">
        <f>IF('Age 20 - 29  ($24k premiums)'!$R7=M$7,"✔️", "")</f>
        <v/>
      </c>
      <c r="N55" s="292" t="str">
        <f>IF('Age 20 - 29  ($24k premiums)'!$S7=M$7,"✔️", "")</f>
        <v/>
      </c>
    </row>
    <row r="56" spans="2:14" ht="16.5" customHeight="1" x14ac:dyDescent="0.35">
      <c r="B56" s="295" t="s">
        <v>347</v>
      </c>
      <c r="C56" s="292" t="str">
        <f>IF('Age 20 - 29  ($24k premiums)'!$R8=C$7,"✔️", "")</f>
        <v>✔️</v>
      </c>
      <c r="D56" s="292" t="str">
        <f>IF('Age 20 - 29  ($24k premiums)'!$S8=C$7,"✔️", "")</f>
        <v/>
      </c>
      <c r="E56" s="292" t="str">
        <f>IF('Age 20 - 29  ($24k premiums)'!$R8=E$7,"✔️", "")</f>
        <v/>
      </c>
      <c r="F56" s="292" t="str">
        <f>IF('Age 20 - 29  ($24k premiums)'!$S8=E$7,"✔️", "")</f>
        <v/>
      </c>
      <c r="G56" s="134" t="s">
        <v>292</v>
      </c>
      <c r="H56" s="134" t="s">
        <v>292</v>
      </c>
      <c r="I56" s="292" t="str">
        <f>IF('Age 20 - 29  ($24k premiums)'!$R8=I$7,"✔️", "")</f>
        <v/>
      </c>
      <c r="J56" s="292" t="str">
        <f>IF('Age 20 - 29  ($24k premiums)'!$S8=I$7,"✔️", "")</f>
        <v/>
      </c>
      <c r="K56" s="292" t="str">
        <f>IF('Age 20 - 29  ($24k premiums)'!$R8=K$7,"✔️", "")</f>
        <v/>
      </c>
      <c r="L56" s="292" t="str">
        <f>IF('Age 20 - 29  ($24k premiums)'!$S8=K$7,"✔️", "")</f>
        <v>✔️</v>
      </c>
      <c r="M56" s="292" t="str">
        <f>IF('Age 20 - 29  ($24k premiums)'!$R8=M$7,"✔️", "")</f>
        <v/>
      </c>
      <c r="N56" s="292" t="str">
        <f>IF('Age 20 - 29  ($24k premiums)'!$S8=M$7,"✔️", "")</f>
        <v/>
      </c>
    </row>
    <row r="57" spans="2:14" ht="16.5" customHeight="1" x14ac:dyDescent="0.35">
      <c r="B57" s="295" t="s">
        <v>362</v>
      </c>
      <c r="C57" s="292" t="str">
        <f>IF('Age 20 - 29  ($24k premiums)'!$R9=C$7,"✔️", "")</f>
        <v>✔️</v>
      </c>
      <c r="D57" s="292" t="str">
        <f>IF('Age 20 - 29  ($24k premiums)'!$S9=C$7,"✔️", "")</f>
        <v/>
      </c>
      <c r="E57" s="292" t="str">
        <f>IF('Age 20 - 29  ($24k premiums)'!$R9=E$7,"✔️", "")</f>
        <v/>
      </c>
      <c r="F57" s="292" t="str">
        <f>IF('Age 20 - 29  ($24k premiums)'!$S9=E$7,"✔️", "")</f>
        <v>✔️</v>
      </c>
      <c r="G57" s="134" t="s">
        <v>292</v>
      </c>
      <c r="H57" s="134" t="s">
        <v>292</v>
      </c>
      <c r="I57" s="134" t="s">
        <v>292</v>
      </c>
      <c r="J57" s="134" t="s">
        <v>292</v>
      </c>
      <c r="K57" s="292" t="str">
        <f>IF('Age 20 - 29  ($24k premiums)'!$R9=K$7,"✔️", "")</f>
        <v/>
      </c>
      <c r="L57" s="292" t="str">
        <f>IF('Age 20 - 29  ($24k premiums)'!$S9=K$7,"✔️", "")</f>
        <v/>
      </c>
      <c r="M57" s="292" t="str">
        <f>IF('Age 20 - 29  ($24k premiums)'!$R9=M$7,"✔️", "")</f>
        <v/>
      </c>
      <c r="N57" s="292" t="str">
        <f>IF('Age 20 - 29  ($24k premiums)'!$S9=M$7,"✔️", "")</f>
        <v/>
      </c>
    </row>
    <row r="58" spans="2:14" ht="16.5" customHeight="1" x14ac:dyDescent="0.35">
      <c r="B58" s="322" t="s">
        <v>389</v>
      </c>
      <c r="C58" s="323"/>
      <c r="D58" s="323"/>
      <c r="E58" s="323"/>
      <c r="F58" s="323"/>
      <c r="G58" s="323"/>
      <c r="H58" s="323"/>
      <c r="I58" s="323"/>
      <c r="J58" s="323"/>
      <c r="K58" s="323"/>
      <c r="L58" s="323"/>
      <c r="M58" s="323"/>
      <c r="N58" s="324"/>
    </row>
    <row r="59" spans="2:14" ht="16.5" customHeight="1" x14ac:dyDescent="0.35">
      <c r="B59" s="295" t="s">
        <v>351</v>
      </c>
      <c r="C59" s="292" t="str">
        <f>IF('Age 30 - 39 ($24k premiums)'!$R6=C$7,"✔️", "")</f>
        <v>✔️</v>
      </c>
      <c r="D59" s="292" t="str">
        <f>IF('Age 30 - 39 ($24k premiums)'!$S6=C$7,"✔️", "")</f>
        <v/>
      </c>
      <c r="E59" s="292" t="str">
        <f>IF('Age 30 - 39 ($24k premiums)'!$R6=E$7,"✔️", "")</f>
        <v/>
      </c>
      <c r="F59" s="292" t="str">
        <f>IF('Age 30 - 39 ($24k premiums)'!$S6=E$7,"✔️", "")</f>
        <v/>
      </c>
      <c r="G59" s="292" t="str">
        <f>IF('Age 30 - 39 ($24k premiums)'!$R6=G$7,"✔️", "")</f>
        <v/>
      </c>
      <c r="H59" s="292" t="str">
        <f>IF('Age 30 - 39 ($24k premiums)'!$S6=G$7,"✔️", "")</f>
        <v>✔️</v>
      </c>
      <c r="I59" s="292" t="str">
        <f>IF('Age 30 - 39 ($24k premiums)'!$R6=I$7,"✔️", "")</f>
        <v/>
      </c>
      <c r="J59" s="292" t="str">
        <f>IF('Age 30 - 39 ($24k premiums)'!$S6=I$7,"✔️", "")</f>
        <v/>
      </c>
      <c r="K59" s="292" t="str">
        <f>IF('Age 30 - 39 ($24k premiums)'!$R6=K$7,"✔️", "")</f>
        <v/>
      </c>
      <c r="L59" s="292" t="str">
        <f>IF('Age 30 - 39 ($24k premiums)'!$S6=K$7,"✔️", "")</f>
        <v/>
      </c>
      <c r="M59" s="292" t="str">
        <f>IF('Age 30 - 39 ($24k premiums)'!$R6=M$7,"✔️", "")</f>
        <v/>
      </c>
      <c r="N59" s="292" t="str">
        <f>IF('Age 30 - 39 ($24k premiums)'!$S6=M$7,"✔️", "")</f>
        <v/>
      </c>
    </row>
    <row r="60" spans="2:14" ht="16.5" customHeight="1" x14ac:dyDescent="0.35">
      <c r="B60" s="295" t="s">
        <v>352</v>
      </c>
      <c r="C60" s="292" t="str">
        <f>IF('Age 30 - 39 ($24k premiums)'!$R7=C$7,"✔️", "")</f>
        <v>✔️</v>
      </c>
      <c r="D60" s="292" t="str">
        <f>IF('Age 30 - 39 ($24k premiums)'!$S7=C$7,"✔️", "")</f>
        <v/>
      </c>
      <c r="E60" s="292" t="str">
        <f>IF('Age 30 - 39 ($24k premiums)'!$R7=E$7,"✔️", "")</f>
        <v/>
      </c>
      <c r="F60" s="292" t="str">
        <f>IF('Age 30 - 39 ($24k premiums)'!$S7=E$7,"✔️", "")</f>
        <v>✔️</v>
      </c>
      <c r="G60" s="134" t="s">
        <v>292</v>
      </c>
      <c r="H60" s="134" t="s">
        <v>292</v>
      </c>
      <c r="I60" s="134" t="s">
        <v>292</v>
      </c>
      <c r="J60" s="134" t="s">
        <v>292</v>
      </c>
      <c r="K60" s="292" t="str">
        <f>IF('Age 30 - 39 ($24k premiums)'!$R7=K$7,"✔️", "")</f>
        <v/>
      </c>
      <c r="L60" s="292" t="str">
        <f>IF('Age 30 - 39 ($24k premiums)'!$S7=K$7,"✔️", "")</f>
        <v/>
      </c>
      <c r="M60" s="292" t="str">
        <f>IF('Age 30 - 39 ($24k premiums)'!$R7=M$7,"✔️", "")</f>
        <v/>
      </c>
      <c r="N60" s="292" t="str">
        <f>IF('Age 30 - 39 ($24k premiums)'!$S7=M$7,"✔️", "")</f>
        <v/>
      </c>
    </row>
    <row r="61" spans="2:14" ht="16.5" customHeight="1" x14ac:dyDescent="0.35">
      <c r="B61" s="295" t="s">
        <v>346</v>
      </c>
      <c r="C61" s="292" t="str">
        <f>IF('Age 30 - 39 ($24k premiums)'!$R8=C$7,"✔️", "")</f>
        <v/>
      </c>
      <c r="D61" s="292" t="str">
        <f>IF('Age 30 - 39 ($24k premiums)'!$S8=C$7,"✔️", "")</f>
        <v/>
      </c>
      <c r="E61" s="292" t="str">
        <f>IF('Age 30 - 39 ($24k premiums)'!$R8=E$7,"✔️", "")</f>
        <v>✔️</v>
      </c>
      <c r="F61" s="292" t="str">
        <f>IF('Age 30 - 39 ($24k premiums)'!$S8=E$7,"✔️", "")</f>
        <v/>
      </c>
      <c r="G61" s="292" t="str">
        <f>IF('Age 30 - 39 ($24k premiums)'!$R8=G$7,"✔️", "")</f>
        <v/>
      </c>
      <c r="H61" s="292" t="str">
        <f>IF('Age 30 - 39 ($24k premiums)'!$S8=G$7,"✔️", "")</f>
        <v>✔️</v>
      </c>
      <c r="I61" s="292" t="str">
        <f>IF('Age 30 - 39 ($24k premiums)'!$R8=I$7,"✔️", "")</f>
        <v/>
      </c>
      <c r="J61" s="292" t="str">
        <f>IF('Age 30 - 39 ($24k premiums)'!$S8=I$7,"✔️", "")</f>
        <v/>
      </c>
      <c r="K61" s="292" t="str">
        <f>IF('Age 30 - 39 ($24k premiums)'!$R8=K$7,"✔️", "")</f>
        <v/>
      </c>
      <c r="L61" s="292" t="str">
        <f>IF('Age 30 - 39 ($24k premiums)'!$S8=K$7,"✔️", "")</f>
        <v/>
      </c>
      <c r="M61" s="292" t="str">
        <f>IF('Age 30 - 39 ($24k premiums)'!$R8=M$7,"✔️", "")</f>
        <v/>
      </c>
      <c r="N61" s="292" t="str">
        <f>IF('Age 30 - 39 ($24k premiums)'!$S8=M$7,"✔️", "")</f>
        <v/>
      </c>
    </row>
    <row r="62" spans="2:14" ht="16.5" customHeight="1" x14ac:dyDescent="0.35">
      <c r="B62" s="295" t="s">
        <v>353</v>
      </c>
      <c r="C62" s="292" t="str">
        <f>IF('Age 30 - 39 ($24k premiums)'!$R9=C$7,"✔️", "")</f>
        <v/>
      </c>
      <c r="D62" s="292" t="str">
        <f>IF('Age 30 - 39 ($24k premiums)'!$S9=C$7,"✔️", "")</f>
        <v/>
      </c>
      <c r="E62" s="292" t="str">
        <f>IF('Age 30 - 39 ($24k premiums)'!$R9=E$7,"✔️", "")</f>
        <v>✔️</v>
      </c>
      <c r="F62" s="292" t="str">
        <f>IF('Age 30 - 39 ($24k premiums)'!$S9=E$7,"✔️", "")</f>
        <v/>
      </c>
      <c r="G62" s="292" t="str">
        <f>IF('Age 30 - 39 ($24k premiums)'!$R9=G$7,"✔️", "")</f>
        <v/>
      </c>
      <c r="H62" s="292" t="str">
        <f>IF('Age 30 - 39 ($24k premiums)'!$S9=G$7,"✔️", "")</f>
        <v>✔️</v>
      </c>
      <c r="I62" s="292" t="str">
        <f>IF('Age 30 - 39 ($24k premiums)'!$R9=I$7,"✔️", "")</f>
        <v/>
      </c>
      <c r="J62" s="292" t="str">
        <f>IF('Age 30 - 39 ($24k premiums)'!$S9=I$7,"✔️", "")</f>
        <v/>
      </c>
      <c r="K62" s="292" t="str">
        <f>IF('Age 30 - 39 ($24k premiums)'!$R9=K$7,"✔️", "")</f>
        <v/>
      </c>
      <c r="L62" s="292" t="str">
        <f>IF('Age 30 - 39 ($24k premiums)'!$S9=K$7,"✔️", "")</f>
        <v/>
      </c>
      <c r="M62" s="292" t="str">
        <f>IF('Age 30 - 39 ($24k premiums)'!$R9=M$7,"✔️", "")</f>
        <v/>
      </c>
      <c r="N62" s="292" t="str">
        <f>IF('Age 30 - 39 ($24k premiums)'!$S9=M$7,"✔️", "")</f>
        <v/>
      </c>
    </row>
    <row r="63" spans="2:14" ht="16.5" customHeight="1" x14ac:dyDescent="0.35">
      <c r="B63" s="295" t="s">
        <v>354</v>
      </c>
      <c r="C63" s="292" t="str">
        <f>IF('Age 30 - 39 ($24k premiums)'!$R10=C$7,"✔️", "")</f>
        <v>✔️</v>
      </c>
      <c r="D63" s="292" t="str">
        <f>IF('Age 30 - 39 ($24k premiums)'!$S10=C$7,"✔️", "")</f>
        <v/>
      </c>
      <c r="E63" s="292" t="str">
        <f>IF('Age 30 - 39 ($24k premiums)'!$R10=E$7,"✔️", "")</f>
        <v/>
      </c>
      <c r="F63" s="292" t="str">
        <f>IF('Age 30 - 39 ($24k premiums)'!$S10=E$7,"✔️", "")</f>
        <v>✔️</v>
      </c>
      <c r="G63" s="134" t="s">
        <v>292</v>
      </c>
      <c r="H63" s="134" t="s">
        <v>292</v>
      </c>
      <c r="I63" s="134" t="s">
        <v>292</v>
      </c>
      <c r="J63" s="134" t="s">
        <v>292</v>
      </c>
      <c r="K63" s="292" t="str">
        <f>IF('Age 30 - 39 ($24k premiums)'!$R10=K$7,"✔️", "")</f>
        <v/>
      </c>
      <c r="L63" s="292" t="str">
        <f>IF('Age 30 - 39 ($24k premiums)'!$S10=K$7,"✔️", "")</f>
        <v/>
      </c>
      <c r="M63" s="292" t="str">
        <f>IF('Age 30 - 39 ($24k premiums)'!$R10=M$7,"✔️", "")</f>
        <v/>
      </c>
      <c r="N63" s="292" t="str">
        <f>IF('Age 30 - 39 ($24k premiums)'!$S10=M$7,"✔️", "")</f>
        <v/>
      </c>
    </row>
    <row r="64" spans="2:14" ht="16.5" customHeight="1" x14ac:dyDescent="0.35">
      <c r="B64" s="322" t="s">
        <v>390</v>
      </c>
      <c r="C64" s="323"/>
      <c r="D64" s="323"/>
      <c r="E64" s="323"/>
      <c r="F64" s="323"/>
      <c r="G64" s="323"/>
      <c r="H64" s="323"/>
      <c r="I64" s="323"/>
      <c r="J64" s="323"/>
      <c r="K64" s="323"/>
      <c r="L64" s="323"/>
      <c r="M64" s="323"/>
      <c r="N64" s="324"/>
    </row>
    <row r="65" spans="2:14" ht="16.5" customHeight="1" x14ac:dyDescent="0.35">
      <c r="B65" s="295" t="s">
        <v>355</v>
      </c>
      <c r="C65" s="292" t="str">
        <f>IF('Age 40 - 49 ($24k premiums)'!$R6=C$7,"✔️", "")</f>
        <v/>
      </c>
      <c r="D65" s="292" t="str">
        <f>IF('Age 40 - 49 ($24k premiums)'!$S6=C$7,"✔️", "")</f>
        <v/>
      </c>
      <c r="E65" s="292" t="str">
        <f>IF('Age 40 - 49 ($24k premiums)'!$R6=E$7,"✔️", "")</f>
        <v/>
      </c>
      <c r="F65" s="292" t="str">
        <f>IF('Age 40 - 49 ($24k premiums)'!$S6=E$7,"✔️", "")</f>
        <v/>
      </c>
      <c r="G65" s="292" t="str">
        <f>IF('Age 40 - 49 ($24k premiums)'!$R6=G$7,"✔️", "")</f>
        <v>✔️</v>
      </c>
      <c r="H65" s="292" t="str">
        <f>IF('Age 40 - 49 ($24k premiums)'!$S6=G$7,"✔️", "")</f>
        <v>✔️</v>
      </c>
      <c r="I65" s="292" t="str">
        <f>IF('Age 40 - 49 ($24k premiums)'!$R6=I$7,"✔️", "")</f>
        <v/>
      </c>
      <c r="J65" s="292" t="str">
        <f>IF('Age 40 - 49 ($24k premiums)'!$S6=I$7,"✔️", "")</f>
        <v/>
      </c>
      <c r="K65" s="292" t="str">
        <f>IF('Age 40 - 49 ($24k premiums)'!$R6=K$7,"✔️", "")</f>
        <v/>
      </c>
      <c r="L65" s="292" t="str">
        <f>IF('Age 40 - 49 ($24k premiums)'!$S6=K$7,"✔️", "")</f>
        <v/>
      </c>
      <c r="M65" s="292" t="str">
        <f>IF('Age 40 - 49 ($24k premiums)'!$R6=M$7,"✔️", "")</f>
        <v/>
      </c>
      <c r="N65" s="292" t="str">
        <f>IF('Age 40 - 49 ($24k premiums)'!$S6=M$7,"✔️", "")</f>
        <v/>
      </c>
    </row>
    <row r="66" spans="2:14" ht="16.5" customHeight="1" x14ac:dyDescent="0.35">
      <c r="B66" s="295" t="s">
        <v>356</v>
      </c>
      <c r="C66" s="292" t="str">
        <f>IF('Age 40 - 49 ($24k premiums)'!$R7=C$7,"✔️", "")</f>
        <v>✔️</v>
      </c>
      <c r="D66" s="292" t="str">
        <f>IF('Age 40 - 49 ($24k premiums)'!$S7=C$7,"✔️", "")</f>
        <v/>
      </c>
      <c r="E66" s="292" t="str">
        <f>IF('Age 40 - 49 ($24k premiums)'!$R7=E$7,"✔️", "")</f>
        <v/>
      </c>
      <c r="F66" s="292" t="str">
        <f>IF('Age 40 - 49 ($24k premiums)'!$S7=E$7,"✔️", "")</f>
        <v/>
      </c>
      <c r="G66" s="292" t="str">
        <f>IF('Age 40 - 49 ($24k premiums)'!$R7=G$7,"✔️", "")</f>
        <v/>
      </c>
      <c r="H66" s="292" t="str">
        <f>IF('Age 40 - 49 ($24k premiums)'!$S7=G$7,"✔️", "")</f>
        <v>✔️</v>
      </c>
      <c r="I66" s="292" t="str">
        <f>IF('Age 40 - 49 ($24k premiums)'!$R7=I$7,"✔️", "")</f>
        <v/>
      </c>
      <c r="J66" s="292" t="str">
        <f>IF('Age 40 - 49 ($24k premiums)'!$S7=I$7,"✔️", "")</f>
        <v/>
      </c>
      <c r="K66" s="292" t="str">
        <f>IF('Age 40 - 49 ($24k premiums)'!$R7=K$7,"✔️", "")</f>
        <v/>
      </c>
      <c r="L66" s="292" t="str">
        <f>IF('Age 40 - 49 ($24k premiums)'!$S7=K$7,"✔️", "")</f>
        <v/>
      </c>
      <c r="M66" s="292" t="str">
        <f>IF('Age 40 - 49 ($24k premiums)'!$R7=M$7,"✔️", "")</f>
        <v/>
      </c>
      <c r="N66" s="292" t="str">
        <f>IF('Age 40 - 49 ($24k premiums)'!$S7=M$7,"✔️", "")</f>
        <v/>
      </c>
    </row>
    <row r="67" spans="2:14" ht="16.5" customHeight="1" x14ac:dyDescent="0.35">
      <c r="B67" s="295" t="s">
        <v>357</v>
      </c>
      <c r="C67" s="292" t="str">
        <f>IF('Age 40 - 49 ($24k premiums)'!$R8=C$7,"✔️", "")</f>
        <v>✔️</v>
      </c>
      <c r="D67" s="292" t="str">
        <f>IF('Age 40 - 49 ($24k premiums)'!$S8=C$7,"✔️", "")</f>
        <v/>
      </c>
      <c r="E67" s="292" t="str">
        <f>IF('Age 40 - 49 ($24k premiums)'!$R8=E$7,"✔️", "")</f>
        <v/>
      </c>
      <c r="F67" s="292" t="str">
        <f>IF('Age 40 - 49 ($24k premiums)'!$S8=E$7,"✔️", "")</f>
        <v/>
      </c>
      <c r="G67" s="292" t="str">
        <f>IF('Age 40 - 49 ($24k premiums)'!$R8=G$7,"✔️", "")</f>
        <v/>
      </c>
      <c r="H67" s="292" t="str">
        <f>IF('Age 40 - 49 ($24k premiums)'!$S8=G$7,"✔️", "")</f>
        <v>✔️</v>
      </c>
      <c r="I67" s="292" t="str">
        <f>IF('Age 40 - 49 ($24k premiums)'!$R8=I$7,"✔️", "")</f>
        <v/>
      </c>
      <c r="J67" s="292" t="str">
        <f>IF('Age 40 - 49 ($24k premiums)'!$S8=I$7,"✔️", "")</f>
        <v/>
      </c>
      <c r="K67" s="292" t="str">
        <f>IF('Age 40 - 49 ($24k premiums)'!$R8=K$7,"✔️", "")</f>
        <v/>
      </c>
      <c r="L67" s="292" t="str">
        <f>IF('Age 40 - 49 ($24k premiums)'!$S8=K$7,"✔️", "")</f>
        <v/>
      </c>
      <c r="M67" s="292" t="str">
        <f>IF('Age 40 - 49 ($24k premiums)'!$R8=M$7,"✔️", "")</f>
        <v/>
      </c>
      <c r="N67" s="292" t="str">
        <f>IF('Age 40 - 49 ($24k premiums)'!$S8=M$7,"✔️", "")</f>
        <v/>
      </c>
    </row>
    <row r="68" spans="2:14" ht="16.5" customHeight="1" x14ac:dyDescent="0.35">
      <c r="B68" s="295" t="s">
        <v>358</v>
      </c>
      <c r="C68" s="292" t="str">
        <f>IF('Age 40 - 49 ($24k premiums)'!$R9=C$7,"✔️", "")</f>
        <v>✔️</v>
      </c>
      <c r="D68" s="292" t="str">
        <f>IF('Age 40 - 49 ($24k premiums)'!$S9=C$7,"✔️", "")</f>
        <v/>
      </c>
      <c r="E68" s="292" t="str">
        <f>IF('Age 40 - 49 ($24k premiums)'!$R9=E$7,"✔️", "")</f>
        <v/>
      </c>
      <c r="F68" s="292" t="str">
        <f>IF('Age 40 - 49 ($24k premiums)'!$S9=E$7,"✔️", "")</f>
        <v/>
      </c>
      <c r="G68" s="292" t="str">
        <f>IF('Age 40 - 49 ($24k premiums)'!$R9=G$7,"✔️", "")</f>
        <v/>
      </c>
      <c r="H68" s="292" t="str">
        <f>IF('Age 40 - 49 ($24k premiums)'!$S9=G$7,"✔️", "")</f>
        <v>✔️</v>
      </c>
      <c r="I68" s="292" t="str">
        <f>IF('Age 40 - 49 ($24k premiums)'!$R9=I$7,"✔️", "")</f>
        <v/>
      </c>
      <c r="J68" s="292" t="str">
        <f>IF('Age 40 - 49 ($24k premiums)'!$S9=I$7,"✔️", "")</f>
        <v/>
      </c>
      <c r="K68" s="292" t="str">
        <f>IF('Age 40 - 49 ($24k premiums)'!$R9=K$7,"✔️", "")</f>
        <v/>
      </c>
      <c r="L68" s="292" t="str">
        <f>IF('Age 40 - 49 ($24k premiums)'!$S9=K$7,"✔️", "")</f>
        <v/>
      </c>
      <c r="M68" s="292" t="str">
        <f>IF('Age 40 - 49 ($24k premiums)'!$R9=M$7,"✔️", "")</f>
        <v/>
      </c>
      <c r="N68" s="292" t="str">
        <f>IF('Age 40 - 49 ($24k premiums)'!$S9=M$7,"✔️", "")</f>
        <v/>
      </c>
    </row>
    <row r="69" spans="2:14" ht="16.5" customHeight="1" x14ac:dyDescent="0.35">
      <c r="B69" s="322" t="s">
        <v>391</v>
      </c>
      <c r="C69" s="323"/>
      <c r="D69" s="323"/>
      <c r="E69" s="323"/>
      <c r="F69" s="323"/>
      <c r="G69" s="323"/>
      <c r="H69" s="323"/>
      <c r="I69" s="323"/>
      <c r="J69" s="323"/>
      <c r="K69" s="323"/>
      <c r="L69" s="323"/>
      <c r="M69" s="323"/>
      <c r="N69" s="324"/>
    </row>
    <row r="70" spans="2:14" ht="16.5" customHeight="1" x14ac:dyDescent="0.35">
      <c r="B70" s="295" t="s">
        <v>359</v>
      </c>
      <c r="C70" s="292" t="str">
        <f>IF('Age 50 - 59 ($24k premiums)'!$R6=C$7,"✔️", "")</f>
        <v>✔️</v>
      </c>
      <c r="D70" s="292" t="str">
        <f>IF('Age 50 - 59 ($24k premiums)'!$S6=C$7,"✔️", "")</f>
        <v/>
      </c>
      <c r="E70" s="292" t="str">
        <f>IF('Age 50 - 59 ($24k premiums)'!$R6=E$7,"✔️", "")</f>
        <v/>
      </c>
      <c r="F70" s="292" t="str">
        <f>IF('Age 50 - 59 ($24k premiums)'!$S6=E$7,"✔️", "")</f>
        <v/>
      </c>
      <c r="G70" s="292" t="str">
        <f>IF('Age 50 - 59 ($24k premiums)'!$R6=G$7,"✔️", "")</f>
        <v/>
      </c>
      <c r="H70" s="292" t="str">
        <f>IF('Age 50 - 59 ($24k premiums)'!$S6=G$7,"✔️", "")</f>
        <v>✔️</v>
      </c>
      <c r="I70" s="292" t="str">
        <f>IF('Age 50 - 59 ($24k premiums)'!$R6=I$7,"✔️", "")</f>
        <v/>
      </c>
      <c r="J70" s="292" t="str">
        <f>IF('Age 50 - 59 ($24k premiums)'!$S6=I$7,"✔️", "")</f>
        <v/>
      </c>
      <c r="K70" s="292" t="str">
        <f>IF('Age 50 - 59 ($24k premiums)'!$R6=K$7,"✔️", "")</f>
        <v/>
      </c>
      <c r="L70" s="292" t="str">
        <f>IF('Age 50 - 59 ($24k premiums)'!$S6=K$7,"✔️", "")</f>
        <v/>
      </c>
      <c r="M70" s="292" t="str">
        <f>IF('Age 50 - 59 ($24k premiums)'!$R6=M$7,"✔️", "")</f>
        <v/>
      </c>
      <c r="N70" s="292" t="str">
        <f>IF('Age 50 - 59 ($24k premiums)'!$S6=M$7,"✔️", "")</f>
        <v/>
      </c>
    </row>
    <row r="71" spans="2:14" ht="16.5" customHeight="1" x14ac:dyDescent="0.35">
      <c r="B71" s="295" t="s">
        <v>360</v>
      </c>
      <c r="C71" s="292" t="str">
        <f>IF('Age 50 - 59 ($24k premiums)'!$R7=C$7,"✔️", "")</f>
        <v>✔️</v>
      </c>
      <c r="D71" s="292" t="str">
        <f>IF('Age 50 - 59 ($24k premiums)'!$S7=C$7,"✔️", "")</f>
        <v>✔️</v>
      </c>
      <c r="E71" s="134" t="s">
        <v>292</v>
      </c>
      <c r="F71" s="134" t="s">
        <v>292</v>
      </c>
      <c r="G71" s="134" t="s">
        <v>292</v>
      </c>
      <c r="H71" s="134" t="s">
        <v>292</v>
      </c>
      <c r="I71" s="134" t="s">
        <v>292</v>
      </c>
      <c r="J71" s="134" t="s">
        <v>292</v>
      </c>
      <c r="K71" s="134" t="s">
        <v>292</v>
      </c>
      <c r="L71" s="134" t="s">
        <v>292</v>
      </c>
      <c r="M71" s="292" t="str">
        <f>IF('Age 50 - 59 ($24k premiums)'!$R7=M$7,"✔️", "")</f>
        <v/>
      </c>
      <c r="N71" s="292" t="str">
        <f>IF('Age 50 - 59 ($24k premiums)'!$S7=M$7,"✔️", "")</f>
        <v/>
      </c>
    </row>
    <row r="72" spans="2:14" ht="16.5" customHeight="1" x14ac:dyDescent="0.35">
      <c r="B72" s="295" t="s">
        <v>361</v>
      </c>
      <c r="C72" s="292" t="str">
        <f>IF('Age 50 - 59 ($24k premiums)'!$R8=C$7,"✔️", "")</f>
        <v>✔️</v>
      </c>
      <c r="D72" s="292" t="str">
        <f>IF('Age 50 - 59 ($24k premiums)'!$S8=C$7,"✔️", "")</f>
        <v/>
      </c>
      <c r="E72" s="292" t="str">
        <f>IF('Age 50 - 59 ($24k premiums)'!$R8=E$7,"✔️", "")</f>
        <v/>
      </c>
      <c r="F72" s="292" t="str">
        <f>IF('Age 50 - 59 ($24k premiums)'!$S8=E$7,"✔️", "")</f>
        <v/>
      </c>
      <c r="G72" s="292" t="str">
        <f>IF('Age 50 - 59 ($24k premiums)'!$R8=G$7,"✔️", "")</f>
        <v/>
      </c>
      <c r="H72" s="292" t="str">
        <f>IF('Age 50 - 59 ($24k premiums)'!$S8=G$7,"✔️", "")</f>
        <v>✔️</v>
      </c>
      <c r="I72" s="134" t="s">
        <v>292</v>
      </c>
      <c r="J72" s="134" t="s">
        <v>292</v>
      </c>
      <c r="K72" s="292" t="str">
        <f>IF('Age 50 - 59 ($24k premiums)'!$R8=K$7,"✔️", "")</f>
        <v/>
      </c>
      <c r="L72" s="292" t="str">
        <f>IF('Age 50 - 59 ($24k premiums)'!$S8=K$7,"✔️", "")</f>
        <v/>
      </c>
      <c r="M72" s="292" t="str">
        <f>IF('Age 50 - 59 ($24k premiums)'!$R8=M$7,"✔️", "")</f>
        <v/>
      </c>
      <c r="N72" s="292" t="str">
        <f>IF('Age 50 - 59 ($24k premiums)'!$S8=M$7,"✔️", "")</f>
        <v/>
      </c>
    </row>
  </sheetData>
  <sheetProtection algorithmName="SHA-512" hashValue="F7KyZ7KiE1EzTblFyQ/jfEhWnWKqEJJD0L5fnUzbr3PbWXMc4BpB1aYhWuDqZvv58XwDB36EmfPpkAlHACgrjA==" saltValue="MZBKG++NefcqtVBRwgH+Mw==" spinCount="100000" sheet="1" objects="1" scenarios="1" selectLockedCells="1" autoFilter="0" selectUnlockedCells="1"/>
  <mergeCells count="24">
    <mergeCell ref="B31:N31"/>
    <mergeCell ref="B52:N52"/>
    <mergeCell ref="B29:N29"/>
    <mergeCell ref="B2:N5"/>
    <mergeCell ref="B7:B8"/>
    <mergeCell ref="B9:N9"/>
    <mergeCell ref="B18:N18"/>
    <mergeCell ref="B20:N20"/>
    <mergeCell ref="B1:J1"/>
    <mergeCell ref="B69:N69"/>
    <mergeCell ref="B32:N32"/>
    <mergeCell ref="B37:N37"/>
    <mergeCell ref="B43:N43"/>
    <mergeCell ref="B48:N48"/>
    <mergeCell ref="B53:N53"/>
    <mergeCell ref="B58:N58"/>
    <mergeCell ref="B64:N64"/>
    <mergeCell ref="K7:L7"/>
    <mergeCell ref="M7:N7"/>
    <mergeCell ref="B6:N6"/>
    <mergeCell ref="C7:D7"/>
    <mergeCell ref="E7:F7"/>
    <mergeCell ref="G7:H7"/>
    <mergeCell ref="I7:J7"/>
  </mergeCells>
  <conditionalFormatting sqref="C21:D28 C30:D30">
    <cfRule type="cellIs" dxfId="277" priority="311" operator="equal">
      <formula>"✔️"</formula>
    </cfRule>
    <cfRule type="cellIs" dxfId="276" priority="310" operator="equal">
      <formula>"N.A."</formula>
    </cfRule>
  </conditionalFormatting>
  <conditionalFormatting sqref="C49:D51">
    <cfRule type="cellIs" dxfId="275" priority="132" operator="equal">
      <formula>"N.A."</formula>
    </cfRule>
    <cfRule type="cellIs" dxfId="274" priority="133" operator="equal">
      <formula>"✔️"</formula>
    </cfRule>
  </conditionalFormatting>
  <conditionalFormatting sqref="C70:D72">
    <cfRule type="cellIs" dxfId="273" priority="52" operator="equal">
      <formula>"N.A."</formula>
    </cfRule>
    <cfRule type="cellIs" dxfId="272" priority="53" operator="equal">
      <formula>"✔️"</formula>
    </cfRule>
  </conditionalFormatting>
  <conditionalFormatting sqref="C33:F36">
    <cfRule type="cellIs" dxfId="271" priority="290" operator="equal">
      <formula>"N.A."</formula>
    </cfRule>
    <cfRule type="cellIs" dxfId="270" priority="291" operator="equal">
      <formula>"✔️"</formula>
    </cfRule>
  </conditionalFormatting>
  <conditionalFormatting sqref="C38:F42">
    <cfRule type="cellIs" dxfId="269" priority="241" operator="equal">
      <formula>"✔️"</formula>
    </cfRule>
    <cfRule type="cellIs" dxfId="268" priority="240" operator="equal">
      <formula>"N.A."</formula>
    </cfRule>
  </conditionalFormatting>
  <conditionalFormatting sqref="C54:F57">
    <cfRule type="cellIs" dxfId="267" priority="263" operator="equal">
      <formula>"✔️"</formula>
    </cfRule>
    <cfRule type="cellIs" dxfId="266" priority="262" operator="equal">
      <formula>"N.A."</formula>
    </cfRule>
  </conditionalFormatting>
  <conditionalFormatting sqref="C59:F63">
    <cfRule type="cellIs" dxfId="265" priority="184" operator="equal">
      <formula>"N.A."</formula>
    </cfRule>
    <cfRule type="cellIs" dxfId="264" priority="185" operator="equal">
      <formula>"✔️"</formula>
    </cfRule>
  </conditionalFormatting>
  <conditionalFormatting sqref="C10:N17 C19:N19">
    <cfRule type="cellIs" dxfId="263" priority="315" operator="equal">
      <formula>"✔️"</formula>
    </cfRule>
    <cfRule type="cellIs" dxfId="262" priority="314" operator="equal">
      <formula>"N.A."</formula>
    </cfRule>
  </conditionalFormatting>
  <conditionalFormatting sqref="C44:N47">
    <cfRule type="cellIs" dxfId="261" priority="136" operator="equal">
      <formula>"N.A."</formula>
    </cfRule>
    <cfRule type="cellIs" dxfId="260" priority="137" operator="equal">
      <formula>"✔️"</formula>
    </cfRule>
  </conditionalFormatting>
  <conditionalFormatting sqref="C65:N68">
    <cfRule type="cellIs" dxfId="259" priority="56" operator="equal">
      <formula>"N.A."</formula>
    </cfRule>
    <cfRule type="cellIs" dxfId="258" priority="57" operator="equal">
      <formula>"✔️"</formula>
    </cfRule>
  </conditionalFormatting>
  <conditionalFormatting sqref="E10:F17 E19:F19">
    <cfRule type="uniqueValues" dxfId="257" priority="3"/>
  </conditionalFormatting>
  <conditionalFormatting sqref="E51:H51">
    <cfRule type="cellIs" dxfId="256" priority="92" operator="equal">
      <formula>"N.A."</formula>
    </cfRule>
    <cfRule type="cellIs" dxfId="255" priority="93" operator="equal">
      <formula>"✔️"</formula>
    </cfRule>
  </conditionalFormatting>
  <conditionalFormatting sqref="E72:H72">
    <cfRule type="cellIs" dxfId="254" priority="13" operator="equal">
      <formula>"✔️"</formula>
    </cfRule>
    <cfRule type="cellIs" dxfId="253" priority="12" operator="equal">
      <formula>"N.A."</formula>
    </cfRule>
  </conditionalFormatting>
  <conditionalFormatting sqref="E49:L49">
    <cfRule type="cellIs" dxfId="252" priority="104" operator="equal">
      <formula>"N.A."</formula>
    </cfRule>
    <cfRule type="cellIs" dxfId="251" priority="105" operator="equal">
      <formula>"✔️"</formula>
    </cfRule>
  </conditionalFormatting>
  <conditionalFormatting sqref="E70:L70">
    <cfRule type="cellIs" dxfId="250" priority="36" operator="equal">
      <formula>"N.A."</formula>
    </cfRule>
    <cfRule type="cellIs" dxfId="249" priority="37" operator="equal">
      <formula>"✔️"</formula>
    </cfRule>
  </conditionalFormatting>
  <conditionalFormatting sqref="G25:H28 G30:H30">
    <cfRule type="cellIs" dxfId="248" priority="307" operator="equal">
      <formula>"✔️"</formula>
    </cfRule>
    <cfRule type="cellIs" dxfId="247" priority="306" operator="equal">
      <formula>"N.A."</formula>
    </cfRule>
  </conditionalFormatting>
  <conditionalFormatting sqref="G38:J38">
    <cfRule type="cellIs" dxfId="246" priority="232" operator="equal">
      <formula>"N.A."</formula>
    </cfRule>
    <cfRule type="cellIs" dxfId="245" priority="233" operator="equal">
      <formula>"✔️"</formula>
    </cfRule>
  </conditionalFormatting>
  <conditionalFormatting sqref="G40:J41">
    <cfRule type="cellIs" dxfId="244" priority="216" operator="equal">
      <formula>"N.A."</formula>
    </cfRule>
    <cfRule type="cellIs" dxfId="243" priority="217" operator="equal">
      <formula>"✔️"</formula>
    </cfRule>
  </conditionalFormatting>
  <conditionalFormatting sqref="G59:J59">
    <cfRule type="cellIs" dxfId="242" priority="169" operator="equal">
      <formula>"✔️"</formula>
    </cfRule>
    <cfRule type="cellIs" dxfId="241" priority="168" operator="equal">
      <formula>"N.A."</formula>
    </cfRule>
  </conditionalFormatting>
  <conditionalFormatting sqref="G61:J62">
    <cfRule type="cellIs" dxfId="240" priority="161" operator="equal">
      <formula>"✔️"</formula>
    </cfRule>
    <cfRule type="cellIs" dxfId="239" priority="160" operator="equal">
      <formula>"N.A."</formula>
    </cfRule>
  </conditionalFormatting>
  <conditionalFormatting sqref="I33:J33">
    <cfRule type="cellIs" dxfId="238" priority="286" operator="equal">
      <formula>"N.A."</formula>
    </cfRule>
    <cfRule type="cellIs" dxfId="237" priority="287" operator="equal">
      <formula>"✔️"</formula>
    </cfRule>
  </conditionalFormatting>
  <conditionalFormatting sqref="I35:J35">
    <cfRule type="cellIs" dxfId="236" priority="282" operator="equal">
      <formula>"N.A."</formula>
    </cfRule>
    <cfRule type="cellIs" dxfId="235" priority="283" operator="equal">
      <formula>"✔️"</formula>
    </cfRule>
  </conditionalFormatting>
  <conditionalFormatting sqref="I56:J56">
    <cfRule type="cellIs" dxfId="234" priority="246" operator="equal">
      <formula>"N.A."</formula>
    </cfRule>
    <cfRule type="cellIs" dxfId="233" priority="247" operator="equal">
      <formula>"✔️"</formula>
    </cfRule>
  </conditionalFormatting>
  <conditionalFormatting sqref="I54:N54">
    <cfRule type="cellIs" dxfId="232" priority="250" operator="equal">
      <formula>"N.A."</formula>
    </cfRule>
    <cfRule type="cellIs" dxfId="231" priority="251" operator="equal">
      <formula>"✔️"</formula>
    </cfRule>
  </conditionalFormatting>
  <conditionalFormatting sqref="K51:L51">
    <cfRule type="cellIs" dxfId="230" priority="89" operator="equal">
      <formula>"✔️"</formula>
    </cfRule>
    <cfRule type="cellIs" dxfId="229" priority="88" operator="equal">
      <formula>"N.A."</formula>
    </cfRule>
  </conditionalFormatting>
  <conditionalFormatting sqref="K72:L72">
    <cfRule type="cellIs" dxfId="228" priority="9" operator="equal">
      <formula>"✔️"</formula>
    </cfRule>
    <cfRule type="cellIs" dxfId="227" priority="8" operator="equal">
      <formula>"N.A."</formula>
    </cfRule>
  </conditionalFormatting>
  <conditionalFormatting sqref="K21:N28 K30:N30">
    <cfRule type="cellIs" dxfId="226" priority="298" operator="equal">
      <formula>"N.A."</formula>
    </cfRule>
    <cfRule type="cellIs" dxfId="225" priority="299" operator="equal">
      <formula>"✔️"</formula>
    </cfRule>
  </conditionalFormatting>
  <conditionalFormatting sqref="K33:N36">
    <cfRule type="cellIs" dxfId="224" priority="274" operator="equal">
      <formula>"N.A."</formula>
    </cfRule>
    <cfRule type="cellIs" dxfId="223" priority="275" operator="equal">
      <formula>"✔️"</formula>
    </cfRule>
  </conditionalFormatting>
  <conditionalFormatting sqref="K38:N42">
    <cfRule type="cellIs" dxfId="222" priority="192" operator="equal">
      <formula>"N.A."</formula>
    </cfRule>
    <cfRule type="cellIs" dxfId="221" priority="193" operator="equal">
      <formula>"✔️"</formula>
    </cfRule>
  </conditionalFormatting>
  <conditionalFormatting sqref="K55:N57">
    <cfRule type="cellIs" dxfId="220" priority="2" operator="equal">
      <formula>"✔️"</formula>
    </cfRule>
    <cfRule type="cellIs" dxfId="219" priority="1" operator="equal">
      <formula>"N.A."</formula>
    </cfRule>
  </conditionalFormatting>
  <conditionalFormatting sqref="K59:N63">
    <cfRule type="cellIs" dxfId="218" priority="176" operator="equal">
      <formula>"N.A."</formula>
    </cfRule>
    <cfRule type="cellIs" dxfId="217" priority="177" operator="equal">
      <formula>"✔️"</formula>
    </cfRule>
  </conditionalFormatting>
  <conditionalFormatting sqref="M49:N51">
    <cfRule type="cellIs" dxfId="216" priority="81" operator="equal">
      <formula>"✔️"</formula>
    </cfRule>
    <cfRule type="cellIs" dxfId="215" priority="80" operator="equal">
      <formula>"N.A."</formula>
    </cfRule>
  </conditionalFormatting>
  <conditionalFormatting sqref="M70:N72">
    <cfRule type="cellIs" dxfId="214" priority="5" operator="equal">
      <formula>"✔️"</formula>
    </cfRule>
    <cfRule type="cellIs" dxfId="213" priority="4" operator="equal">
      <formula>"N.A."</formula>
    </cfRule>
  </conditionalFormatting>
  <hyperlinks>
    <hyperlink ref="B10" location="'Endowment Retirement (SP 100k)'!A2" display="MNS ALB24/ANB25 (Accumulation 40 Years (Singlife Flexi Retirement II)/41 Years for others)" xr:uid="{49A3737C-13AC-4D2D-877A-B3C72288C29F}"/>
    <hyperlink ref="B11" location="'Endowment Retirement (SP 100k)'!A14" display="MNS ALB29/ANB30 (Accumulation 35 Years (Singlife Flexi Retirement II)/36 Years for others)" xr:uid="{49578BDB-B23E-4F0E-8179-87C00A75CEC1}"/>
    <hyperlink ref="B12" location="'Endowment Retirement (SP 100k)'!A26" display="MNS ALB34/ANB35 (Accumulation 30 Years (Singlife Flexi Retirement II)/31 Years for others)" xr:uid="{308CF0CA-9F60-408B-94EF-FE2A9D7CA80B}"/>
    <hyperlink ref="B13" location="'Endowment Retirement (SP 100k)'!A39" display="MNS ALB39/ANB40 (Accumulation 25 Years (Singlife Flexi Retirement II)/26 Years for others)" xr:uid="{3DC1BF78-EA4C-41C3-A0AA-EFD05118CD3E}"/>
    <hyperlink ref="B14" location="'Endowment Retirement (SP 100k)'!A51" display="MNS ALB44/ANB45 (Accumulation 20 Years (Singlife Flexi Retirement II)/21 Years for others)" xr:uid="{ECBC0A03-8416-4013-971D-91219C14CC61}"/>
    <hyperlink ref="B15" location="'Endowment Retirement (SP 100k)'!A63" display="MNS ALB49/ANB50 (Accumulation 15 Years (Singlife Flexi Retirement II)/16 Years for others)" xr:uid="{097EF8C4-EC28-4B6A-A150-83C6F9FDB0BC}"/>
    <hyperlink ref="B16" location="'Endowment Retirement (SP 100k)'!A75" display="MNS ALB54/ANB55 (Accumulation 10 Years (Singlife Flexi Retirement II)/11 Years for others)" xr:uid="{81CE56F2-2BC7-4688-87A8-C603027EC672}"/>
    <hyperlink ref="B17" location="'Endowment Retirement (SP 100k)'!A87" display="MNS ALB59/ANB60 (Accumulation 5 Years (Singlife Flexi Retirement II)/6 Years for others)" xr:uid="{E3DEFDC1-D316-4623-8116-F977414078B3}"/>
    <hyperlink ref="B19" location="'Endowment Retirement (SP 100k)'!A99" display="MNS ALB59/ANB60 (Accumulation 10 Years (Singlife Flexi Retirement II)/6 Years for others)" xr:uid="{1E75B23D-066A-4569-8998-023F99EBD651}"/>
    <hyperlink ref="B21" location="'Endowment Retirement (SP 200k)'!A2" display="MNS ALB24/ANB25 (Accumulation 40 Years (Singlife Flexi Retirement II)/41 Years for others)" xr:uid="{4EB473BE-0CBF-45F7-8BAB-A36FDB35B66C}"/>
    <hyperlink ref="B22" location="'Endowment Retirement (SP 200k)'!A14" display="MNS ALB29/ANB30 (Accumulation 35 Years (Singlife Flexi Retirement II)/36 Years for others)" xr:uid="{C3286926-76F1-443A-BF55-7B01F8FDA4FC}"/>
    <hyperlink ref="B23" location="'Endowment Retirement (SP 200k)'!A26" display="MNS ALB34/ANB35 (Accumulation 30 Years (Singlife Flexi Retirement II)/31 Years for others)" xr:uid="{2D4C29B2-702E-4FFC-A811-016A2E89A29D}"/>
    <hyperlink ref="B24" location="'Endowment Retirement (SP 200k)'!A39" display="MNS ALB39/ANB40 (Accumulation 25 Years (Singlife Flexi Retirement II)/26 Years for others)" xr:uid="{384D161E-5FAF-4198-AF2F-B9484F5D3994}"/>
    <hyperlink ref="B25" location="'Endowment Retirement (SP 200k)'!A51" display="MNS ALB44/ANB45 (Accumulation 20 Years (Singlife Flexi Retirement II)/21 Years for others)" xr:uid="{3738F66E-44A2-41DF-AAE8-0640D95B7EE6}"/>
    <hyperlink ref="B26" location="'Endowment Retirement (SP 200k)'!A63" display="MNS ALB49/ANB50 (Accumulation 15 Years (Singlife Flexi Retirement II)/16 Years for others)" xr:uid="{AB1C8D47-A3F5-4B21-B229-9812F51E913E}"/>
    <hyperlink ref="B27" location="'Endowment Retirement (SP 200k)'!A75" display="MNS ALB54/ANB55 (Accumulation 10 Years (Singlife Flexi Retirement II)/11 Years for others)" xr:uid="{6B94CCB5-71B2-4241-8DE9-F0C89A39823B}"/>
    <hyperlink ref="B28" location="'Endowment Retirement (SP 200k)'!A87" display="MNS ALB59/ANB60 (Accumulation 5 Years (Singlife Flexi Retirement II)/6 Years for others)" xr:uid="{DE678F92-D247-4E11-AF5B-9B899E6B557B}"/>
    <hyperlink ref="B30" location="'Endowment Retirement (SP 200k)'!A99" display="MNS ALB59/ANB60 (Accumulation 10 Years (Singlife Flexi Retirement II)/6 Years for others)" xr:uid="{3223DE29-72D0-483F-AEC7-23DB075BC0C5}"/>
    <hyperlink ref="B33" location="'Age 20 - 29  ($12k premiums)'!A2" display="MNS ALB24/ANB25,Premium Term 10 Years (Accumulation 41 Years (Income Gro Retire Flex Pro)/31 Years for others/30 Years for Etiqa Enrich Retirement)" xr:uid="{26173F91-FFEB-47F0-AF39-F990CDC7FC80}"/>
    <hyperlink ref="B34" location="'Age 20 - 29  ($12k premiums)'!A17" display="MNS ALB24/ANB25,Premium Term 20 Years (Accumulation 41 Years (Income Gro Retire Flex Pro)/21 Years for others)" xr:uid="{C7D11313-C79B-4FD1-AFC1-D5F144A9CE4A}"/>
    <hyperlink ref="B35" location="'Age 20 - 29  ($12k premiums)'!A30" display="MNS ALB29/ANB30,Premium Term 10 Years (Accumulation 36 Years (Income Gro Retire Flex Pro)/26 Years for others/25 Years for Etiqa Enrich Retirement)" xr:uid="{E18D2A33-05DB-41EC-9F6D-A933900262F4}"/>
    <hyperlink ref="B36" location="'Age 20 - 29  ($12k premiums)'!A45" display="MNS ALB29/ANB30,Premium Term 20 Years (Accumulation 36 Years (Income Gro Retire Flex Pro/16 Years for others)" xr:uid="{FB9A9C5E-7661-4214-AC95-642CD2527C1A}"/>
    <hyperlink ref="B38" location="'Age 30 - 39 ($12k premiums)'!A2" display="MNS ALB34/ANB35,Premium Term 10 Years (Accumulation 31 Years (Income Gro Retire Flex Pro)/21 Years for others/20 Years for Etiqa Enrich Retirement)" xr:uid="{962E2389-41CC-44C9-B0C9-1E64E02964E6}"/>
    <hyperlink ref="B39" location="'Age 30 - 39 ($12k premiums)'!A17" display="MNS ALB34/ANB35,Premium Term 20 Years (Accumulation 31 Years (Income Gro Retire Flex Pro)/11 Years for others)" xr:uid="{C56A0157-B6A2-4C7D-81D4-45E1FEDFEC9D}"/>
    <hyperlink ref="B40" location="'Age 30 - 39 ($12k premiums)'!A30" display="MNS ALB39/ANB40,Premium Term 5 Years (Accumulation 26 Years (Income Gro Retire Flex Pro)/21 Years for others/20 Years for Etiqa Enrich Retirement)" xr:uid="{7B47422D-F8BE-4492-8126-C4EA78859040}"/>
    <hyperlink ref="B41" location="'Age 30 - 39 ($12k premiums)'!A45" display="MNS ALB39/ANB40,Premium Term 10 Years (Accumulation 26 Years (Income Gro Retire Flex Pro)/16 Years for others/15 Years for Etiqa Enrich Retirement)" xr:uid="{E9F66A91-7938-473C-BC28-54E2E339DFE2}"/>
    <hyperlink ref="B42" location="'Age 30 - 39 ($12k premiums)'!A60" display="MNS ALB39/ANB40,Premium Term 20 Years (Accumulation 26 Years (Income Gro Retire Flex Pro)/6 Years for others)" xr:uid="{AD84DCB7-D553-419C-B8FE-2F30B81784BB}"/>
    <hyperlink ref="B44" location="'Age 40 - 49 ($12k premiums)'!A2" display="MNS ALB44/ANB45,Premium Term 5 Years (Accumulation 21 Years (Income Gro Retire Flex Pro)/16 Years for others/15 Years for Etiqa Enrich Retirement)" xr:uid="{8C36BF0F-EA0C-44C7-B210-92F8C1195077}"/>
    <hyperlink ref="B45" location="'Age 40 - 49 ($12k premiums)'!A17" display="MNS ALB44/ANB45,Premium Term 10 Years (Accumulation 21 Years (Income Gro Retire Flex Pro)/11 Years for others/10 Years for Etiqa Enrich Retirement)" xr:uid="{201C57DB-0F9A-498C-A4FE-0254C2B09C77}"/>
    <hyperlink ref="B46" location="'Age 40 - 49 ($12k premiums)'!A32" display="MNS ALB49/ANB50,Premium Term 5 Years (Accumulation 16 Years (Income Gro Retire Flex Pro)/11 Years for others/10 Years for Etiqa Enrich Retirement)" xr:uid="{2B049792-4A39-41E1-AD10-765BD61CE70A}"/>
    <hyperlink ref="B47" location="'Age 40 - 49 ($12k premiums)'!A47" display="MNS ALB49/ANB50,Premium Term 10 Years (Accumulation 16 Years (Income Gro Retire Flex Pro)/6 Years for others/5 Years for Etiqa Enrich Retirement)" xr:uid="{85D5323F-49F3-43AC-8994-F99F53ED21D5}"/>
    <hyperlink ref="B49" location="'Age 50 - 59 ($12k premiums)'!A2" display="MNS ALB54/ANB55,Premium Term 5 Years (Accumulation 11 Years (Income Gro Retire Flex Pro)/6 Years for others/5 Years for Etiqa Enrich Retirement)" xr:uid="{927B07EF-ED55-4662-85C2-F90F80E2506D}"/>
    <hyperlink ref="B50" location="'Age 50 - 59 ($12k premiums)'!A17" display="MNS ALB54/ANB55,Premium Term 10 Years (Accumulation 1 Year (Singlife Flexi Retirement II)" xr:uid="{5996C196-3F75-413D-8EAF-158301AFB356}"/>
    <hyperlink ref="B51" location="'Age 50 - 59 ($12k premiums)'!A27" display="MNS ALB59/ANB60,Premium Term 5 Years (Accumulation 11 Years (Income Gro Retire Flex Pro)/6 Years for others" xr:uid="{DB8120DE-2C9B-4C5E-93B9-E90466BDAF9B}"/>
    <hyperlink ref="B54" location="'Age 20 - 29  ($24k premiums)'!A2" display="MNS ALB24/ANB25,Premium Term 10 Years (Accumulation 41 Years (Income Gro Retire Flex Pro)/31 Years for others/30 Years for Etiqa Enrich Retirement)" xr:uid="{2F365AB2-2D8D-444A-8D88-2DB16D531E24}"/>
    <hyperlink ref="B55" location="'Age 20 - 29  ($24k premiums)'!A17" display="MNS ALB24/ANB25,Premium Term 20 Years (Accumulation 41 Years (Income Gro Retire Flex Pro)/21 Years for others)" xr:uid="{DA96153E-B33D-4066-80B1-C72539634774}"/>
    <hyperlink ref="B56" location="'Age 20 - 29  ($24k premiums)'!A30" display="MNS ALB29/ANB30,Premium Term 10 Years (Accumulation 36 Years (Income Gro Retire Flex Pro)/26 Years for others/25 Years for Etiqa Enrich Retirement)" xr:uid="{46AFE548-DEF2-46ED-9ADF-7295E4923731}"/>
    <hyperlink ref="B57" location="'Age 20 - 29  ($24k premiums)'!A45" display="MNS ALB29/ANB30,Premium Term 20 Years (Accumulation 36 Years (Income Gro Retire Flex Pro/16 Years for others)" xr:uid="{A3BC9C09-214A-4EC5-AE64-9B65EC66AB32}"/>
    <hyperlink ref="B59" location="'Age 30 - 39 ($24k premiums)'!A2" display="MNS ALB34/ANB35,Premium Term 10 Years (Accumulation 31 Years (Income Gro Retire Flex Pro)/21 Years for others/20 Years for Etiqa Enrich Retirement)" xr:uid="{98595783-1895-4407-8174-5C9030B9894F}"/>
    <hyperlink ref="B60" location="'Age 30 - 39 ($24k premiums)'!A17" display="MNS ALB34/ANB35,Premium Term 20 Years (Accumulation 31 Years (Income Gro Retire Flex Pro)/11 Years for others)" xr:uid="{E748A5F7-F356-4E9E-90B2-2903FFB637D3}"/>
    <hyperlink ref="B61" location="'Age 30 - 39 ($24k premiums)'!A30" display="MNS ALB39/ANB40,Premium Term 5 Years (Accumulation 26 Years (Income Gro Retire Flex Pro)/21 Years for others/20 Years for Etiqa Enrich Retirement)" xr:uid="{EA13D31D-3C6C-47DD-BAD7-B8B3724F7E33}"/>
    <hyperlink ref="B62" location="'Age 30 - 39 ($24k premiums)'!A45" display="MNS ALB39/ANB40,Premium Term 10 Years (Accumulation 26 Years (Income Gro Retire Flex Pro)/16 Years for others/15 Years for Etiqa Enrich Retirement)" xr:uid="{CE90C0D7-6F28-4CA6-8A38-F51559C80E81}"/>
    <hyperlink ref="B63" location="'Age 30 - 39 ($24k premiums)'!A60" display="MNS ALB39/ANB40,Premium Term 20 Years (Accumulation 26 Years (Income Gro Retire Flex Pro)/6 Years for others)" xr:uid="{F5F9F798-F3F3-4BBF-84BC-210C16A61C43}"/>
    <hyperlink ref="B65" location="'Age 40 - 49 ($24k premiums)'!A2" display="MNS ALB44/ANB45,Premium Term 5 Years (Accumulation 21 Years (Income Gro Retire Flex Pro)/16 Years for others/15 Years for Etiqa Enrich Retirement)" xr:uid="{2C623E11-E326-44EF-A82A-CD27482D7475}"/>
    <hyperlink ref="B66" location="'Age 40 - 49 ($24k premiums)'!A16" display="MNS ALB44/ANB45,Premium Term 10 Years (Accumulation 21 Years (Income Gro Retire Flex Pro)/11 Years for others/10 Years for Etiqa Enrich Retirement)" xr:uid="{1F3483B9-CB79-401C-A4F6-0D3DE41E985A}"/>
    <hyperlink ref="B67" location="'Age 40 - 49 ($24k premiums)'!A30" display="MNS ALB49/ANB50,Premium Term 5 Years (Accumulation 16 Years (Income Gro Retire Flex Pro)/11 Years for others/10 Years for Etiqa Enrich Retirement)" xr:uid="{47C0BFD7-CE2F-4185-9CF3-24149911F50F}"/>
    <hyperlink ref="B68" location="'Age 40 - 49 ($24k premiums)'!A44" display="MNS ALB49/ANB50,Premium Term 10 Years (Accumulation 16 Years (Income Gro Retire Flex Pro)/6 Years for others/5 Years for Etiqa Enrich Retirement)" xr:uid="{647462F2-2B3C-4505-817F-BA44CA854568}"/>
    <hyperlink ref="B70" location="'Age 50 - 59 ($24k premiums)'!A2" display="MNS ALB54/ANB55,Premium Term 5 Years (Accumulation 11 Years (Income Gro Retire Flex Pro)/6 Years for others/5 Years for Etiqa Enrich Retirement)" xr:uid="{FE6A30AD-3833-4EB5-A8C8-E35B83689B95}"/>
    <hyperlink ref="B71" location="'Age 50 - 59 ($24k premiums)'!A17" display="MNS ALB54/ANB55,Premium Term 10 Years (Accumulation 1 Year (Singlife Flexi Retirement II)" xr:uid="{34EF5750-FB90-47AF-9467-51FE3CC0F825}"/>
    <hyperlink ref="B72" location="'Age 50 - 59 ($24k premiums)'!A27" display="MNS ALB59/ANB60,Premium Term 5 Years (Accumulation 11 Years (Income Gro Retire Flex Pro)/6 Years for others" xr:uid="{CA7AC2F4-F105-4D79-81FA-BD56948CD44A}"/>
  </hyperlinks>
  <pageMargins left="0.7" right="0.7" top="0.75" bottom="0.75" header="0.3" footer="0.3"/>
  <pageSetup paperSize="9" scale="48" orientation="landscape" r:id="rId1"/>
  <headerFooter>
    <oddFooter>&amp;L_x000D_&amp;1#&amp;"Calibri"&amp;8&amp;K0000FF Internal</oddFooter>
  </headerFooter>
  <ignoredErrors>
    <ignoredError sqref="C33:N33 C34:K34 C35:N35 C36:N36 C38:N38 C39:N39 C40:N40 C41:N41 C42:N42 C44:N44 C45:N45 C46:N46 C47:N47 C51:N51 C49:N49 C50:N50 C54:N54 C55:K55 C56:N56 C57:N57 C59:N59 C60:N60 C61:N61 C62:N62 C63:N63 C65:N65 C66:N66 C67:N67 C68:N68 C72:N72 C70:N70 C71:N71 M34:N34 M55:N55"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C8BC-84F2-4424-95F0-785F711E2E92}">
  <sheetPr>
    <tabColor theme="5" tint="0.79998168889431442"/>
    <pageSetUpPr fitToPage="1"/>
  </sheetPr>
  <dimension ref="B1:D13"/>
  <sheetViews>
    <sheetView zoomScale="75" zoomScaleNormal="75" workbookViewId="0">
      <selection activeCell="B4" sqref="B4"/>
    </sheetView>
  </sheetViews>
  <sheetFormatPr defaultColWidth="9.1796875" defaultRowHeight="14.5" x14ac:dyDescent="0.35"/>
  <cols>
    <col min="1" max="1" width="10.90625" style="280" customWidth="1"/>
    <col min="2" max="2" width="40.1796875" style="280" customWidth="1"/>
    <col min="3" max="3" width="59.81640625" style="280" customWidth="1"/>
    <col min="4" max="4" width="109" style="280" customWidth="1"/>
    <col min="5" max="16384" width="9.1796875" style="280"/>
  </cols>
  <sheetData>
    <row r="1" spans="2:4" ht="16" x14ac:dyDescent="0.35">
      <c r="B1" s="348" t="s">
        <v>147</v>
      </c>
      <c r="C1" s="348"/>
      <c r="D1" s="348"/>
    </row>
    <row r="2" spans="2:4" ht="14.15" customHeight="1" x14ac:dyDescent="0.35">
      <c r="B2" s="124" t="s">
        <v>398</v>
      </c>
      <c r="C2" s="124"/>
      <c r="D2" s="124"/>
    </row>
    <row r="3" spans="2:4" x14ac:dyDescent="0.35">
      <c r="B3" s="125" t="s">
        <v>146</v>
      </c>
      <c r="C3" s="126" t="s">
        <v>7</v>
      </c>
      <c r="D3" s="127" t="s">
        <v>163</v>
      </c>
    </row>
    <row r="4" spans="2:4" x14ac:dyDescent="0.35">
      <c r="B4" s="297" t="s">
        <v>178</v>
      </c>
      <c r="C4" s="297" t="s">
        <v>274</v>
      </c>
      <c r="D4" s="297" t="s">
        <v>273</v>
      </c>
    </row>
    <row r="5" spans="2:4" x14ac:dyDescent="0.35">
      <c r="B5" s="297" t="s">
        <v>178</v>
      </c>
      <c r="C5" s="297" t="s">
        <v>164</v>
      </c>
      <c r="D5" s="297" t="s">
        <v>275</v>
      </c>
    </row>
    <row r="6" spans="2:4" x14ac:dyDescent="0.35">
      <c r="B6" s="297" t="s">
        <v>178</v>
      </c>
      <c r="C6" s="297" t="s">
        <v>165</v>
      </c>
      <c r="D6" s="297" t="s">
        <v>276</v>
      </c>
    </row>
    <row r="7" spans="2:4" x14ac:dyDescent="0.35">
      <c r="B7" s="297" t="s">
        <v>178</v>
      </c>
      <c r="C7" s="297" t="s">
        <v>166</v>
      </c>
      <c r="D7" s="297" t="s">
        <v>277</v>
      </c>
    </row>
    <row r="8" spans="2:4" x14ac:dyDescent="0.35">
      <c r="B8" s="297" t="s">
        <v>179</v>
      </c>
      <c r="C8" s="297" t="s">
        <v>167</v>
      </c>
      <c r="D8" s="297" t="s">
        <v>278</v>
      </c>
    </row>
    <row r="9" spans="2:4" x14ac:dyDescent="0.35">
      <c r="B9" s="297" t="s">
        <v>179</v>
      </c>
      <c r="C9" s="297" t="s">
        <v>168</v>
      </c>
      <c r="D9" s="297" t="s">
        <v>279</v>
      </c>
    </row>
    <row r="10" spans="2:4" x14ac:dyDescent="0.35">
      <c r="B10" s="297" t="s">
        <v>299</v>
      </c>
      <c r="C10" s="297" t="s">
        <v>300</v>
      </c>
      <c r="D10" s="297" t="s">
        <v>329</v>
      </c>
    </row>
    <row r="11" spans="2:4" ht="17" customHeight="1" x14ac:dyDescent="0.35">
      <c r="B11" s="297" t="s">
        <v>180</v>
      </c>
      <c r="C11" s="297" t="s">
        <v>169</v>
      </c>
      <c r="D11" s="297" t="s">
        <v>170</v>
      </c>
    </row>
    <row r="12" spans="2:4" ht="17" customHeight="1" x14ac:dyDescent="0.35">
      <c r="B12" s="281"/>
      <c r="C12" s="281"/>
      <c r="D12" s="282"/>
    </row>
    <row r="13" spans="2:4" ht="14.5" customHeight="1" x14ac:dyDescent="0.35">
      <c r="B13" s="347" t="s">
        <v>397</v>
      </c>
      <c r="C13" s="347"/>
      <c r="D13" s="347"/>
    </row>
  </sheetData>
  <sheetProtection algorithmName="SHA-512" hashValue="m5mfjXJ0YBgVXMZV/WpRFnKB5hpZHe8zoecAzsnHSr+a34f1YRlKa0Sx9F6IQIiwRyXnLbltCXOGi2oSI9ZH7Q==" saltValue="k/7KOFb5vvZJQsFqdxNdBQ==" spinCount="100000" sheet="1" objects="1" scenarios="1" selectLockedCells="1" autoFilter="0" selectUnlockedCells="1"/>
  <mergeCells count="2">
    <mergeCell ref="B13:D13"/>
    <mergeCell ref="B1:D1"/>
  </mergeCells>
  <phoneticPr fontId="39" type="noConversion"/>
  <printOptions horizontalCentered="1" verticalCentered="1"/>
  <pageMargins left="0" right="0" top="0" bottom="0" header="0" footer="0"/>
  <pageSetup paperSize="9" scale="94" orientation="landscape" r:id="rId1"/>
  <headerFooter>
    <oddFooter>&amp;L_x000D_&amp;1#&amp;"Calibri"&amp;8&amp;K0000FF Internal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pageSetUpPr fitToPage="1"/>
  </sheetPr>
  <dimension ref="A1:J29"/>
  <sheetViews>
    <sheetView showGridLines="0" tabSelected="1"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5" x14ac:dyDescent="0.35"/>
  <cols>
    <col min="1" max="1" width="36" style="27" customWidth="1"/>
    <col min="2" max="4" width="75.453125" customWidth="1"/>
    <col min="5" max="5" width="95" customWidth="1"/>
    <col min="6" max="6" width="65.1796875" customWidth="1"/>
    <col min="7" max="7" width="82.1796875" bestFit="1" customWidth="1"/>
  </cols>
  <sheetData>
    <row r="1" spans="1:10" ht="14.4" customHeight="1" x14ac:dyDescent="0.35">
      <c r="A1" s="112"/>
      <c r="B1" s="349" t="s">
        <v>272</v>
      </c>
      <c r="C1" s="349"/>
      <c r="D1" s="349"/>
      <c r="E1" s="349"/>
      <c r="F1" s="349"/>
      <c r="G1" s="349"/>
      <c r="H1" s="349"/>
      <c r="I1" s="349"/>
      <c r="J1" s="349"/>
    </row>
    <row r="2" spans="1:10" x14ac:dyDescent="0.35">
      <c r="A2" s="104" t="s">
        <v>0</v>
      </c>
      <c r="B2" s="105" t="s">
        <v>51</v>
      </c>
      <c r="C2" s="105" t="s">
        <v>59</v>
      </c>
      <c r="D2" s="106" t="s">
        <v>56</v>
      </c>
      <c r="E2" s="105" t="s">
        <v>16</v>
      </c>
      <c r="F2" s="105" t="s">
        <v>1</v>
      </c>
      <c r="G2" s="105" t="s">
        <v>53</v>
      </c>
    </row>
    <row r="3" spans="1:10" s="27" customFormat="1" ht="29" x14ac:dyDescent="0.35">
      <c r="A3" s="107" t="s">
        <v>2</v>
      </c>
      <c r="B3" s="108" t="s">
        <v>75</v>
      </c>
      <c r="C3" s="108" t="s">
        <v>60</v>
      </c>
      <c r="D3" s="109" t="s">
        <v>65</v>
      </c>
      <c r="E3" s="110" t="s">
        <v>19</v>
      </c>
      <c r="F3" s="110" t="s">
        <v>28</v>
      </c>
      <c r="G3" s="110" t="s">
        <v>52</v>
      </c>
    </row>
    <row r="4" spans="1:10" x14ac:dyDescent="0.35">
      <c r="A4" s="300" t="s">
        <v>209</v>
      </c>
      <c r="B4" s="115" t="s">
        <v>45</v>
      </c>
      <c r="C4" s="288" t="s">
        <v>292</v>
      </c>
      <c r="D4" s="288" t="s">
        <v>292</v>
      </c>
      <c r="E4" s="288" t="s">
        <v>292</v>
      </c>
      <c r="F4" s="115" t="s">
        <v>45</v>
      </c>
      <c r="G4" s="115" t="s">
        <v>45</v>
      </c>
    </row>
    <row r="5" spans="1:10" ht="146" customHeight="1" x14ac:dyDescent="0.35">
      <c r="A5" s="107" t="s">
        <v>301</v>
      </c>
      <c r="B5" s="111" t="s">
        <v>375</v>
      </c>
      <c r="C5" s="111" t="s">
        <v>376</v>
      </c>
      <c r="D5" s="111" t="s">
        <v>377</v>
      </c>
      <c r="E5" s="111" t="s">
        <v>378</v>
      </c>
      <c r="F5" s="111" t="s">
        <v>379</v>
      </c>
      <c r="G5" s="111" t="s">
        <v>381</v>
      </c>
    </row>
    <row r="6" spans="1:10" ht="132" customHeight="1" x14ac:dyDescent="0.35">
      <c r="A6" s="107" t="s">
        <v>302</v>
      </c>
      <c r="B6" s="111" t="s">
        <v>382</v>
      </c>
      <c r="C6" s="111" t="s">
        <v>383</v>
      </c>
      <c r="D6" s="111" t="s">
        <v>384</v>
      </c>
      <c r="E6" s="111" t="s">
        <v>385</v>
      </c>
      <c r="F6" s="111" t="s">
        <v>380</v>
      </c>
      <c r="G6" s="111" t="s">
        <v>386</v>
      </c>
    </row>
    <row r="7" spans="1:10" ht="58" x14ac:dyDescent="0.35">
      <c r="A7" s="107" t="s">
        <v>3</v>
      </c>
      <c r="B7" s="112" t="s">
        <v>173</v>
      </c>
      <c r="C7" s="112" t="s">
        <v>387</v>
      </c>
      <c r="D7" s="112" t="s">
        <v>294</v>
      </c>
      <c r="E7" s="113" t="s">
        <v>293</v>
      </c>
      <c r="F7" s="114" t="s">
        <v>295</v>
      </c>
      <c r="G7" s="114" t="s">
        <v>296</v>
      </c>
    </row>
    <row r="8" spans="1:10" ht="38.15" customHeight="1" x14ac:dyDescent="0.35">
      <c r="A8" s="300" t="s">
        <v>374</v>
      </c>
      <c r="B8" s="115" t="s">
        <v>368</v>
      </c>
      <c r="C8" s="112" t="s">
        <v>184</v>
      </c>
      <c r="D8" s="115" t="s">
        <v>368</v>
      </c>
      <c r="E8" s="114" t="s">
        <v>183</v>
      </c>
      <c r="F8" s="116" t="s">
        <v>182</v>
      </c>
      <c r="G8" s="115" t="s">
        <v>368</v>
      </c>
    </row>
    <row r="9" spans="1:10" s="25" customFormat="1" ht="126" customHeight="1" x14ac:dyDescent="0.35">
      <c r="A9" s="301" t="s">
        <v>373</v>
      </c>
      <c r="B9" s="118" t="s">
        <v>174</v>
      </c>
      <c r="C9" s="119" t="s">
        <v>61</v>
      </c>
      <c r="D9" s="120" t="s">
        <v>303</v>
      </c>
      <c r="E9" s="119" t="s">
        <v>304</v>
      </c>
      <c r="F9" s="119" t="s">
        <v>305</v>
      </c>
      <c r="G9" s="119" t="s">
        <v>306</v>
      </c>
    </row>
    <row r="10" spans="1:10" s="25" customFormat="1" ht="126" customHeight="1" x14ac:dyDescent="0.35">
      <c r="A10" s="301" t="s">
        <v>370</v>
      </c>
      <c r="B10" s="119" t="s">
        <v>372</v>
      </c>
      <c r="C10" s="112" t="s">
        <v>62</v>
      </c>
      <c r="D10" s="112" t="s">
        <v>57</v>
      </c>
      <c r="E10" s="112" t="s">
        <v>185</v>
      </c>
      <c r="F10" s="128" t="s">
        <v>371</v>
      </c>
      <c r="G10" s="119" t="s">
        <v>181</v>
      </c>
    </row>
    <row r="11" spans="1:10" s="25" customFormat="1" ht="85" customHeight="1" x14ac:dyDescent="0.35">
      <c r="A11" s="301" t="s">
        <v>24</v>
      </c>
      <c r="B11" s="112" t="s">
        <v>22</v>
      </c>
      <c r="C11" s="115" t="s">
        <v>63</v>
      </c>
      <c r="D11" s="112" t="s">
        <v>22</v>
      </c>
      <c r="E11" s="112" t="s">
        <v>22</v>
      </c>
      <c r="F11" s="112" t="s">
        <v>22</v>
      </c>
      <c r="G11" s="112" t="s">
        <v>55</v>
      </c>
    </row>
    <row r="12" spans="1:10" ht="193" customHeight="1" x14ac:dyDescent="0.35">
      <c r="A12" s="117" t="s">
        <v>4</v>
      </c>
      <c r="B12" s="111" t="s">
        <v>203</v>
      </c>
      <c r="C12" s="111" t="s">
        <v>202</v>
      </c>
      <c r="D12" s="111" t="s">
        <v>201</v>
      </c>
      <c r="E12" s="112" t="s">
        <v>200</v>
      </c>
      <c r="F12" s="112" t="s">
        <v>199</v>
      </c>
      <c r="G12" s="112" t="s">
        <v>198</v>
      </c>
    </row>
    <row r="13" spans="1:10" ht="106.75" customHeight="1" x14ac:dyDescent="0.35">
      <c r="A13" s="301" t="s">
        <v>32</v>
      </c>
      <c r="B13" s="115" t="s">
        <v>311</v>
      </c>
      <c r="C13" s="288" t="s">
        <v>292</v>
      </c>
      <c r="D13" s="115" t="s">
        <v>312</v>
      </c>
      <c r="E13" s="288" t="s">
        <v>292</v>
      </c>
      <c r="F13" s="115" t="s">
        <v>313</v>
      </c>
      <c r="G13" s="115" t="s">
        <v>314</v>
      </c>
    </row>
    <row r="14" spans="1:10" s="25" customFormat="1" ht="58.5" customHeight="1" x14ac:dyDescent="0.35">
      <c r="A14" s="117" t="s">
        <v>30</v>
      </c>
      <c r="B14" s="112" t="s">
        <v>186</v>
      </c>
      <c r="C14" s="112" t="s">
        <v>187</v>
      </c>
      <c r="D14" s="112" t="s">
        <v>315</v>
      </c>
      <c r="E14" s="112" t="s">
        <v>188</v>
      </c>
      <c r="F14" s="112" t="s">
        <v>189</v>
      </c>
      <c r="G14" s="112" t="s">
        <v>190</v>
      </c>
    </row>
    <row r="15" spans="1:10" ht="66.75" customHeight="1" x14ac:dyDescent="0.35">
      <c r="A15" s="117" t="s">
        <v>29</v>
      </c>
      <c r="B15" s="121" t="s">
        <v>23</v>
      </c>
      <c r="C15" s="121" t="s">
        <v>316</v>
      </c>
      <c r="D15" s="121" t="s">
        <v>317</v>
      </c>
      <c r="E15" s="121" t="s">
        <v>191</v>
      </c>
      <c r="F15" s="119" t="s">
        <v>318</v>
      </c>
      <c r="G15" s="119" t="s">
        <v>319</v>
      </c>
    </row>
    <row r="16" spans="1:10" ht="145" x14ac:dyDescent="0.35">
      <c r="A16" s="117" t="s">
        <v>21</v>
      </c>
      <c r="B16" s="112" t="s">
        <v>192</v>
      </c>
      <c r="C16" s="112" t="s">
        <v>193</v>
      </c>
      <c r="D16" s="112" t="s">
        <v>194</v>
      </c>
      <c r="E16" s="112" t="s">
        <v>195</v>
      </c>
      <c r="F16" s="112" t="s">
        <v>196</v>
      </c>
      <c r="G16" s="112" t="s">
        <v>197</v>
      </c>
    </row>
    <row r="17" spans="1:7" ht="33" customHeight="1" x14ac:dyDescent="0.35">
      <c r="A17" s="302" t="s">
        <v>44</v>
      </c>
      <c r="B17" s="288" t="s">
        <v>292</v>
      </c>
      <c r="C17" s="288" t="s">
        <v>292</v>
      </c>
      <c r="D17" s="288" t="s">
        <v>292</v>
      </c>
      <c r="E17" s="288" t="s">
        <v>292</v>
      </c>
      <c r="F17" s="288" t="s">
        <v>292</v>
      </c>
      <c r="G17" s="122" t="s">
        <v>46</v>
      </c>
    </row>
    <row r="18" spans="1:7" ht="43.5" x14ac:dyDescent="0.35">
      <c r="A18" s="302" t="s">
        <v>76</v>
      </c>
      <c r="B18" s="115" t="s">
        <v>320</v>
      </c>
      <c r="C18" s="288" t="s">
        <v>292</v>
      </c>
      <c r="D18" s="288" t="s">
        <v>292</v>
      </c>
      <c r="E18" s="288" t="s">
        <v>292</v>
      </c>
      <c r="F18" s="288" t="s">
        <v>292</v>
      </c>
      <c r="G18" s="288" t="s">
        <v>292</v>
      </c>
    </row>
    <row r="19" spans="1:7" ht="58" x14ac:dyDescent="0.35">
      <c r="A19" s="107" t="s">
        <v>25</v>
      </c>
      <c r="B19" s="112" t="s">
        <v>175</v>
      </c>
      <c r="C19" s="112" t="s">
        <v>176</v>
      </c>
      <c r="D19" s="112" t="s">
        <v>58</v>
      </c>
      <c r="E19" s="112" t="s">
        <v>393</v>
      </c>
      <c r="F19" s="112" t="s">
        <v>396</v>
      </c>
    </row>
    <row r="20" spans="1:7" ht="348" x14ac:dyDescent="0.35">
      <c r="A20" s="107" t="s">
        <v>20</v>
      </c>
      <c r="B20" s="112" t="s">
        <v>324</v>
      </c>
      <c r="C20" s="112" t="s">
        <v>321</v>
      </c>
      <c r="D20" s="112" t="s">
        <v>323</v>
      </c>
      <c r="E20" s="112" t="s">
        <v>322</v>
      </c>
      <c r="F20" s="112" t="s">
        <v>325</v>
      </c>
      <c r="G20" s="112" t="s">
        <v>326</v>
      </c>
    </row>
    <row r="21" spans="1:7" ht="58" x14ac:dyDescent="0.35">
      <c r="A21" s="303" t="s">
        <v>395</v>
      </c>
      <c r="B21" s="112"/>
      <c r="C21" s="288" t="s">
        <v>292</v>
      </c>
      <c r="D21" s="288" t="s">
        <v>292</v>
      </c>
      <c r="E21" s="304" t="s">
        <v>394</v>
      </c>
      <c r="F21" s="288" t="s">
        <v>292</v>
      </c>
      <c r="G21" s="288" t="s">
        <v>292</v>
      </c>
    </row>
    <row r="22" spans="1:7" ht="246.5" x14ac:dyDescent="0.35">
      <c r="A22" s="300" t="s">
        <v>210</v>
      </c>
      <c r="B22" s="288" t="s">
        <v>292</v>
      </c>
      <c r="C22" s="288" t="s">
        <v>292</v>
      </c>
      <c r="D22" s="112" t="s">
        <v>308</v>
      </c>
      <c r="E22" s="288" t="s">
        <v>292</v>
      </c>
      <c r="F22" s="115" t="s">
        <v>310</v>
      </c>
      <c r="G22" s="112" t="s">
        <v>309</v>
      </c>
    </row>
    <row r="23" spans="1:7" ht="78.5" customHeight="1" x14ac:dyDescent="0.35">
      <c r="A23" s="301" t="s">
        <v>205</v>
      </c>
      <c r="B23" s="288" t="s">
        <v>292</v>
      </c>
      <c r="C23" s="112" t="s">
        <v>206</v>
      </c>
      <c r="D23" s="288" t="s">
        <v>292</v>
      </c>
      <c r="E23" s="288" t="s">
        <v>292</v>
      </c>
      <c r="F23" s="112" t="s">
        <v>207</v>
      </c>
      <c r="G23" s="112" t="s">
        <v>208</v>
      </c>
    </row>
    <row r="24" spans="1:7" ht="26.9" customHeight="1" x14ac:dyDescent="0.35">
      <c r="A24" s="107" t="s">
        <v>31</v>
      </c>
      <c r="B24" s="116" t="s">
        <v>5</v>
      </c>
      <c r="C24" s="116" t="s">
        <v>5</v>
      </c>
      <c r="D24" s="116" t="s">
        <v>5</v>
      </c>
      <c r="E24" s="116" t="s">
        <v>5</v>
      </c>
      <c r="F24" s="114" t="s">
        <v>5</v>
      </c>
      <c r="G24" s="116" t="s">
        <v>5</v>
      </c>
    </row>
    <row r="25" spans="1:7" ht="197" customHeight="1" x14ac:dyDescent="0.35">
      <c r="A25" s="107" t="s">
        <v>6</v>
      </c>
      <c r="B25" s="115" t="s">
        <v>327</v>
      </c>
      <c r="C25" s="112" t="s">
        <v>177</v>
      </c>
      <c r="D25" s="288" t="s">
        <v>292</v>
      </c>
      <c r="E25" s="288" t="s">
        <v>292</v>
      </c>
      <c r="F25" s="115" t="s">
        <v>328</v>
      </c>
      <c r="G25" s="112" t="s">
        <v>204</v>
      </c>
    </row>
    <row r="26" spans="1:7" ht="65" customHeight="1" x14ac:dyDescent="0.35">
      <c r="A26" s="123" t="s">
        <v>66</v>
      </c>
      <c r="B26" s="283" t="s">
        <v>286</v>
      </c>
      <c r="C26" s="284" t="s">
        <v>287</v>
      </c>
      <c r="D26" s="285" t="s">
        <v>288</v>
      </c>
      <c r="E26" s="285" t="s">
        <v>289</v>
      </c>
      <c r="F26" s="285" t="s">
        <v>290</v>
      </c>
      <c r="G26" s="283" t="s">
        <v>291</v>
      </c>
    </row>
    <row r="27" spans="1:7" ht="51.65" customHeight="1" x14ac:dyDescent="0.35">
      <c r="A27" s="286" t="s">
        <v>281</v>
      </c>
      <c r="B27" s="287" t="s">
        <v>280</v>
      </c>
      <c r="C27" s="284" t="s">
        <v>282</v>
      </c>
      <c r="D27" s="284" t="s">
        <v>283</v>
      </c>
      <c r="E27" s="284" t="s">
        <v>284</v>
      </c>
      <c r="F27" s="284" t="s">
        <v>285</v>
      </c>
      <c r="G27" s="285" t="s">
        <v>125</v>
      </c>
    </row>
    <row r="28" spans="1:7" ht="208.5" customHeight="1" x14ac:dyDescent="0.35"/>
    <row r="29" spans="1:7" ht="208.5" customHeight="1" x14ac:dyDescent="0.35"/>
  </sheetData>
  <sheetProtection algorithmName="SHA-512" hashValue="7nyGdwC/yB+1JDuctJ3Ii1NsCwSGiHR4HFrANOUXJ4/FQbFGBTD9W2UDriTTUBW3fVSqRF0Lh2SvELlbLVdahA==" saltValue="qDlU5ov6pN3jUmkShuLHYQ==" spinCount="100000" sheet="1" objects="1" scenarios="1" selectLockedCells="1" autoFilter="0" selectUnlockedCells="1"/>
  <autoFilter ref="A2:G27" xr:uid="{00000000-0001-0000-0300-000000000000}"/>
  <mergeCells count="1">
    <mergeCell ref="B1:J1"/>
  </mergeCells>
  <printOptions horizontalCentered="1" verticalCentered="1"/>
  <pageMargins left="0.25" right="0.25" top="0.75" bottom="0.75" header="0.3" footer="0.3"/>
  <pageSetup paperSize="9" scale="19" orientation="portrait" r:id="rId1"/>
  <headerFooter>
    <oddFooter>&amp;L_x000D_&amp;1#&amp;"Calibri"&amp;8&amp;K0000FF Internal</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3ABA0-5D5B-434B-9F8C-508968458572}">
  <sheetPr>
    <pageSetUpPr fitToPage="1"/>
  </sheetPr>
  <dimension ref="A2:U109"/>
  <sheetViews>
    <sheetView showGridLines="0" zoomScale="70" zoomScaleNormal="70" workbookViewId="0">
      <pane xSplit="1" topLeftCell="B1" activePane="topRight" state="frozen"/>
      <selection pane="topRight" activeCell="I5" sqref="I5:K5"/>
    </sheetView>
  </sheetViews>
  <sheetFormatPr defaultColWidth="9.1796875" defaultRowHeight="14.5" x14ac:dyDescent="0.35"/>
  <cols>
    <col min="1" max="1" width="29.54296875" style="131" customWidth="1"/>
    <col min="2" max="2" width="12.1796875" style="131" customWidth="1"/>
    <col min="3" max="3" width="12.81640625" style="131" customWidth="1"/>
    <col min="4" max="4" width="16.453125" style="131" hidden="1" customWidth="1"/>
    <col min="5" max="5" width="46.36328125" style="165" customWidth="1"/>
    <col min="6" max="6" width="16.1796875" style="131" hidden="1" customWidth="1"/>
    <col min="7" max="7" width="13.453125" style="131" hidden="1" customWidth="1"/>
    <col min="8" max="8" width="7.1796875" style="131" hidden="1" customWidth="1"/>
    <col min="9" max="9" width="14.54296875" style="131" bestFit="1" customWidth="1"/>
    <col min="10" max="10" width="13.81640625" style="131" customWidth="1"/>
    <col min="11" max="11" width="17.54296875" style="131" bestFit="1" customWidth="1"/>
    <col min="12" max="12" width="15.54296875" style="131" customWidth="1"/>
    <col min="13" max="13" width="17.1796875" style="131" customWidth="1"/>
    <col min="14" max="14" width="9.81640625" style="131" customWidth="1"/>
    <col min="15" max="15" width="68.1796875" style="141" customWidth="1"/>
    <col min="16" max="16" width="29.453125" style="131" customWidth="1"/>
    <col min="17" max="17" width="4.1796875" style="131" hidden="1" customWidth="1"/>
    <col min="18" max="18" width="24.6328125" style="131" hidden="1" customWidth="1"/>
    <col min="19" max="19" width="11.54296875" style="131" hidden="1" customWidth="1"/>
    <col min="20" max="20" width="12" style="131" hidden="1" customWidth="1"/>
    <col min="21" max="21" width="10" style="131" hidden="1" customWidth="1"/>
    <col min="22" max="22" width="11.453125" style="131" customWidth="1"/>
    <col min="23" max="23" width="12.453125" style="131" customWidth="1"/>
    <col min="24" max="24" width="11.453125" style="131" customWidth="1"/>
    <col min="25" max="25" width="10" style="131" bestFit="1" customWidth="1"/>
    <col min="26" max="26" width="20.54296875" style="131" customWidth="1"/>
    <col min="27" max="16384" width="9.1796875" style="131"/>
  </cols>
  <sheetData>
    <row r="2" spans="1:19" ht="14.5" customHeight="1" x14ac:dyDescent="0.35">
      <c r="A2" s="135" t="s">
        <v>211</v>
      </c>
      <c r="B2" s="135"/>
      <c r="C2" s="136"/>
      <c r="D2" s="136"/>
      <c r="E2" s="137"/>
      <c r="F2" s="136"/>
      <c r="G2" s="136"/>
      <c r="H2" s="136"/>
      <c r="I2" s="138" t="s">
        <v>17</v>
      </c>
      <c r="J2" s="139" t="s">
        <v>18</v>
      </c>
      <c r="K2" s="136"/>
      <c r="L2" s="140"/>
      <c r="M2" s="140"/>
      <c r="N2" s="136"/>
    </row>
    <row r="3" spans="1:19" ht="15" thickBot="1" x14ac:dyDescent="0.4">
      <c r="A3" s="135" t="s">
        <v>117</v>
      </c>
      <c r="B3" s="135"/>
      <c r="C3" s="136"/>
      <c r="D3" s="136"/>
      <c r="E3" s="137"/>
      <c r="F3" s="136"/>
      <c r="G3" s="136"/>
      <c r="H3" s="136"/>
      <c r="I3" s="135"/>
      <c r="J3" s="135"/>
      <c r="K3" s="136"/>
      <c r="L3" s="140"/>
      <c r="M3" s="140"/>
      <c r="N3" s="136"/>
    </row>
    <row r="4" spans="1:19" ht="15" thickBot="1" x14ac:dyDescent="0.4">
      <c r="A4" s="142"/>
      <c r="B4" s="142"/>
      <c r="C4" s="143"/>
      <c r="D4" s="358" t="s">
        <v>80</v>
      </c>
      <c r="E4" s="359"/>
      <c r="F4" s="359"/>
      <c r="G4" s="360"/>
      <c r="H4" s="354" t="s">
        <v>81</v>
      </c>
      <c r="I4" s="354"/>
      <c r="J4" s="354"/>
      <c r="K4" s="354"/>
      <c r="L4" s="354"/>
      <c r="M4" s="355"/>
      <c r="N4" s="135"/>
    </row>
    <row r="5" spans="1:19" s="132" customFormat="1" ht="73" thickBot="1" x14ac:dyDescent="0.4">
      <c r="A5" s="144" t="s">
        <v>7</v>
      </c>
      <c r="B5" s="145" t="s">
        <v>10</v>
      </c>
      <c r="C5" s="146" t="s">
        <v>50</v>
      </c>
      <c r="D5" s="147" t="s">
        <v>158</v>
      </c>
      <c r="E5" s="148" t="s">
        <v>82</v>
      </c>
      <c r="F5" s="149" t="s">
        <v>159</v>
      </c>
      <c r="G5" s="150" t="s">
        <v>160</v>
      </c>
      <c r="H5" s="151" t="s">
        <v>161</v>
      </c>
      <c r="I5" s="152" t="s">
        <v>12</v>
      </c>
      <c r="J5" s="152" t="s">
        <v>13</v>
      </c>
      <c r="K5" s="153" t="s">
        <v>14</v>
      </c>
      <c r="L5" s="154" t="s">
        <v>84</v>
      </c>
      <c r="M5" s="153" t="s">
        <v>85</v>
      </c>
      <c r="N5" s="155"/>
      <c r="O5" s="361" t="s">
        <v>15</v>
      </c>
      <c r="R5" s="132" t="s">
        <v>297</v>
      </c>
      <c r="S5" s="132" t="s">
        <v>298</v>
      </c>
    </row>
    <row r="6" spans="1:19" ht="15" thickBot="1" x14ac:dyDescent="0.4">
      <c r="A6" s="156" t="s">
        <v>151</v>
      </c>
      <c r="B6" s="157">
        <v>20</v>
      </c>
      <c r="C6" s="158">
        <v>99940.9</v>
      </c>
      <c r="D6" s="159">
        <v>115931</v>
      </c>
      <c r="E6" s="160" t="s">
        <v>45</v>
      </c>
      <c r="F6" s="160">
        <v>84073</v>
      </c>
      <c r="G6" s="160">
        <f>D6+F6</f>
        <v>200004</v>
      </c>
      <c r="H6" s="161">
        <f>1030*12</f>
        <v>12360</v>
      </c>
      <c r="I6" s="161">
        <f>H6*20</f>
        <v>247200</v>
      </c>
      <c r="J6" s="161">
        <f>102840+360660</f>
        <v>463500</v>
      </c>
      <c r="K6" s="161">
        <f>I6+J6</f>
        <v>710700</v>
      </c>
      <c r="L6" s="162">
        <v>1.7999999999999999E-2</v>
      </c>
      <c r="M6" s="163">
        <v>3.9699999999999999E-2</v>
      </c>
      <c r="O6" s="362"/>
      <c r="Q6" s="174"/>
      <c r="R6" s="132" t="str" cm="1">
        <f t="array" ref="R6">INDEX(A6:A8,MATCH(MAX(L6:L8),L6:L8,0),0)</f>
        <v>Singlife Flexi Retirement (II)</v>
      </c>
      <c r="S6" s="132" t="str" cm="1">
        <f t="array" ref="S6">INDEX(A6:A8,MATCH(MAX(M6:M8),M6:M8,0),0)</f>
        <v>Income Gro Retire Flex Pro</v>
      </c>
    </row>
    <row r="7" spans="1:19" ht="14.9" customHeight="1" x14ac:dyDescent="0.35">
      <c r="A7" s="164" t="s">
        <v>27</v>
      </c>
      <c r="B7" s="165">
        <v>20</v>
      </c>
      <c r="C7" s="159">
        <v>99841.75</v>
      </c>
      <c r="D7" s="160">
        <f>C7</f>
        <v>99841.75</v>
      </c>
      <c r="E7" s="160" t="s">
        <v>45</v>
      </c>
      <c r="F7" s="160">
        <v>17816</v>
      </c>
      <c r="G7" s="160">
        <f>D7+F7</f>
        <v>117657.75</v>
      </c>
      <c r="H7" s="160">
        <f>610*12</f>
        <v>7320</v>
      </c>
      <c r="I7" s="160">
        <f t="shared" ref="I7:I8" si="0">H7*20</f>
        <v>146400</v>
      </c>
      <c r="J7" s="160">
        <v>569361</v>
      </c>
      <c r="K7" s="160">
        <f>I7+J7</f>
        <v>715761</v>
      </c>
      <c r="L7" s="166">
        <v>7.4999999999999997E-3</v>
      </c>
      <c r="M7" s="167">
        <v>3.9800000000000002E-2</v>
      </c>
      <c r="O7" s="363" t="s">
        <v>116</v>
      </c>
      <c r="R7" s="132" t="str" cm="1">
        <f t="array" ref="R7">INDEX(A18:A20,MATCH(MAX(L18:L20),L18:L20,0),0)</f>
        <v>Singlife Flexi Retirement (II)</v>
      </c>
      <c r="S7" s="132" t="str" cm="1">
        <f t="array" ref="S7">INDEX(A18:A20,MATCH(MAX(M18:M20),M18:M20,0),0)</f>
        <v>Income Gro Retire Flex Pro</v>
      </c>
    </row>
    <row r="8" spans="1:19" ht="15" thickBot="1" x14ac:dyDescent="0.4">
      <c r="A8" s="168" t="s">
        <v>54</v>
      </c>
      <c r="B8" s="169">
        <v>20</v>
      </c>
      <c r="C8" s="170">
        <v>99999.9</v>
      </c>
      <c r="D8" s="170">
        <v>105000</v>
      </c>
      <c r="E8" s="170" t="s">
        <v>45</v>
      </c>
      <c r="F8" s="170">
        <v>32550</v>
      </c>
      <c r="G8" s="170">
        <f>D8+F8</f>
        <v>137550</v>
      </c>
      <c r="H8" s="170">
        <f>773.35*12</f>
        <v>9280.2000000000007</v>
      </c>
      <c r="I8" s="170">
        <f t="shared" si="0"/>
        <v>185604</v>
      </c>
      <c r="J8" s="170">
        <v>582833</v>
      </c>
      <c r="K8" s="170">
        <f>I8+J8</f>
        <v>768437</v>
      </c>
      <c r="L8" s="171">
        <v>1.23E-2</v>
      </c>
      <c r="M8" s="172">
        <v>4.1399999999999999E-2</v>
      </c>
      <c r="O8" s="364"/>
      <c r="R8" s="132" t="str" cm="1">
        <f t="array" ref="R8">INDEX(A30:A32,MATCH(MAX(L30:L32),L30:L32,0),0)</f>
        <v>Singlife Flexi Retirement (II)</v>
      </c>
      <c r="S8" s="132" t="str" cm="1">
        <f t="array" ref="S8">INDEX(A30:A32,MATCH(MAX(M30:M32),M30:M32,0),0)</f>
        <v>Income Gro Retire Flex Pro</v>
      </c>
    </row>
    <row r="9" spans="1:19" x14ac:dyDescent="0.35">
      <c r="A9" s="131" t="s">
        <v>49</v>
      </c>
      <c r="C9" s="173"/>
      <c r="D9" s="173"/>
      <c r="E9" s="159"/>
      <c r="F9" s="173"/>
      <c r="G9" s="173"/>
      <c r="H9" s="173"/>
      <c r="I9" s="173"/>
      <c r="J9" s="173"/>
      <c r="K9" s="173"/>
      <c r="L9" s="174"/>
      <c r="M9" s="174"/>
      <c r="O9" s="364"/>
      <c r="R9" s="132" t="str" cm="1">
        <f t="array" ref="R9">INDEX(A43:A45,MATCH(MAX(L43:L45),L43:L45,0),0)</f>
        <v>Singlife Flexi Retirement (II)</v>
      </c>
      <c r="S9" s="132" t="str" cm="1">
        <f t="array" ref="S9">INDEX(A43:A45,MATCH(MAX(M43:M45),M43:M45,0),0)</f>
        <v>Income Gro Retire Flex Pro</v>
      </c>
    </row>
    <row r="10" spans="1:19" x14ac:dyDescent="0.35">
      <c r="A10" s="131" t="s">
        <v>90</v>
      </c>
      <c r="C10" s="173"/>
      <c r="D10" s="173"/>
      <c r="E10" s="159"/>
      <c r="F10" s="173"/>
      <c r="G10" s="173"/>
      <c r="H10" s="173"/>
      <c r="I10" s="173"/>
      <c r="J10" s="173"/>
      <c r="K10" s="173"/>
      <c r="L10" s="174"/>
      <c r="M10" s="174"/>
      <c r="O10" s="364"/>
      <c r="R10" s="132" t="str" cm="1">
        <f t="array" ref="R10">INDEX(A55:A58,MATCH(MAX(L55:L58),L55:L58,0),0)</f>
        <v>Singlife Flexi Retirement (II)</v>
      </c>
      <c r="S10" s="132" t="str" cm="1">
        <f t="array" ref="S10">INDEX(A55:A58,MATCH(MAX(M55:M58),M55:M58,0),0)</f>
        <v>China Taiping i-Retire (II)</v>
      </c>
    </row>
    <row r="11" spans="1:19" x14ac:dyDescent="0.35">
      <c r="A11" s="131" t="s">
        <v>103</v>
      </c>
      <c r="C11" s="173"/>
      <c r="D11" s="173"/>
      <c r="E11" s="159"/>
      <c r="F11" s="173"/>
      <c r="G11" s="173"/>
      <c r="H11" s="173"/>
      <c r="I11" s="173"/>
      <c r="J11" s="173"/>
      <c r="K11" s="173"/>
      <c r="L11" s="174"/>
      <c r="M11" s="174"/>
      <c r="O11" s="364"/>
      <c r="R11" s="132" t="str" cm="1">
        <f t="array" ref="R11">INDEX(A67:A70,MATCH(MAX(L67:L70),L67:L70,0),0)</f>
        <v>Singlife Flexi Retirement (II)</v>
      </c>
      <c r="S11" s="132" t="str" cm="1">
        <f t="array" ref="S11">INDEX(A67:A70,MATCH(MAX(M67:M70),M67:M70,0),0)</f>
        <v>China Taiping i-Retire (II)</v>
      </c>
    </row>
    <row r="12" spans="1:19" x14ac:dyDescent="0.35">
      <c r="A12" s="131" t="s">
        <v>126</v>
      </c>
      <c r="C12" s="173"/>
      <c r="D12" s="173"/>
      <c r="E12" s="159"/>
      <c r="F12" s="173"/>
      <c r="G12" s="173"/>
      <c r="H12" s="173"/>
      <c r="I12" s="173"/>
      <c r="J12" s="173"/>
      <c r="K12" s="173"/>
      <c r="L12" s="174"/>
      <c r="M12" s="174"/>
      <c r="O12" s="364"/>
      <c r="R12" s="132" t="str" cm="1">
        <f t="array" ref="R12">INDEX(A79:A82,MATCH(MAX(L79:L82),L79:L82,0),0)</f>
        <v>Singlife Flexi Retirement (II)</v>
      </c>
      <c r="S12" s="132" t="str" cm="1">
        <f t="array" ref="S12">INDEX(A79:A82,MATCH(MAX(M79:M82),M79:M82,0),0)</f>
        <v>China Taiping i-Retire (II)</v>
      </c>
    </row>
    <row r="13" spans="1:19" x14ac:dyDescent="0.35">
      <c r="C13" s="173"/>
      <c r="D13" s="173"/>
      <c r="E13" s="159"/>
      <c r="F13" s="173"/>
      <c r="G13" s="173"/>
      <c r="H13" s="173"/>
      <c r="I13" s="173"/>
      <c r="J13" s="173"/>
      <c r="K13" s="173"/>
      <c r="L13" s="174"/>
      <c r="M13" s="174"/>
      <c r="O13" s="364"/>
      <c r="R13" s="132" t="str" cm="1">
        <f t="array" ref="R13">INDEX(A91:A94,MATCH(MAX(L91:L94),L91:L94,0),0)</f>
        <v>Singlife Flexi Retirement (II)</v>
      </c>
      <c r="S13" s="132" t="str" cm="1">
        <f t="array" ref="S13">INDEX(A91:A94,MATCH(MAX(M91:M94),M91:M94,0),0)</f>
        <v>Singlife Flexi Retirement (II)</v>
      </c>
    </row>
    <row r="14" spans="1:19" ht="14.5" customHeight="1" x14ac:dyDescent="0.35">
      <c r="A14" s="135" t="s">
        <v>212</v>
      </c>
      <c r="B14" s="135"/>
      <c r="C14" s="136"/>
      <c r="D14" s="136"/>
      <c r="E14" s="137"/>
      <c r="F14" s="136"/>
      <c r="G14" s="136"/>
      <c r="H14" s="136"/>
      <c r="I14" s="138" t="s">
        <v>17</v>
      </c>
      <c r="J14" s="139" t="s">
        <v>18</v>
      </c>
      <c r="K14" s="136"/>
      <c r="L14" s="140"/>
      <c r="M14" s="140"/>
      <c r="N14" s="136"/>
      <c r="O14" s="364"/>
      <c r="R14" s="132" t="str" cm="1">
        <f t="array" ref="R14">INDEX(A103:A106,MATCH(MAX(L103:L106),L103:L106,0),0)</f>
        <v>Singlife Flexi Retirement (II)</v>
      </c>
      <c r="S14" s="132" t="str" cm="1">
        <f t="array" ref="S14">INDEX(A103:A106,MATCH(MAX(M103:M106),M103:M106,0),0)</f>
        <v>China Taiping i-Retire (II)</v>
      </c>
    </row>
    <row r="15" spans="1:19" ht="15" thickBot="1" x14ac:dyDescent="0.4">
      <c r="A15" s="135" t="s">
        <v>122</v>
      </c>
      <c r="B15" s="135"/>
      <c r="C15" s="136"/>
      <c r="D15" s="136"/>
      <c r="E15" s="137"/>
      <c r="F15" s="136"/>
      <c r="G15" s="136"/>
      <c r="H15" s="136"/>
      <c r="I15" s="135"/>
      <c r="J15" s="135"/>
      <c r="K15" s="136"/>
      <c r="L15" s="140"/>
      <c r="M15" s="140"/>
      <c r="N15" s="136"/>
      <c r="O15" s="364"/>
    </row>
    <row r="16" spans="1:19" ht="15" thickBot="1" x14ac:dyDescent="0.4">
      <c r="A16" s="142"/>
      <c r="B16" s="143"/>
      <c r="C16" s="143"/>
      <c r="D16" s="350" t="s">
        <v>80</v>
      </c>
      <c r="E16" s="351"/>
      <c r="F16" s="351"/>
      <c r="G16" s="352"/>
      <c r="H16" s="353" t="s">
        <v>81</v>
      </c>
      <c r="I16" s="354"/>
      <c r="J16" s="354"/>
      <c r="K16" s="354"/>
      <c r="L16" s="354"/>
      <c r="M16" s="355"/>
      <c r="N16" s="135"/>
      <c r="O16" s="364"/>
    </row>
    <row r="17" spans="1:15" s="132" customFormat="1" ht="58.5" thickBot="1" x14ac:dyDescent="0.4">
      <c r="A17" s="144" t="s">
        <v>7</v>
      </c>
      <c r="B17" s="175" t="s">
        <v>10</v>
      </c>
      <c r="C17" s="176" t="s">
        <v>50</v>
      </c>
      <c r="D17" s="177" t="s">
        <v>77</v>
      </c>
      <c r="E17" s="178" t="s">
        <v>82</v>
      </c>
      <c r="F17" s="178" t="s">
        <v>78</v>
      </c>
      <c r="G17" s="179" t="s">
        <v>79</v>
      </c>
      <c r="H17" s="180" t="s">
        <v>11</v>
      </c>
      <c r="I17" s="181" t="s">
        <v>12</v>
      </c>
      <c r="J17" s="181" t="s">
        <v>13</v>
      </c>
      <c r="K17" s="182" t="s">
        <v>14</v>
      </c>
      <c r="L17" s="180" t="s">
        <v>84</v>
      </c>
      <c r="M17" s="182" t="s">
        <v>85</v>
      </c>
      <c r="N17" s="155"/>
      <c r="O17" s="364"/>
    </row>
    <row r="18" spans="1:15" x14ac:dyDescent="0.35">
      <c r="A18" s="156" t="s">
        <v>151</v>
      </c>
      <c r="B18" s="157">
        <v>20</v>
      </c>
      <c r="C18" s="158">
        <v>99592.1</v>
      </c>
      <c r="D18" s="158">
        <v>113037</v>
      </c>
      <c r="E18" s="161" t="s">
        <v>45</v>
      </c>
      <c r="F18" s="161">
        <v>70624</v>
      </c>
      <c r="G18" s="161">
        <f>D18+F18</f>
        <v>183661</v>
      </c>
      <c r="H18" s="161">
        <v>11280</v>
      </c>
      <c r="I18" s="161">
        <f t="shared" ref="I18:I20" si="1">H18*20</f>
        <v>225600</v>
      </c>
      <c r="J18" s="161">
        <f>86380+256500</f>
        <v>342880</v>
      </c>
      <c r="K18" s="161">
        <f>I18+J18</f>
        <v>568480</v>
      </c>
      <c r="L18" s="162">
        <v>1.7999999999999999E-2</v>
      </c>
      <c r="M18" s="183">
        <v>3.9100000000000003E-2</v>
      </c>
      <c r="O18" s="364"/>
    </row>
    <row r="19" spans="1:15" x14ac:dyDescent="0.35">
      <c r="A19" s="164" t="s">
        <v>27</v>
      </c>
      <c r="B19" s="165">
        <v>20</v>
      </c>
      <c r="C19" s="159">
        <v>99022.11</v>
      </c>
      <c r="D19" s="159">
        <f>C19</f>
        <v>99022.11</v>
      </c>
      <c r="E19" s="159" t="s">
        <v>45</v>
      </c>
      <c r="F19" s="159">
        <v>15374</v>
      </c>
      <c r="G19" s="160">
        <f>D19+F19</f>
        <v>114396.11</v>
      </c>
      <c r="H19" s="159">
        <f>570*12</f>
        <v>6840</v>
      </c>
      <c r="I19" s="159">
        <f t="shared" si="1"/>
        <v>136800</v>
      </c>
      <c r="J19" s="159">
        <v>421809</v>
      </c>
      <c r="K19" s="159">
        <f>J19+I19</f>
        <v>558609</v>
      </c>
      <c r="L19" s="166">
        <v>7.0000000000000001E-3</v>
      </c>
      <c r="M19" s="184">
        <v>3.8800000000000001E-2</v>
      </c>
      <c r="O19" s="364"/>
    </row>
    <row r="20" spans="1:15" ht="15" thickBot="1" x14ac:dyDescent="0.4">
      <c r="A20" s="168" t="s">
        <v>54</v>
      </c>
      <c r="B20" s="169">
        <v>20</v>
      </c>
      <c r="C20" s="170">
        <v>100000</v>
      </c>
      <c r="D20" s="170">
        <v>105000</v>
      </c>
      <c r="E20" s="170" t="s">
        <v>45</v>
      </c>
      <c r="F20" s="170">
        <v>23100</v>
      </c>
      <c r="G20" s="185">
        <f>D20+F20</f>
        <v>128100</v>
      </c>
      <c r="H20" s="170">
        <f>703.98*12</f>
        <v>8447.76</v>
      </c>
      <c r="I20" s="170">
        <f t="shared" si="1"/>
        <v>168955.2</v>
      </c>
      <c r="J20" s="170">
        <v>452868</v>
      </c>
      <c r="K20" s="170">
        <f>I20+J20</f>
        <v>621823.19999999995</v>
      </c>
      <c r="L20" s="171">
        <v>1.15E-2</v>
      </c>
      <c r="M20" s="172">
        <v>4.1200000000000001E-2</v>
      </c>
      <c r="O20" s="364"/>
    </row>
    <row r="21" spans="1:15" x14ac:dyDescent="0.35">
      <c r="A21" s="135" t="s">
        <v>88</v>
      </c>
      <c r="D21" s="186"/>
      <c r="E21" s="187"/>
      <c r="J21" s="186"/>
      <c r="O21" s="364"/>
    </row>
    <row r="22" spans="1:15" x14ac:dyDescent="0.35">
      <c r="A22" s="131" t="s">
        <v>90</v>
      </c>
      <c r="D22" s="186"/>
      <c r="E22" s="187"/>
      <c r="J22" s="186"/>
      <c r="O22" s="364"/>
    </row>
    <row r="23" spans="1:15" x14ac:dyDescent="0.35">
      <c r="A23" s="131" t="s">
        <v>99</v>
      </c>
      <c r="D23" s="186"/>
      <c r="E23" s="187"/>
      <c r="J23" s="186"/>
      <c r="O23" s="364"/>
    </row>
    <row r="24" spans="1:15" x14ac:dyDescent="0.35">
      <c r="A24" s="131" t="s">
        <v>126</v>
      </c>
      <c r="D24" s="186"/>
      <c r="E24" s="187"/>
      <c r="J24" s="186"/>
      <c r="O24" s="364"/>
    </row>
    <row r="25" spans="1:15" x14ac:dyDescent="0.35">
      <c r="D25" s="186"/>
      <c r="E25" s="187"/>
      <c r="J25" s="186"/>
      <c r="O25" s="364"/>
    </row>
    <row r="26" spans="1:15" ht="14.5" customHeight="1" x14ac:dyDescent="0.35">
      <c r="A26" s="135" t="s">
        <v>213</v>
      </c>
      <c r="B26" s="135"/>
      <c r="C26" s="136"/>
      <c r="D26" s="136"/>
      <c r="E26" s="137"/>
      <c r="F26" s="136"/>
      <c r="G26" s="136"/>
      <c r="H26" s="136"/>
      <c r="I26" s="138" t="s">
        <v>17</v>
      </c>
      <c r="J26" s="139" t="s">
        <v>18</v>
      </c>
      <c r="K26" s="136"/>
      <c r="L26" s="188"/>
      <c r="M26" s="188"/>
      <c r="O26" s="364"/>
    </row>
    <row r="27" spans="1:15" ht="15" thickBot="1" x14ac:dyDescent="0.4">
      <c r="A27" s="135" t="s">
        <v>121</v>
      </c>
      <c r="B27" s="135"/>
      <c r="C27" s="136"/>
      <c r="D27" s="136"/>
      <c r="E27" s="137"/>
      <c r="F27" s="136"/>
      <c r="G27" s="136"/>
      <c r="H27" s="136"/>
      <c r="I27" s="135"/>
      <c r="J27" s="135"/>
      <c r="K27" s="136"/>
      <c r="L27" s="188"/>
      <c r="M27" s="188"/>
      <c r="O27" s="364"/>
    </row>
    <row r="28" spans="1:15" ht="15" thickBot="1" x14ac:dyDescent="0.4">
      <c r="A28" s="142"/>
      <c r="B28" s="143"/>
      <c r="C28" s="143"/>
      <c r="D28" s="350" t="s">
        <v>80</v>
      </c>
      <c r="E28" s="351"/>
      <c r="F28" s="351"/>
      <c r="G28" s="352"/>
      <c r="H28" s="353" t="s">
        <v>81</v>
      </c>
      <c r="I28" s="354"/>
      <c r="J28" s="354"/>
      <c r="K28" s="354"/>
      <c r="L28" s="354"/>
      <c r="M28" s="355"/>
      <c r="O28" s="364"/>
    </row>
    <row r="29" spans="1:15" ht="58.5" thickBot="1" x14ac:dyDescent="0.4">
      <c r="A29" s="144" t="s">
        <v>7</v>
      </c>
      <c r="B29" s="175" t="s">
        <v>10</v>
      </c>
      <c r="C29" s="176" t="s">
        <v>50</v>
      </c>
      <c r="D29" s="177" t="s">
        <v>77</v>
      </c>
      <c r="E29" s="178" t="s">
        <v>82</v>
      </c>
      <c r="F29" s="178" t="s">
        <v>78</v>
      </c>
      <c r="G29" s="179" t="s">
        <v>79</v>
      </c>
      <c r="H29" s="180" t="s">
        <v>11</v>
      </c>
      <c r="I29" s="181" t="s">
        <v>12</v>
      </c>
      <c r="J29" s="181" t="s">
        <v>13</v>
      </c>
      <c r="K29" s="182" t="s">
        <v>14</v>
      </c>
      <c r="L29" s="180" t="s">
        <v>84</v>
      </c>
      <c r="M29" s="182" t="s">
        <v>85</v>
      </c>
      <c r="N29" s="189"/>
      <c r="O29" s="364"/>
    </row>
    <row r="30" spans="1:15" x14ac:dyDescent="0.35">
      <c r="A30" s="156" t="s">
        <v>151</v>
      </c>
      <c r="B30" s="157">
        <v>20</v>
      </c>
      <c r="C30" s="158">
        <v>99933.75</v>
      </c>
      <c r="D30" s="161">
        <v>110926</v>
      </c>
      <c r="E30" s="161" t="s">
        <v>45</v>
      </c>
      <c r="F30" s="161">
        <v>58614</v>
      </c>
      <c r="G30" s="161">
        <f>D30+F30</f>
        <v>169540</v>
      </c>
      <c r="H30" s="161">
        <v>10320</v>
      </c>
      <c r="I30" s="161">
        <f t="shared" ref="I30:I32" si="2">H30*20</f>
        <v>206400</v>
      </c>
      <c r="J30" s="161">
        <f>71680+191520</f>
        <v>263200</v>
      </c>
      <c r="K30" s="161">
        <f>I30+J30</f>
        <v>469600</v>
      </c>
      <c r="L30" s="162">
        <v>1.7999999999999999E-2</v>
      </c>
      <c r="M30" s="183">
        <v>3.9E-2</v>
      </c>
      <c r="O30" s="364"/>
    </row>
    <row r="31" spans="1:15" x14ac:dyDescent="0.35">
      <c r="A31" s="164" t="s">
        <v>27</v>
      </c>
      <c r="B31" s="165">
        <v>20</v>
      </c>
      <c r="C31" s="159">
        <v>99084.06</v>
      </c>
      <c r="D31" s="159">
        <f>C31</f>
        <v>99084.06</v>
      </c>
      <c r="E31" s="159" t="s">
        <v>45</v>
      </c>
      <c r="F31" s="160">
        <v>13186</v>
      </c>
      <c r="G31" s="160">
        <f>D31+F31</f>
        <v>112270.06</v>
      </c>
      <c r="H31" s="160">
        <f>540*12</f>
        <v>6480</v>
      </c>
      <c r="I31" s="160">
        <f t="shared" si="2"/>
        <v>129600</v>
      </c>
      <c r="J31" s="160">
        <f>330933</f>
        <v>330933</v>
      </c>
      <c r="K31" s="160">
        <f>I31+J31</f>
        <v>460533</v>
      </c>
      <c r="L31" s="166">
        <v>6.4999999999999997E-3</v>
      </c>
      <c r="M31" s="184">
        <v>3.8699999999999998E-2</v>
      </c>
      <c r="O31" s="364"/>
    </row>
    <row r="32" spans="1:15" ht="15" thickBot="1" x14ac:dyDescent="0.4">
      <c r="A32" s="168" t="s">
        <v>54</v>
      </c>
      <c r="B32" s="169">
        <v>20</v>
      </c>
      <c r="C32" s="170">
        <v>99999.7</v>
      </c>
      <c r="D32" s="170">
        <v>101200</v>
      </c>
      <c r="E32" s="170" t="s">
        <v>45</v>
      </c>
      <c r="F32" s="170">
        <v>17204</v>
      </c>
      <c r="G32" s="170">
        <f>D32+F32</f>
        <v>118404</v>
      </c>
      <c r="H32" s="170">
        <f>646.98*12</f>
        <v>7763.76</v>
      </c>
      <c r="I32" s="170">
        <f t="shared" si="2"/>
        <v>155275.20000000001</v>
      </c>
      <c r="J32" s="170">
        <v>347318</v>
      </c>
      <c r="K32" s="170">
        <f>I32+J32</f>
        <v>502593.2</v>
      </c>
      <c r="L32" s="171">
        <v>1.0800000000000001E-2</v>
      </c>
      <c r="M32" s="172">
        <v>4.0899999999999999E-2</v>
      </c>
      <c r="O32" s="364"/>
    </row>
    <row r="33" spans="1:15" ht="15" thickBot="1" x14ac:dyDescent="0.4">
      <c r="A33" s="135" t="s">
        <v>88</v>
      </c>
      <c r="D33" s="186"/>
      <c r="E33" s="187"/>
      <c r="J33" s="186"/>
      <c r="O33" s="365"/>
    </row>
    <row r="34" spans="1:15" x14ac:dyDescent="0.35">
      <c r="A34" s="131" t="s">
        <v>90</v>
      </c>
      <c r="D34" s="186"/>
      <c r="E34" s="187"/>
      <c r="J34" s="186"/>
      <c r="O34" s="140"/>
    </row>
    <row r="35" spans="1:15" x14ac:dyDescent="0.35">
      <c r="A35" s="131" t="s">
        <v>92</v>
      </c>
      <c r="D35" s="186"/>
      <c r="E35" s="187"/>
      <c r="J35" s="186"/>
      <c r="O35" s="140"/>
    </row>
    <row r="36" spans="1:15" x14ac:dyDescent="0.35">
      <c r="A36" s="131" t="s">
        <v>126</v>
      </c>
      <c r="D36" s="186"/>
      <c r="E36" s="187"/>
      <c r="J36" s="186"/>
      <c r="O36" s="140"/>
    </row>
    <row r="37" spans="1:15" x14ac:dyDescent="0.35">
      <c r="D37" s="186"/>
      <c r="E37" s="187"/>
      <c r="J37" s="186"/>
      <c r="O37" s="190"/>
    </row>
    <row r="39" spans="1:15" x14ac:dyDescent="0.35">
      <c r="A39" s="135" t="s">
        <v>214</v>
      </c>
      <c r="B39" s="135"/>
      <c r="C39" s="136"/>
      <c r="D39" s="136"/>
      <c r="E39" s="137"/>
      <c r="F39" s="136"/>
      <c r="G39" s="136"/>
      <c r="H39" s="136"/>
      <c r="I39" s="138" t="s">
        <v>17</v>
      </c>
      <c r="J39" s="139" t="s">
        <v>18</v>
      </c>
      <c r="K39" s="136"/>
      <c r="L39" s="188"/>
      <c r="M39" s="188"/>
    </row>
    <row r="40" spans="1:15" ht="15" thickBot="1" x14ac:dyDescent="0.4">
      <c r="A40" s="135" t="s">
        <v>120</v>
      </c>
      <c r="B40" s="135"/>
      <c r="C40" s="136"/>
      <c r="D40" s="136"/>
      <c r="E40" s="137"/>
      <c r="F40" s="136"/>
      <c r="G40" s="136"/>
      <c r="H40" s="136"/>
      <c r="I40" s="135"/>
      <c r="J40" s="135"/>
      <c r="K40" s="136"/>
      <c r="L40" s="188"/>
      <c r="M40" s="188"/>
    </row>
    <row r="41" spans="1:15" ht="15" thickBot="1" x14ac:dyDescent="0.4">
      <c r="A41" s="142"/>
      <c r="B41" s="143"/>
      <c r="C41" s="143"/>
      <c r="D41" s="350" t="s">
        <v>80</v>
      </c>
      <c r="E41" s="351"/>
      <c r="F41" s="351"/>
      <c r="G41" s="352"/>
      <c r="H41" s="353" t="s">
        <v>81</v>
      </c>
      <c r="I41" s="354"/>
      <c r="J41" s="354"/>
      <c r="K41" s="354"/>
      <c r="L41" s="354"/>
      <c r="M41" s="355"/>
    </row>
    <row r="42" spans="1:15" ht="58.5" thickBot="1" x14ac:dyDescent="0.4">
      <c r="A42" s="144" t="s">
        <v>7</v>
      </c>
      <c r="B42" s="175" t="s">
        <v>10</v>
      </c>
      <c r="C42" s="176" t="s">
        <v>50</v>
      </c>
      <c r="D42" s="177" t="s">
        <v>77</v>
      </c>
      <c r="E42" s="178" t="s">
        <v>82</v>
      </c>
      <c r="F42" s="178" t="s">
        <v>78</v>
      </c>
      <c r="G42" s="179" t="s">
        <v>79</v>
      </c>
      <c r="H42" s="180" t="s">
        <v>11</v>
      </c>
      <c r="I42" s="181" t="s">
        <v>12</v>
      </c>
      <c r="J42" s="181" t="s">
        <v>13</v>
      </c>
      <c r="K42" s="182" t="s">
        <v>14</v>
      </c>
      <c r="L42" s="180" t="s">
        <v>84</v>
      </c>
      <c r="M42" s="182" t="s">
        <v>85</v>
      </c>
    </row>
    <row r="43" spans="1:15" x14ac:dyDescent="0.35">
      <c r="A43" s="156" t="s">
        <v>151</v>
      </c>
      <c r="B43" s="157">
        <v>20</v>
      </c>
      <c r="C43" s="158">
        <v>100185</v>
      </c>
      <c r="D43" s="161">
        <v>108701</v>
      </c>
      <c r="E43" s="161" t="s">
        <v>45</v>
      </c>
      <c r="F43" s="161">
        <v>47358</v>
      </c>
      <c r="G43" s="161">
        <f>D43+F43</f>
        <v>156059</v>
      </c>
      <c r="H43" s="161">
        <v>8520</v>
      </c>
      <c r="I43" s="161">
        <f t="shared" ref="I43:I45" si="3">H43*20</f>
        <v>170400</v>
      </c>
      <c r="J43" s="161">
        <f>57920+139200</f>
        <v>197120</v>
      </c>
      <c r="K43" s="161">
        <f>I43+J43</f>
        <v>367520</v>
      </c>
      <c r="L43" s="162">
        <v>1.49E-2</v>
      </c>
      <c r="M43" s="191">
        <v>3.7400000000000003E-2</v>
      </c>
    </row>
    <row r="44" spans="1:15" x14ac:dyDescent="0.35">
      <c r="A44" s="164" t="s">
        <v>27</v>
      </c>
      <c r="B44" s="165">
        <v>20</v>
      </c>
      <c r="C44" s="159">
        <v>99784.88</v>
      </c>
      <c r="D44" s="160">
        <f>C44</f>
        <v>99784.88</v>
      </c>
      <c r="E44" s="160" t="s">
        <v>45</v>
      </c>
      <c r="F44" s="160">
        <v>11048</v>
      </c>
      <c r="G44" s="160">
        <f>D44+F44</f>
        <v>110832.88</v>
      </c>
      <c r="H44" s="160">
        <v>6240</v>
      </c>
      <c r="I44" s="160">
        <f t="shared" si="3"/>
        <v>124800</v>
      </c>
      <c r="J44" s="160">
        <v>258991</v>
      </c>
      <c r="K44" s="160">
        <f>I44+J44</f>
        <v>383791</v>
      </c>
      <c r="L44" s="166">
        <v>6.1999999999999998E-3</v>
      </c>
      <c r="M44" s="192">
        <v>3.8699999999999998E-2</v>
      </c>
    </row>
    <row r="45" spans="1:15" ht="15" thickBot="1" x14ac:dyDescent="0.4">
      <c r="A45" s="168" t="s">
        <v>54</v>
      </c>
      <c r="B45" s="169">
        <v>20</v>
      </c>
      <c r="C45" s="170">
        <v>100000.6</v>
      </c>
      <c r="D45" s="170">
        <v>100001</v>
      </c>
      <c r="E45" s="170" t="s">
        <v>45</v>
      </c>
      <c r="F45" s="170">
        <v>14000</v>
      </c>
      <c r="G45" s="170">
        <f>D45+F45</f>
        <v>114001</v>
      </c>
      <c r="H45" s="170">
        <f>602.39*12</f>
        <v>7228.68</v>
      </c>
      <c r="I45" s="170">
        <f t="shared" si="3"/>
        <v>144573.6</v>
      </c>
      <c r="J45" s="170">
        <v>257933</v>
      </c>
      <c r="K45" s="170">
        <f>I45+J45</f>
        <v>402506.6</v>
      </c>
      <c r="L45" s="171">
        <v>1.04E-2</v>
      </c>
      <c r="M45" s="172">
        <v>4.02E-2</v>
      </c>
    </row>
    <row r="46" spans="1:15" x14ac:dyDescent="0.35">
      <c r="A46" s="135" t="s">
        <v>88</v>
      </c>
      <c r="D46" s="186"/>
      <c r="E46" s="187"/>
      <c r="J46" s="186"/>
      <c r="O46" s="140"/>
    </row>
    <row r="47" spans="1:15" x14ac:dyDescent="0.35">
      <c r="A47" s="131" t="s">
        <v>90</v>
      </c>
      <c r="D47" s="186"/>
      <c r="E47" s="187"/>
      <c r="J47" s="186"/>
      <c r="O47" s="140"/>
    </row>
    <row r="48" spans="1:15" x14ac:dyDescent="0.35">
      <c r="A48" s="131" t="s">
        <v>91</v>
      </c>
      <c r="D48" s="186"/>
      <c r="E48" s="187"/>
      <c r="J48" s="186"/>
      <c r="O48" s="140"/>
    </row>
    <row r="49" spans="1:15" x14ac:dyDescent="0.35">
      <c r="A49" s="131" t="s">
        <v>126</v>
      </c>
      <c r="D49" s="186"/>
      <c r="E49" s="187"/>
      <c r="J49" s="186"/>
      <c r="O49" s="140"/>
    </row>
    <row r="51" spans="1:15" x14ac:dyDescent="0.35">
      <c r="A51" s="135" t="s">
        <v>215</v>
      </c>
      <c r="B51" s="135"/>
      <c r="C51" s="136"/>
      <c r="D51" s="136"/>
      <c r="E51" s="137"/>
      <c r="F51" s="136"/>
      <c r="G51" s="136"/>
      <c r="H51" s="136"/>
      <c r="I51" s="138" t="s">
        <v>17</v>
      </c>
      <c r="J51" s="139" t="s">
        <v>18</v>
      </c>
      <c r="K51" s="136"/>
      <c r="L51" s="140"/>
      <c r="M51" s="140"/>
    </row>
    <row r="52" spans="1:15" ht="15" thickBot="1" x14ac:dyDescent="0.4">
      <c r="A52" s="135" t="s">
        <v>119</v>
      </c>
      <c r="B52" s="135"/>
      <c r="C52" s="136"/>
      <c r="D52" s="136"/>
      <c r="E52" s="137"/>
      <c r="F52" s="136"/>
      <c r="G52" s="136"/>
      <c r="H52" s="136"/>
      <c r="I52" s="135"/>
      <c r="J52" s="135"/>
      <c r="K52" s="136"/>
      <c r="L52" s="140"/>
      <c r="M52" s="140"/>
    </row>
    <row r="53" spans="1:15" ht="15" thickBot="1" x14ac:dyDescent="0.4">
      <c r="A53" s="142"/>
      <c r="B53" s="143"/>
      <c r="C53" s="143"/>
      <c r="D53" s="350" t="s">
        <v>80</v>
      </c>
      <c r="E53" s="351"/>
      <c r="F53" s="351"/>
      <c r="G53" s="352"/>
      <c r="H53" s="353" t="s">
        <v>81</v>
      </c>
      <c r="I53" s="354"/>
      <c r="J53" s="354"/>
      <c r="K53" s="354"/>
      <c r="L53" s="354"/>
      <c r="M53" s="355"/>
    </row>
    <row r="54" spans="1:15" ht="58.5" thickBot="1" x14ac:dyDescent="0.4">
      <c r="A54" s="144" t="s">
        <v>7</v>
      </c>
      <c r="B54" s="175" t="s">
        <v>10</v>
      </c>
      <c r="C54" s="176" t="s">
        <v>50</v>
      </c>
      <c r="D54" s="177" t="s">
        <v>77</v>
      </c>
      <c r="E54" s="178" t="s">
        <v>82</v>
      </c>
      <c r="F54" s="178" t="s">
        <v>78</v>
      </c>
      <c r="G54" s="179" t="s">
        <v>79</v>
      </c>
      <c r="H54" s="180" t="s">
        <v>11</v>
      </c>
      <c r="I54" s="181" t="s">
        <v>12</v>
      </c>
      <c r="J54" s="181" t="s">
        <v>13</v>
      </c>
      <c r="K54" s="182" t="s">
        <v>14</v>
      </c>
      <c r="L54" s="180" t="s">
        <v>84</v>
      </c>
      <c r="M54" s="182" t="s">
        <v>85</v>
      </c>
    </row>
    <row r="55" spans="1:15" x14ac:dyDescent="0.35">
      <c r="A55" s="156" t="s">
        <v>151</v>
      </c>
      <c r="B55" s="157">
        <v>20</v>
      </c>
      <c r="C55" s="158">
        <v>100215.75</v>
      </c>
      <c r="D55" s="158">
        <v>106228</v>
      </c>
      <c r="E55" s="161" t="s">
        <v>45</v>
      </c>
      <c r="F55" s="161">
        <v>36785</v>
      </c>
      <c r="G55" s="161">
        <f>D55+F55</f>
        <v>143013</v>
      </c>
      <c r="H55" s="161">
        <v>7920</v>
      </c>
      <c r="I55" s="161">
        <f t="shared" ref="I55:I58" si="4">H55*20</f>
        <v>158400</v>
      </c>
      <c r="J55" s="161">
        <f>44980+93120</f>
        <v>138100</v>
      </c>
      <c r="K55" s="161">
        <f>I55+J55</f>
        <v>296500</v>
      </c>
      <c r="L55" s="162">
        <v>1.4999999999999999E-2</v>
      </c>
      <c r="M55" s="191">
        <v>3.6299999999999999E-2</v>
      </c>
    </row>
    <row r="56" spans="1:15" x14ac:dyDescent="0.35">
      <c r="A56" s="164" t="s">
        <v>67</v>
      </c>
      <c r="B56" s="132">
        <v>20</v>
      </c>
      <c r="C56" s="159">
        <v>100000</v>
      </c>
      <c r="D56" s="160">
        <v>100000</v>
      </c>
      <c r="E56" s="160" t="s">
        <v>45</v>
      </c>
      <c r="F56" s="160">
        <v>11000</v>
      </c>
      <c r="G56" s="160">
        <f>D56+F56</f>
        <v>111000</v>
      </c>
      <c r="H56" s="160">
        <f>642.6*12</f>
        <v>7711.2000000000007</v>
      </c>
      <c r="I56" s="160">
        <f t="shared" si="4"/>
        <v>154224</v>
      </c>
      <c r="J56" s="160">
        <v>194280</v>
      </c>
      <c r="K56" s="160">
        <f>I56+J56</f>
        <v>348504</v>
      </c>
      <c r="L56" s="193">
        <v>1.4200000000000001E-2</v>
      </c>
      <c r="M56" s="194">
        <v>4.2099999999999999E-2</v>
      </c>
    </row>
    <row r="57" spans="1:15" x14ac:dyDescent="0.35">
      <c r="A57" s="164" t="s">
        <v>27</v>
      </c>
      <c r="B57" s="165">
        <v>20</v>
      </c>
      <c r="C57" s="159">
        <v>99805.16</v>
      </c>
      <c r="D57" s="160">
        <f>C57</f>
        <v>99805.16</v>
      </c>
      <c r="E57" s="160" t="s">
        <v>45</v>
      </c>
      <c r="F57" s="160">
        <v>18035</v>
      </c>
      <c r="G57" s="160">
        <f>D57+F57</f>
        <v>117840.16</v>
      </c>
      <c r="H57" s="160">
        <f>490*12</f>
        <v>5880</v>
      </c>
      <c r="I57" s="160">
        <f t="shared" si="4"/>
        <v>117600</v>
      </c>
      <c r="J57" s="160">
        <v>188198</v>
      </c>
      <c r="K57" s="160">
        <f>I57+J57</f>
        <v>305798</v>
      </c>
      <c r="L57" s="166">
        <v>5.3E-3</v>
      </c>
      <c r="M57" s="184">
        <v>3.7400000000000003E-2</v>
      </c>
    </row>
    <row r="58" spans="1:15" ht="15" thickBot="1" x14ac:dyDescent="0.4">
      <c r="A58" s="168" t="s">
        <v>54</v>
      </c>
      <c r="B58" s="169">
        <v>20</v>
      </c>
      <c r="C58" s="170">
        <v>99999.45</v>
      </c>
      <c r="D58" s="170">
        <v>99999</v>
      </c>
      <c r="E58" s="170" t="s">
        <v>45</v>
      </c>
      <c r="F58" s="170">
        <v>11000</v>
      </c>
      <c r="G58" s="170">
        <f>D58+F58</f>
        <v>110999</v>
      </c>
      <c r="H58" s="170">
        <f>505.29*12</f>
        <v>6063.4800000000005</v>
      </c>
      <c r="I58" s="170">
        <f t="shared" si="4"/>
        <v>121269.6</v>
      </c>
      <c r="J58" s="170">
        <v>195425</v>
      </c>
      <c r="K58" s="170">
        <f>I58+J58</f>
        <v>316694.59999999998</v>
      </c>
      <c r="L58" s="195">
        <v>6.3E-3</v>
      </c>
      <c r="M58" s="196">
        <v>3.8699999999999998E-2</v>
      </c>
    </row>
    <row r="59" spans="1:15" x14ac:dyDescent="0.35">
      <c r="A59" s="135" t="s">
        <v>88</v>
      </c>
      <c r="B59" s="132"/>
      <c r="C59" s="159"/>
      <c r="D59" s="159"/>
      <c r="E59" s="159"/>
      <c r="F59" s="159"/>
      <c r="G59" s="159"/>
      <c r="H59" s="159"/>
      <c r="I59" s="159"/>
      <c r="J59" s="159"/>
      <c r="K59" s="159"/>
      <c r="L59" s="166"/>
      <c r="M59" s="197"/>
    </row>
    <row r="60" spans="1:15" x14ac:dyDescent="0.35">
      <c r="A60" s="131" t="s">
        <v>100</v>
      </c>
      <c r="B60" s="132"/>
      <c r="C60" s="159"/>
      <c r="D60" s="159"/>
      <c r="E60" s="159"/>
      <c r="F60" s="159"/>
      <c r="G60" s="159"/>
      <c r="H60" s="159"/>
      <c r="I60" s="159"/>
      <c r="J60" s="159"/>
      <c r="K60" s="159"/>
      <c r="L60" s="166"/>
      <c r="M60" s="197"/>
    </row>
    <row r="61" spans="1:15" x14ac:dyDescent="0.35">
      <c r="A61" s="131" t="s">
        <v>127</v>
      </c>
      <c r="B61" s="132"/>
      <c r="C61" s="159"/>
      <c r="D61" s="159"/>
      <c r="E61" s="159"/>
      <c r="F61" s="159"/>
      <c r="G61" s="159"/>
      <c r="H61" s="159"/>
      <c r="I61" s="159"/>
      <c r="J61" s="159"/>
      <c r="K61" s="159"/>
      <c r="L61" s="166"/>
      <c r="M61" s="197"/>
    </row>
    <row r="63" spans="1:15" x14ac:dyDescent="0.35">
      <c r="A63" s="135" t="s">
        <v>216</v>
      </c>
      <c r="B63" s="135"/>
      <c r="C63" s="136"/>
      <c r="D63" s="136"/>
      <c r="E63" s="137"/>
      <c r="F63" s="136"/>
      <c r="G63" s="136"/>
      <c r="H63" s="136"/>
      <c r="I63" s="138" t="s">
        <v>17</v>
      </c>
      <c r="J63" s="139" t="s">
        <v>18</v>
      </c>
      <c r="K63" s="136"/>
      <c r="L63" s="188"/>
      <c r="M63" s="188"/>
    </row>
    <row r="64" spans="1:15" ht="15" thickBot="1" x14ac:dyDescent="0.4">
      <c r="A64" s="135" t="s">
        <v>118</v>
      </c>
      <c r="B64" s="135"/>
      <c r="C64" s="136"/>
      <c r="D64" s="136"/>
      <c r="E64" s="137"/>
      <c r="F64" s="136"/>
      <c r="G64" s="136"/>
      <c r="H64" s="136"/>
      <c r="I64" s="135"/>
      <c r="J64" s="135"/>
      <c r="K64" s="136"/>
      <c r="L64" s="188"/>
      <c r="M64" s="188"/>
    </row>
    <row r="65" spans="1:13" ht="15" thickBot="1" x14ac:dyDescent="0.4">
      <c r="A65" s="142"/>
      <c r="B65" s="143"/>
      <c r="C65" s="143"/>
      <c r="D65" s="350" t="s">
        <v>80</v>
      </c>
      <c r="E65" s="351"/>
      <c r="F65" s="351"/>
      <c r="G65" s="352"/>
      <c r="H65" s="353" t="s">
        <v>81</v>
      </c>
      <c r="I65" s="354"/>
      <c r="J65" s="354"/>
      <c r="K65" s="354"/>
      <c r="L65" s="354"/>
      <c r="M65" s="355"/>
    </row>
    <row r="66" spans="1:13" ht="58.5" thickBot="1" x14ac:dyDescent="0.4">
      <c r="A66" s="144" t="s">
        <v>7</v>
      </c>
      <c r="B66" s="175" t="s">
        <v>10</v>
      </c>
      <c r="C66" s="176" t="s">
        <v>50</v>
      </c>
      <c r="D66" s="177" t="s">
        <v>77</v>
      </c>
      <c r="E66" s="178" t="s">
        <v>82</v>
      </c>
      <c r="F66" s="178" t="s">
        <v>78</v>
      </c>
      <c r="G66" s="179" t="s">
        <v>79</v>
      </c>
      <c r="H66" s="180" t="s">
        <v>11</v>
      </c>
      <c r="I66" s="181" t="s">
        <v>12</v>
      </c>
      <c r="J66" s="181" t="s">
        <v>13</v>
      </c>
      <c r="K66" s="182" t="s">
        <v>14</v>
      </c>
      <c r="L66" s="180" t="s">
        <v>84</v>
      </c>
      <c r="M66" s="182" t="s">
        <v>85</v>
      </c>
    </row>
    <row r="67" spans="1:13" x14ac:dyDescent="0.35">
      <c r="A67" s="164" t="s">
        <v>151</v>
      </c>
      <c r="B67" s="132">
        <v>20</v>
      </c>
      <c r="C67" s="159">
        <v>99665.5</v>
      </c>
      <c r="D67" s="159">
        <v>103153</v>
      </c>
      <c r="E67" s="160" t="s">
        <v>45</v>
      </c>
      <c r="F67" s="160">
        <v>26809</v>
      </c>
      <c r="G67" s="160">
        <f>D67+F67</f>
        <v>129962</v>
      </c>
      <c r="H67" s="160">
        <v>7320</v>
      </c>
      <c r="I67" s="160">
        <f t="shared" ref="I67:I70" si="5">H67*20</f>
        <v>146400</v>
      </c>
      <c r="J67" s="160">
        <f>32780+59280</f>
        <v>92060</v>
      </c>
      <c r="K67" s="160">
        <f>I67+J67</f>
        <v>238460</v>
      </c>
      <c r="L67" s="197">
        <v>1.4999999999999999E-2</v>
      </c>
      <c r="M67" s="184">
        <v>3.4799999999999998E-2</v>
      </c>
    </row>
    <row r="68" spans="1:13" x14ac:dyDescent="0.35">
      <c r="A68" s="164" t="s">
        <v>67</v>
      </c>
      <c r="B68" s="132">
        <v>20</v>
      </c>
      <c r="C68" s="159">
        <v>100000</v>
      </c>
      <c r="D68" s="160">
        <v>100000</v>
      </c>
      <c r="E68" s="160" t="s">
        <v>45</v>
      </c>
      <c r="F68" s="160">
        <v>8000</v>
      </c>
      <c r="G68" s="160">
        <f>D68+F68</f>
        <v>108000</v>
      </c>
      <c r="H68" s="160">
        <f>591.4*12</f>
        <v>7096.7999999999993</v>
      </c>
      <c r="I68" s="160">
        <f t="shared" si="5"/>
        <v>141936</v>
      </c>
      <c r="J68" s="160">
        <v>124728</v>
      </c>
      <c r="K68" s="160">
        <f>I68+J68</f>
        <v>266664</v>
      </c>
      <c r="L68" s="193">
        <v>1.37E-2</v>
      </c>
      <c r="M68" s="194">
        <v>3.95E-2</v>
      </c>
    </row>
    <row r="69" spans="1:13" x14ac:dyDescent="0.35">
      <c r="A69" s="164" t="s">
        <v>27</v>
      </c>
      <c r="B69" s="165">
        <v>20</v>
      </c>
      <c r="C69" s="159">
        <v>98882.36</v>
      </c>
      <c r="D69" s="160">
        <f>C69</f>
        <v>98882.36</v>
      </c>
      <c r="E69" s="160" t="s">
        <v>45</v>
      </c>
      <c r="F69" s="160">
        <v>6594</v>
      </c>
      <c r="G69" s="160">
        <f>D69+F69</f>
        <v>105476.36</v>
      </c>
      <c r="H69" s="160">
        <f>470*12</f>
        <v>5640</v>
      </c>
      <c r="I69" s="160">
        <f t="shared" si="5"/>
        <v>112800</v>
      </c>
      <c r="J69" s="160">
        <v>125704</v>
      </c>
      <c r="K69" s="160">
        <f>I69+J69</f>
        <v>238504</v>
      </c>
      <c r="L69" s="166">
        <v>5.0000000000000001E-3</v>
      </c>
      <c r="M69" s="184">
        <v>3.5099999999999999E-2</v>
      </c>
    </row>
    <row r="70" spans="1:13" ht="15" thickBot="1" x14ac:dyDescent="0.4">
      <c r="A70" s="168" t="s">
        <v>54</v>
      </c>
      <c r="B70" s="169">
        <v>20</v>
      </c>
      <c r="C70" s="170">
        <v>100000.95</v>
      </c>
      <c r="D70" s="170">
        <v>100001</v>
      </c>
      <c r="E70" s="170" t="s">
        <v>45</v>
      </c>
      <c r="F70" s="170">
        <v>8000</v>
      </c>
      <c r="G70" s="170">
        <f>D70+F70</f>
        <v>108001</v>
      </c>
      <c r="H70" s="170">
        <f>457.3*12</f>
        <v>5487.6</v>
      </c>
      <c r="I70" s="170">
        <f t="shared" si="5"/>
        <v>109752</v>
      </c>
      <c r="J70" s="170">
        <v>142690</v>
      </c>
      <c r="K70" s="170">
        <f>I70+J70</f>
        <v>252442</v>
      </c>
      <c r="L70" s="195">
        <v>3.5999999999999999E-3</v>
      </c>
      <c r="M70" s="196">
        <v>3.7199999999999997E-2</v>
      </c>
    </row>
    <row r="71" spans="1:13" x14ac:dyDescent="0.35">
      <c r="A71" s="135" t="s">
        <v>88</v>
      </c>
      <c r="B71" s="132"/>
      <c r="C71" s="159"/>
      <c r="D71" s="159"/>
      <c r="E71" s="159"/>
      <c r="F71" s="159"/>
      <c r="G71" s="159"/>
      <c r="H71" s="159"/>
      <c r="I71" s="159"/>
      <c r="J71" s="159"/>
    </row>
    <row r="72" spans="1:13" x14ac:dyDescent="0.35">
      <c r="A72" s="131" t="s">
        <v>128</v>
      </c>
      <c r="B72" s="132"/>
      <c r="C72" s="159"/>
      <c r="D72" s="159"/>
      <c r="E72" s="159"/>
      <c r="F72" s="159"/>
      <c r="G72" s="159"/>
      <c r="H72" s="159"/>
      <c r="I72" s="159"/>
      <c r="J72" s="159"/>
    </row>
    <row r="73" spans="1:13" x14ac:dyDescent="0.35">
      <c r="A73" s="131" t="s">
        <v>127</v>
      </c>
      <c r="B73" s="132"/>
      <c r="C73" s="159"/>
      <c r="D73" s="159"/>
      <c r="E73" s="159"/>
      <c r="F73" s="159"/>
      <c r="G73" s="159"/>
      <c r="H73" s="159"/>
      <c r="I73" s="159"/>
      <c r="J73" s="159"/>
    </row>
    <row r="75" spans="1:13" x14ac:dyDescent="0.35">
      <c r="A75" s="135" t="s">
        <v>217</v>
      </c>
      <c r="B75" s="135"/>
      <c r="C75" s="136"/>
      <c r="D75" s="136"/>
      <c r="E75" s="137"/>
      <c r="F75" s="136"/>
      <c r="G75" s="136"/>
      <c r="H75" s="136"/>
      <c r="I75" s="138" t="s">
        <v>17</v>
      </c>
      <c r="J75" s="139" t="s">
        <v>18</v>
      </c>
      <c r="K75" s="136"/>
      <c r="L75" s="188"/>
      <c r="M75" s="188"/>
    </row>
    <row r="76" spans="1:13" ht="15" thickBot="1" x14ac:dyDescent="0.4">
      <c r="A76" s="135" t="s">
        <v>137</v>
      </c>
      <c r="B76" s="135"/>
      <c r="C76" s="136"/>
      <c r="D76" s="136"/>
      <c r="E76" s="137"/>
      <c r="F76" s="136"/>
      <c r="G76" s="136"/>
      <c r="H76" s="136"/>
      <c r="I76" s="135"/>
      <c r="J76" s="135"/>
      <c r="K76" s="136"/>
      <c r="L76" s="188"/>
      <c r="M76" s="188"/>
    </row>
    <row r="77" spans="1:13" ht="15" thickBot="1" x14ac:dyDescent="0.4">
      <c r="A77" s="142"/>
      <c r="B77" s="143"/>
      <c r="C77" s="143"/>
      <c r="D77" s="350" t="s">
        <v>80</v>
      </c>
      <c r="E77" s="351"/>
      <c r="F77" s="351"/>
      <c r="G77" s="352"/>
      <c r="H77" s="353" t="s">
        <v>81</v>
      </c>
      <c r="I77" s="354"/>
      <c r="J77" s="354"/>
      <c r="K77" s="354"/>
      <c r="L77" s="354"/>
      <c r="M77" s="355"/>
    </row>
    <row r="78" spans="1:13" ht="58.5" thickBot="1" x14ac:dyDescent="0.4">
      <c r="A78" s="144" t="s">
        <v>7</v>
      </c>
      <c r="B78" s="175" t="s">
        <v>10</v>
      </c>
      <c r="C78" s="176" t="s">
        <v>50</v>
      </c>
      <c r="D78" s="177" t="s">
        <v>77</v>
      </c>
      <c r="E78" s="178" t="s">
        <v>82</v>
      </c>
      <c r="F78" s="178" t="s">
        <v>78</v>
      </c>
      <c r="G78" s="179" t="s">
        <v>79</v>
      </c>
      <c r="H78" s="180" t="s">
        <v>11</v>
      </c>
      <c r="I78" s="181" t="s">
        <v>12</v>
      </c>
      <c r="J78" s="181" t="s">
        <v>13</v>
      </c>
      <c r="K78" s="182" t="s">
        <v>14</v>
      </c>
      <c r="L78" s="180" t="s">
        <v>84</v>
      </c>
      <c r="M78" s="182" t="s">
        <v>85</v>
      </c>
    </row>
    <row r="79" spans="1:13" x14ac:dyDescent="0.35">
      <c r="A79" s="164" t="s">
        <v>151</v>
      </c>
      <c r="B79" s="132">
        <v>20</v>
      </c>
      <c r="C79" s="159">
        <v>98401.55</v>
      </c>
      <c r="D79" s="159">
        <v>98401</v>
      </c>
      <c r="E79" s="160" t="s">
        <v>45</v>
      </c>
      <c r="F79" s="160">
        <v>17511</v>
      </c>
      <c r="G79" s="160">
        <f>D79+F79</f>
        <v>115912</v>
      </c>
      <c r="H79" s="160">
        <f>560*12</f>
        <v>6720</v>
      </c>
      <c r="I79" s="160">
        <f t="shared" ref="I79:I82" si="6">H79*20</f>
        <v>134400</v>
      </c>
      <c r="J79" s="160">
        <f>21400+34260</f>
        <v>55660</v>
      </c>
      <c r="K79" s="160">
        <f>I79+J79</f>
        <v>190060</v>
      </c>
      <c r="L79" s="197">
        <v>1.5100000000000001E-2</v>
      </c>
      <c r="M79" s="184">
        <v>3.2599999999999997E-2</v>
      </c>
    </row>
    <row r="80" spans="1:13" x14ac:dyDescent="0.35">
      <c r="A80" s="164" t="s">
        <v>67</v>
      </c>
      <c r="B80" s="132">
        <v>20</v>
      </c>
      <c r="C80" s="159">
        <v>100000</v>
      </c>
      <c r="D80" s="160">
        <v>100000</v>
      </c>
      <c r="E80" s="160" t="s">
        <v>45</v>
      </c>
      <c r="F80" s="160">
        <v>6000</v>
      </c>
      <c r="G80" s="160">
        <f>D80+F80</f>
        <v>106000</v>
      </c>
      <c r="H80" s="160">
        <f>529.5*12</f>
        <v>6354</v>
      </c>
      <c r="I80" s="160">
        <f t="shared" si="6"/>
        <v>127080</v>
      </c>
      <c r="J80" s="160">
        <v>90960</v>
      </c>
      <c r="K80" s="160">
        <f>I80+J80</f>
        <v>218040</v>
      </c>
      <c r="L80" s="193">
        <v>1.1599999999999999E-2</v>
      </c>
      <c r="M80" s="194">
        <v>3.9100000000000003E-2</v>
      </c>
    </row>
    <row r="81" spans="1:13" x14ac:dyDescent="0.35">
      <c r="A81" s="164" t="s">
        <v>27</v>
      </c>
      <c r="B81" s="165">
        <v>20</v>
      </c>
      <c r="C81" s="159">
        <v>98815.5</v>
      </c>
      <c r="D81" s="160">
        <f>C81</f>
        <v>98815.5</v>
      </c>
      <c r="E81" s="160" t="s">
        <v>45</v>
      </c>
      <c r="F81" s="160">
        <v>4402</v>
      </c>
      <c r="G81" s="160">
        <v>103217</v>
      </c>
      <c r="H81" s="160">
        <f>450*12</f>
        <v>5400</v>
      </c>
      <c r="I81" s="160">
        <f t="shared" si="6"/>
        <v>108000</v>
      </c>
      <c r="J81" s="160">
        <v>80035</v>
      </c>
      <c r="K81" s="160">
        <f>I81+J81</f>
        <v>188035</v>
      </c>
      <c r="L81" s="166">
        <v>4.1999999999999997E-3</v>
      </c>
      <c r="M81" s="184">
        <v>3.1800000000000002E-2</v>
      </c>
    </row>
    <row r="82" spans="1:13" ht="15" thickBot="1" x14ac:dyDescent="0.4">
      <c r="A82" s="168" t="s">
        <v>54</v>
      </c>
      <c r="B82" s="169">
        <v>20</v>
      </c>
      <c r="C82" s="198">
        <v>10001.1</v>
      </c>
      <c r="D82" s="170">
        <v>100001</v>
      </c>
      <c r="E82" s="170" t="s">
        <v>45</v>
      </c>
      <c r="F82" s="170">
        <v>5000</v>
      </c>
      <c r="G82" s="170">
        <f>D82+F82</f>
        <v>105001</v>
      </c>
      <c r="H82" s="170">
        <f>427.24*12</f>
        <v>5126.88</v>
      </c>
      <c r="I82" s="170">
        <f t="shared" si="6"/>
        <v>102537.60000000001</v>
      </c>
      <c r="J82" s="170">
        <v>95042</v>
      </c>
      <c r="K82" s="170">
        <f>I82+J82</f>
        <v>197579.6</v>
      </c>
      <c r="L82" s="195">
        <v>1.1999999999999999E-3</v>
      </c>
      <c r="M82" s="196">
        <v>3.39E-2</v>
      </c>
    </row>
    <row r="83" spans="1:13" x14ac:dyDescent="0.35">
      <c r="A83" s="135" t="s">
        <v>88</v>
      </c>
      <c r="B83" s="132"/>
      <c r="C83" s="159"/>
      <c r="D83" s="159"/>
      <c r="E83" s="159"/>
      <c r="F83" s="159"/>
      <c r="G83" s="159"/>
      <c r="H83" s="159"/>
      <c r="I83" s="159"/>
      <c r="J83" s="159"/>
    </row>
    <row r="84" spans="1:13" x14ac:dyDescent="0.35">
      <c r="A84" s="131" t="s">
        <v>136</v>
      </c>
      <c r="B84" s="132"/>
      <c r="C84" s="159"/>
      <c r="D84" s="159"/>
      <c r="E84" s="159"/>
      <c r="F84" s="159"/>
      <c r="G84" s="159"/>
      <c r="H84" s="159"/>
      <c r="I84" s="159"/>
      <c r="J84" s="159"/>
    </row>
    <row r="85" spans="1:13" x14ac:dyDescent="0.35">
      <c r="A85" s="131" t="s">
        <v>127</v>
      </c>
      <c r="B85" s="132"/>
      <c r="C85" s="159"/>
      <c r="D85" s="159"/>
      <c r="E85" s="159"/>
      <c r="F85" s="159"/>
      <c r="G85" s="159"/>
      <c r="H85" s="159"/>
      <c r="I85" s="159"/>
      <c r="J85" s="159"/>
    </row>
    <row r="87" spans="1:13" x14ac:dyDescent="0.35">
      <c r="A87" s="135" t="s">
        <v>218</v>
      </c>
      <c r="B87" s="135"/>
      <c r="C87" s="136"/>
      <c r="D87" s="136"/>
      <c r="E87" s="137"/>
      <c r="F87" s="136"/>
      <c r="G87" s="136"/>
      <c r="H87" s="136"/>
      <c r="I87" s="138" t="s">
        <v>17</v>
      </c>
      <c r="J87" s="139" t="s">
        <v>18</v>
      </c>
      <c r="K87" s="136"/>
      <c r="L87" s="188"/>
      <c r="M87" s="188"/>
    </row>
    <row r="88" spans="1:13" ht="15" thickBot="1" x14ac:dyDescent="0.4">
      <c r="A88" s="135" t="s">
        <v>138</v>
      </c>
      <c r="B88" s="135"/>
      <c r="C88" s="136"/>
      <c r="D88" s="136"/>
      <c r="E88" s="137"/>
      <c r="F88" s="136"/>
      <c r="G88" s="136"/>
      <c r="H88" s="136"/>
      <c r="I88" s="135"/>
      <c r="J88" s="135"/>
      <c r="K88" s="136"/>
      <c r="L88" s="188"/>
      <c r="M88" s="188"/>
    </row>
    <row r="89" spans="1:13" ht="15" thickBot="1" x14ac:dyDescent="0.4">
      <c r="A89" s="142"/>
      <c r="B89" s="143"/>
      <c r="C89" s="143"/>
      <c r="D89" s="350" t="s">
        <v>80</v>
      </c>
      <c r="E89" s="351"/>
      <c r="F89" s="351"/>
      <c r="G89" s="352"/>
      <c r="H89" s="353" t="s">
        <v>81</v>
      </c>
      <c r="I89" s="354"/>
      <c r="J89" s="354"/>
      <c r="K89" s="354"/>
      <c r="L89" s="354"/>
      <c r="M89" s="355"/>
    </row>
    <row r="90" spans="1:13" ht="58.5" thickBot="1" x14ac:dyDescent="0.4">
      <c r="A90" s="144" t="s">
        <v>7</v>
      </c>
      <c r="B90" s="175" t="s">
        <v>10</v>
      </c>
      <c r="C90" s="176" t="s">
        <v>50</v>
      </c>
      <c r="D90" s="177" t="s">
        <v>77</v>
      </c>
      <c r="E90" s="178" t="s">
        <v>82</v>
      </c>
      <c r="F90" s="178" t="s">
        <v>78</v>
      </c>
      <c r="G90" s="179" t="s">
        <v>79</v>
      </c>
      <c r="H90" s="180" t="s">
        <v>11</v>
      </c>
      <c r="I90" s="181" t="s">
        <v>12</v>
      </c>
      <c r="J90" s="181" t="s">
        <v>13</v>
      </c>
      <c r="K90" s="182" t="s">
        <v>14</v>
      </c>
      <c r="L90" s="180" t="s">
        <v>84</v>
      </c>
      <c r="M90" s="182" t="s">
        <v>85</v>
      </c>
    </row>
    <row r="91" spans="1:13" x14ac:dyDescent="0.35">
      <c r="A91" s="164" t="s">
        <v>151</v>
      </c>
      <c r="B91" s="132">
        <v>20</v>
      </c>
      <c r="C91" s="159">
        <v>98604</v>
      </c>
      <c r="D91" s="159">
        <v>98604</v>
      </c>
      <c r="E91" s="160" t="s">
        <v>45</v>
      </c>
      <c r="F91" s="160">
        <v>9214</v>
      </c>
      <c r="G91" s="160">
        <f>D91+F91</f>
        <v>107818</v>
      </c>
      <c r="H91" s="160">
        <f>510*12</f>
        <v>6120</v>
      </c>
      <c r="I91" s="160">
        <f t="shared" ref="I91:I94" si="7">H91*20</f>
        <v>122400</v>
      </c>
      <c r="J91" s="160">
        <f>11260+34020</f>
        <v>45280</v>
      </c>
      <c r="K91" s="160">
        <f>I91+J91</f>
        <v>167680</v>
      </c>
      <c r="L91" s="197">
        <v>1.38E-2</v>
      </c>
      <c r="M91" s="194">
        <v>3.49E-2</v>
      </c>
    </row>
    <row r="92" spans="1:13" x14ac:dyDescent="0.35">
      <c r="A92" s="164" t="s">
        <v>67</v>
      </c>
      <c r="B92" s="132">
        <v>20</v>
      </c>
      <c r="C92" s="159">
        <v>100000</v>
      </c>
      <c r="D92" s="160">
        <v>100000</v>
      </c>
      <c r="E92" s="160" t="s">
        <v>45</v>
      </c>
      <c r="F92" s="160">
        <v>4000</v>
      </c>
      <c r="G92" s="160">
        <f>D92+F92</f>
        <v>104000</v>
      </c>
      <c r="H92" s="160">
        <f>472*12</f>
        <v>5664</v>
      </c>
      <c r="I92" s="160">
        <f t="shared" si="7"/>
        <v>113280</v>
      </c>
      <c r="J92" s="160">
        <v>55296</v>
      </c>
      <c r="K92" s="160">
        <f>I92+J92</f>
        <v>168576</v>
      </c>
      <c r="L92" s="193">
        <v>7.9000000000000008E-3</v>
      </c>
      <c r="M92" s="184">
        <v>3.4500000000000003E-2</v>
      </c>
    </row>
    <row r="93" spans="1:13" x14ac:dyDescent="0.35">
      <c r="A93" s="164" t="s">
        <v>27</v>
      </c>
      <c r="B93" s="165">
        <v>20</v>
      </c>
      <c r="C93" s="159">
        <v>98992.960000000006</v>
      </c>
      <c r="D93" s="160">
        <f>C93</f>
        <v>98992.960000000006</v>
      </c>
      <c r="E93" s="160" t="s">
        <v>45</v>
      </c>
      <c r="F93" s="160">
        <v>2112</v>
      </c>
      <c r="G93" s="160">
        <f>D93+F93</f>
        <v>101104.96000000001</v>
      </c>
      <c r="H93" s="160">
        <f>440*12</f>
        <v>5280</v>
      </c>
      <c r="I93" s="160">
        <f t="shared" si="7"/>
        <v>105600</v>
      </c>
      <c r="J93" s="160">
        <v>41949</v>
      </c>
      <c r="K93" s="160">
        <f>I93+J93</f>
        <v>147549</v>
      </c>
      <c r="L93" s="166">
        <v>4.0000000000000001E-3</v>
      </c>
      <c r="M93" s="184">
        <v>2.58E-2</v>
      </c>
    </row>
    <row r="94" spans="1:13" ht="15" thickBot="1" x14ac:dyDescent="0.4">
      <c r="A94" s="168" t="s">
        <v>54</v>
      </c>
      <c r="B94" s="169">
        <v>20</v>
      </c>
      <c r="C94" s="170">
        <v>99999.2</v>
      </c>
      <c r="D94" s="170">
        <v>99999</v>
      </c>
      <c r="E94" s="170" t="s">
        <v>45</v>
      </c>
      <c r="F94" s="170">
        <v>3000</v>
      </c>
      <c r="G94" s="170">
        <f>D94+F94</f>
        <v>102999</v>
      </c>
      <c r="H94" s="170">
        <f>420.83*12</f>
        <v>5049.96</v>
      </c>
      <c r="I94" s="170">
        <f t="shared" si="7"/>
        <v>100999.2</v>
      </c>
      <c r="J94" s="170">
        <v>56813</v>
      </c>
      <c r="K94" s="170">
        <f>I94+J94</f>
        <v>157812.20000000001</v>
      </c>
      <c r="L94" s="195">
        <v>5.9999999999999995E-4</v>
      </c>
      <c r="M94" s="196">
        <v>2.9899999999999999E-2</v>
      </c>
    </row>
    <row r="95" spans="1:13" x14ac:dyDescent="0.35">
      <c r="A95" s="135" t="s">
        <v>88</v>
      </c>
      <c r="B95" s="132"/>
      <c r="C95" s="159"/>
      <c r="D95" s="159"/>
      <c r="E95" s="159"/>
      <c r="F95" s="159"/>
      <c r="G95" s="159"/>
      <c r="H95" s="159"/>
      <c r="I95" s="159"/>
      <c r="J95" s="159"/>
    </row>
    <row r="96" spans="1:13" x14ac:dyDescent="0.35">
      <c r="A96" s="131" t="s">
        <v>139</v>
      </c>
      <c r="B96" s="132"/>
      <c r="C96" s="159"/>
      <c r="D96" s="159"/>
      <c r="E96" s="159"/>
      <c r="F96" s="159"/>
      <c r="G96" s="159"/>
      <c r="H96" s="159"/>
      <c r="I96" s="159"/>
      <c r="J96" s="159"/>
    </row>
    <row r="97" spans="1:13" x14ac:dyDescent="0.35">
      <c r="A97" s="131" t="s">
        <v>127</v>
      </c>
      <c r="B97" s="132"/>
      <c r="C97" s="159"/>
      <c r="D97" s="159"/>
      <c r="E97" s="159"/>
      <c r="F97" s="159"/>
      <c r="G97" s="159"/>
      <c r="H97" s="159"/>
      <c r="I97" s="159"/>
      <c r="J97" s="159"/>
    </row>
    <row r="99" spans="1:13" ht="14.4" customHeight="1" x14ac:dyDescent="0.35">
      <c r="A99" s="135" t="s">
        <v>218</v>
      </c>
      <c r="B99" s="135"/>
      <c r="C99" s="136"/>
      <c r="D99" s="136"/>
      <c r="E99" s="137"/>
      <c r="F99" s="136"/>
      <c r="G99" s="136"/>
      <c r="H99" s="136"/>
      <c r="I99" s="138" t="s">
        <v>17</v>
      </c>
      <c r="J99" s="139" t="s">
        <v>18</v>
      </c>
      <c r="K99" s="136"/>
      <c r="L99" s="356" t="s">
        <v>145</v>
      </c>
      <c r="M99" s="356"/>
    </row>
    <row r="100" spans="1:13" ht="15" thickBot="1" x14ac:dyDescent="0.4">
      <c r="A100" s="135" t="s">
        <v>137</v>
      </c>
      <c r="B100" s="135"/>
      <c r="C100" s="136"/>
      <c r="D100" s="136"/>
      <c r="E100" s="137"/>
      <c r="F100" s="136"/>
      <c r="G100" s="136"/>
      <c r="H100" s="136"/>
      <c r="I100" s="135"/>
      <c r="J100" s="135"/>
      <c r="K100" s="136"/>
      <c r="L100" s="357"/>
      <c r="M100" s="357"/>
    </row>
    <row r="101" spans="1:13" ht="15" thickBot="1" x14ac:dyDescent="0.4">
      <c r="A101" s="142"/>
      <c r="B101" s="143"/>
      <c r="C101" s="143"/>
      <c r="D101" s="350" t="s">
        <v>80</v>
      </c>
      <c r="E101" s="351"/>
      <c r="F101" s="351"/>
      <c r="G101" s="352"/>
      <c r="H101" s="353" t="s">
        <v>81</v>
      </c>
      <c r="I101" s="354"/>
      <c r="J101" s="354"/>
      <c r="K101" s="354"/>
      <c r="L101" s="354"/>
      <c r="M101" s="355"/>
    </row>
    <row r="102" spans="1:13" ht="58.5" thickBot="1" x14ac:dyDescent="0.4">
      <c r="A102" s="144" t="s">
        <v>7</v>
      </c>
      <c r="B102" s="175" t="s">
        <v>10</v>
      </c>
      <c r="C102" s="176" t="s">
        <v>50</v>
      </c>
      <c r="D102" s="177" t="s">
        <v>77</v>
      </c>
      <c r="E102" s="178" t="s">
        <v>82</v>
      </c>
      <c r="F102" s="178" t="s">
        <v>78</v>
      </c>
      <c r="G102" s="179" t="s">
        <v>79</v>
      </c>
      <c r="H102" s="180" t="s">
        <v>11</v>
      </c>
      <c r="I102" s="181" t="s">
        <v>12</v>
      </c>
      <c r="J102" s="181" t="s">
        <v>13</v>
      </c>
      <c r="K102" s="182" t="s">
        <v>14</v>
      </c>
      <c r="L102" s="180" t="s">
        <v>84</v>
      </c>
      <c r="M102" s="182" t="s">
        <v>85</v>
      </c>
    </row>
    <row r="103" spans="1:13" x14ac:dyDescent="0.35">
      <c r="A103" s="164" t="s">
        <v>151</v>
      </c>
      <c r="B103" s="132">
        <v>20</v>
      </c>
      <c r="C103" s="159">
        <v>98401.55</v>
      </c>
      <c r="D103" s="159">
        <v>98401</v>
      </c>
      <c r="E103" s="160" t="s">
        <v>45</v>
      </c>
      <c r="F103" s="160">
        <v>17511</v>
      </c>
      <c r="G103" s="160">
        <f>D103+F103</f>
        <v>115912</v>
      </c>
      <c r="H103" s="160">
        <f>560*12</f>
        <v>6720</v>
      </c>
      <c r="I103" s="160">
        <f t="shared" ref="I103:I106" si="8">H103*20</f>
        <v>134400</v>
      </c>
      <c r="J103" s="160">
        <f>21400+37480</f>
        <v>58880</v>
      </c>
      <c r="K103" s="160">
        <f>I103+J103</f>
        <v>193280</v>
      </c>
      <c r="L103" s="197">
        <v>1.5100000000000001E-2</v>
      </c>
      <c r="M103" s="184">
        <v>3.3500000000000002E-2</v>
      </c>
    </row>
    <row r="104" spans="1:13" x14ac:dyDescent="0.35">
      <c r="A104" s="164" t="s">
        <v>67</v>
      </c>
      <c r="B104" s="132">
        <v>20</v>
      </c>
      <c r="C104" s="159">
        <v>100000</v>
      </c>
      <c r="D104" s="160">
        <v>100000</v>
      </c>
      <c r="E104" s="160" t="s">
        <v>45</v>
      </c>
      <c r="F104" s="160">
        <v>6000</v>
      </c>
      <c r="G104" s="160">
        <f>D104+F104</f>
        <v>106000</v>
      </c>
      <c r="H104" s="160">
        <f>522*12</f>
        <v>6264</v>
      </c>
      <c r="I104" s="160">
        <f t="shared" si="8"/>
        <v>125280</v>
      </c>
      <c r="J104" s="160">
        <v>92760</v>
      </c>
      <c r="K104" s="160">
        <f>I104+J104</f>
        <v>218040</v>
      </c>
      <c r="L104" s="193">
        <v>1.09E-2</v>
      </c>
      <c r="M104" s="194">
        <v>3.9100000000000003E-2</v>
      </c>
    </row>
    <row r="105" spans="1:13" x14ac:dyDescent="0.35">
      <c r="A105" s="164" t="s">
        <v>27</v>
      </c>
      <c r="B105" s="165">
        <v>20</v>
      </c>
      <c r="C105" s="159">
        <v>98895.15</v>
      </c>
      <c r="D105" s="160">
        <f>C105</f>
        <v>98895.15</v>
      </c>
      <c r="E105" s="160" t="s">
        <v>45</v>
      </c>
      <c r="F105" s="160">
        <v>4221</v>
      </c>
      <c r="G105" s="160">
        <f>D105+F105</f>
        <v>103116.15</v>
      </c>
      <c r="H105" s="160">
        <f>450*12</f>
        <v>5400</v>
      </c>
      <c r="I105" s="160">
        <f t="shared" si="8"/>
        <v>108000</v>
      </c>
      <c r="J105" s="160">
        <v>76696</v>
      </c>
      <c r="K105" s="160">
        <f>I105+J105</f>
        <v>184696</v>
      </c>
      <c r="L105" s="166">
        <v>4.1999999999999997E-3</v>
      </c>
      <c r="M105" s="184">
        <v>3.0800000000000001E-2</v>
      </c>
    </row>
    <row r="106" spans="1:13" ht="15" thickBot="1" x14ac:dyDescent="0.4">
      <c r="A106" s="168" t="s">
        <v>54</v>
      </c>
      <c r="B106" s="169">
        <v>20</v>
      </c>
      <c r="C106" s="170">
        <v>100001.1</v>
      </c>
      <c r="D106" s="170">
        <f>C106</f>
        <v>100001.1</v>
      </c>
      <c r="E106" s="170" t="s">
        <v>45</v>
      </c>
      <c r="F106" s="170">
        <v>5000</v>
      </c>
      <c r="G106" s="170">
        <f>D106+F106</f>
        <v>105001.1</v>
      </c>
      <c r="H106" s="170">
        <f>427.24*12</f>
        <v>5126.88</v>
      </c>
      <c r="I106" s="170">
        <f t="shared" si="8"/>
        <v>102537.60000000001</v>
      </c>
      <c r="J106" s="170">
        <v>95042</v>
      </c>
      <c r="K106" s="170">
        <f>I106+J106</f>
        <v>197579.6</v>
      </c>
      <c r="L106" s="195">
        <v>1.1999999999999999E-3</v>
      </c>
      <c r="M106" s="196">
        <v>3.39E-2</v>
      </c>
    </row>
    <row r="107" spans="1:13" x14ac:dyDescent="0.35">
      <c r="A107" s="135" t="s">
        <v>88</v>
      </c>
      <c r="B107" s="132"/>
      <c r="C107" s="159"/>
      <c r="D107" s="159"/>
      <c r="E107" s="159"/>
      <c r="F107" s="159"/>
      <c r="G107" s="159"/>
      <c r="H107" s="159"/>
      <c r="I107" s="159"/>
      <c r="J107" s="159"/>
    </row>
    <row r="108" spans="1:13" x14ac:dyDescent="0.35">
      <c r="A108" s="131" t="s">
        <v>144</v>
      </c>
      <c r="B108" s="132"/>
      <c r="C108" s="159"/>
      <c r="D108" s="159"/>
      <c r="E108" s="159"/>
      <c r="F108" s="159"/>
      <c r="G108" s="159"/>
      <c r="H108" s="159"/>
      <c r="I108" s="159"/>
      <c r="J108" s="159"/>
    </row>
    <row r="109" spans="1:13" x14ac:dyDescent="0.35">
      <c r="A109" s="131" t="s">
        <v>143</v>
      </c>
      <c r="B109" s="132"/>
      <c r="C109" s="159"/>
      <c r="D109" s="159"/>
      <c r="E109" s="159"/>
      <c r="F109" s="159"/>
      <c r="G109" s="159"/>
      <c r="H109" s="159"/>
      <c r="I109" s="159"/>
      <c r="J109" s="159"/>
    </row>
  </sheetData>
  <sheetProtection algorithmName="SHA-512" hashValue="sP8X09CwGG3PCGi5JVoO3EMmxCOHR+Ta0bFXTNwYiMIiHAxgu2LqL5D8xQLykcFsPoZEvZnlSatzQOlRavXcNQ==" saltValue="1Nwx8arDUnE6pWpfI4VarA==" spinCount="100000" sheet="1" objects="1" scenarios="1" selectLockedCells="1" autoFilter="0" selectUnlockedCells="1"/>
  <mergeCells count="21">
    <mergeCell ref="D101:G101"/>
    <mergeCell ref="H101:M101"/>
    <mergeCell ref="D77:G77"/>
    <mergeCell ref="H77:M77"/>
    <mergeCell ref="D89:G89"/>
    <mergeCell ref="H89:M89"/>
    <mergeCell ref="O5:O6"/>
    <mergeCell ref="O7:O33"/>
    <mergeCell ref="D16:G16"/>
    <mergeCell ref="H16:M16"/>
    <mergeCell ref="D28:G28"/>
    <mergeCell ref="H28:M28"/>
    <mergeCell ref="D41:G41"/>
    <mergeCell ref="H41:M41"/>
    <mergeCell ref="L99:M100"/>
    <mergeCell ref="D4:G4"/>
    <mergeCell ref="H4:M4"/>
    <mergeCell ref="D53:G53"/>
    <mergeCell ref="H53:M53"/>
    <mergeCell ref="D65:G65"/>
    <mergeCell ref="H65:M65"/>
  </mergeCells>
  <conditionalFormatting sqref="L6">
    <cfRule type="top10" dxfId="212" priority="7" rank="1"/>
  </conditionalFormatting>
  <conditionalFormatting sqref="L18">
    <cfRule type="top10" dxfId="211" priority="8" rank="1"/>
  </conditionalFormatting>
  <conditionalFormatting sqref="L30">
    <cfRule type="top10" dxfId="210" priority="9" rank="1"/>
  </conditionalFormatting>
  <conditionalFormatting sqref="L43">
    <cfRule type="top10" dxfId="209" priority="10" rank="1"/>
  </conditionalFormatting>
  <conditionalFormatting sqref="L55">
    <cfRule type="top10" dxfId="208" priority="11" rank="1"/>
  </conditionalFormatting>
  <conditionalFormatting sqref="L67:L70">
    <cfRule type="top10" dxfId="207" priority="13" rank="1"/>
  </conditionalFormatting>
  <conditionalFormatting sqref="L79:L82">
    <cfRule type="top10" dxfId="206" priority="6" rank="1"/>
  </conditionalFormatting>
  <conditionalFormatting sqref="L91:L94">
    <cfRule type="top10" dxfId="205" priority="4" rank="1"/>
  </conditionalFormatting>
  <conditionalFormatting sqref="L103:L106">
    <cfRule type="top10" dxfId="204" priority="2" rank="1"/>
  </conditionalFormatting>
  <conditionalFormatting sqref="M56:M61">
    <cfRule type="top10" dxfId="203" priority="14" rank="1"/>
  </conditionalFormatting>
  <conditionalFormatting sqref="M67:M70">
    <cfRule type="top10" dxfId="202" priority="12" rank="1"/>
  </conditionalFormatting>
  <conditionalFormatting sqref="M79:M82">
    <cfRule type="top10" dxfId="201" priority="5" rank="1"/>
  </conditionalFormatting>
  <conditionalFormatting sqref="M91:M94">
    <cfRule type="top10" dxfId="200" priority="3" rank="1"/>
  </conditionalFormatting>
  <conditionalFormatting sqref="M103:M106">
    <cfRule type="top10" dxfId="199" priority="1" rank="1"/>
  </conditionalFormatting>
  <printOptions horizontalCentered="1" verticalCentered="1"/>
  <pageMargins left="0" right="0" top="0" bottom="0" header="0" footer="0"/>
  <pageSetup paperSize="9" scale="45" orientation="landscape" r:id="rId1"/>
  <headerFooter>
    <oddFooter>&amp;L_x000D_&amp;1#&amp;"Calibri"&amp;8&amp;K0000FF Internal</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O73"/>
  <sheetViews>
    <sheetView showGridLines="0" zoomScale="70" zoomScaleNormal="70" workbookViewId="0">
      <selection activeCell="E74" sqref="E74"/>
    </sheetView>
  </sheetViews>
  <sheetFormatPr defaultColWidth="9.1796875" defaultRowHeight="14.5" x14ac:dyDescent="0.35"/>
  <cols>
    <col min="1" max="1" width="29.54296875" style="1" customWidth="1"/>
    <col min="2" max="2" width="12.1796875" style="1" bestFit="1" customWidth="1"/>
    <col min="3" max="3" width="12.81640625" style="1" customWidth="1"/>
    <col min="4" max="4" width="16.453125" style="1" customWidth="1"/>
    <col min="5" max="5" width="21.54296875" style="11" bestFit="1" customWidth="1"/>
    <col min="6" max="6" width="16.1796875" style="1" customWidth="1"/>
    <col min="7" max="7" width="13.453125" style="1" bestFit="1" customWidth="1"/>
    <col min="8" max="8" width="11.81640625" style="1" customWidth="1"/>
    <col min="9" max="9" width="13.453125" style="1" bestFit="1" customWidth="1"/>
    <col min="10" max="10" width="13.81640625" style="1" customWidth="1"/>
    <col min="11" max="11" width="17.54296875" style="1" bestFit="1" customWidth="1"/>
    <col min="12" max="12" width="15.54296875" style="1" customWidth="1"/>
    <col min="13" max="13" width="17.1796875" style="1" customWidth="1"/>
    <col min="14" max="14" width="9.81640625" style="1" customWidth="1"/>
    <col min="15" max="15" width="68.1796875" style="6" customWidth="1"/>
    <col min="16" max="16" width="29.453125" style="1" customWidth="1"/>
    <col min="17" max="17" width="11.81640625" style="1" bestFit="1" customWidth="1"/>
    <col min="18" max="18" width="13.1796875" style="1" bestFit="1" customWidth="1"/>
    <col min="19" max="19" width="11.54296875" style="1" customWidth="1"/>
    <col min="20" max="20" width="12" style="1" customWidth="1"/>
    <col min="21" max="21" width="10" style="1" bestFit="1" customWidth="1"/>
    <col min="22" max="22" width="11.453125" style="1" customWidth="1"/>
    <col min="23" max="23" width="12.453125" style="1" customWidth="1"/>
    <col min="24" max="24" width="11.453125" style="1" customWidth="1"/>
    <col min="25" max="25" width="10" style="1" bestFit="1" customWidth="1"/>
    <col min="26" max="26" width="20.54296875" style="1" customWidth="1"/>
    <col min="27" max="16384" width="9.1796875" style="1"/>
  </cols>
  <sheetData>
    <row r="2" spans="1:15" ht="14.5" customHeight="1" x14ac:dyDescent="0.35">
      <c r="A2" s="4" t="s">
        <v>102</v>
      </c>
      <c r="B2" s="4"/>
      <c r="C2" s="5"/>
      <c r="D2" s="5"/>
      <c r="E2" s="45"/>
      <c r="F2" s="5"/>
      <c r="G2" s="5"/>
      <c r="H2" s="5"/>
      <c r="I2" s="28" t="s">
        <v>17</v>
      </c>
      <c r="J2" s="29" t="s">
        <v>18</v>
      </c>
      <c r="K2" s="5"/>
      <c r="L2" s="35"/>
      <c r="M2" s="35"/>
      <c r="N2" s="5"/>
    </row>
    <row r="3" spans="1:15" ht="15" thickBot="1" x14ac:dyDescent="0.4">
      <c r="A3" s="4" t="s">
        <v>101</v>
      </c>
      <c r="B3" s="4"/>
      <c r="C3" s="5"/>
      <c r="D3" s="5"/>
      <c r="E3" s="45"/>
      <c r="F3" s="5"/>
      <c r="G3" s="5"/>
      <c r="H3" s="5"/>
      <c r="I3" s="4"/>
      <c r="J3" s="4"/>
      <c r="K3" s="5"/>
      <c r="L3" s="35"/>
      <c r="M3" s="35"/>
      <c r="N3" s="5"/>
    </row>
    <row r="4" spans="1:15" ht="15" thickBot="1" x14ac:dyDescent="0.4">
      <c r="A4" s="85"/>
      <c r="B4" s="86"/>
      <c r="C4" s="86"/>
      <c r="D4" s="369" t="s">
        <v>80</v>
      </c>
      <c r="E4" s="370"/>
      <c r="F4" s="370"/>
      <c r="G4" s="371"/>
      <c r="H4" s="372" t="s">
        <v>81</v>
      </c>
      <c r="I4" s="373"/>
      <c r="J4" s="373"/>
      <c r="K4" s="373"/>
      <c r="L4" s="373"/>
      <c r="M4" s="374"/>
      <c r="N4" s="4"/>
    </row>
    <row r="5" spans="1:15" s="8" customFormat="1" ht="44" thickBot="1" x14ac:dyDescent="0.4">
      <c r="A5" s="38" t="s">
        <v>7</v>
      </c>
      <c r="B5" s="39" t="s">
        <v>10</v>
      </c>
      <c r="C5" s="89" t="s">
        <v>50</v>
      </c>
      <c r="D5" s="90" t="s">
        <v>77</v>
      </c>
      <c r="E5" s="87" t="s">
        <v>82</v>
      </c>
      <c r="F5" s="87" t="s">
        <v>78</v>
      </c>
      <c r="G5" s="88" t="s">
        <v>79</v>
      </c>
      <c r="H5" s="92" t="s">
        <v>11</v>
      </c>
      <c r="I5" s="31" t="s">
        <v>12</v>
      </c>
      <c r="J5" s="31" t="s">
        <v>13</v>
      </c>
      <c r="K5" s="93" t="s">
        <v>14</v>
      </c>
      <c r="L5" s="92" t="s">
        <v>84</v>
      </c>
      <c r="M5" s="93" t="s">
        <v>85</v>
      </c>
      <c r="N5" s="7"/>
      <c r="O5" s="375" t="s">
        <v>15</v>
      </c>
    </row>
    <row r="6" spans="1:15" ht="15" thickBot="1" x14ac:dyDescent="0.4">
      <c r="A6" s="13" t="s">
        <v>71</v>
      </c>
      <c r="B6" s="65">
        <v>20</v>
      </c>
      <c r="C6" s="66">
        <v>97030</v>
      </c>
      <c r="D6" s="66">
        <v>112554</v>
      </c>
      <c r="E6" s="67" t="s">
        <v>45</v>
      </c>
      <c r="F6" s="67">
        <v>81625</v>
      </c>
      <c r="G6" s="67">
        <f>D6+F6</f>
        <v>194179</v>
      </c>
      <c r="H6" s="67">
        <v>12000</v>
      </c>
      <c r="I6" s="67">
        <v>240000</v>
      </c>
      <c r="J6" s="67">
        <f>99840+350160</f>
        <v>450000</v>
      </c>
      <c r="K6" s="67">
        <f>I6+J6</f>
        <v>690000</v>
      </c>
      <c r="L6" s="75">
        <v>1.7999999999999999E-2</v>
      </c>
      <c r="M6" s="98">
        <v>3.9699999999999999E-2</v>
      </c>
      <c r="O6" s="376"/>
    </row>
    <row r="7" spans="1:15" ht="14.9" customHeight="1" x14ac:dyDescent="0.35">
      <c r="A7" s="9" t="s">
        <v>27</v>
      </c>
      <c r="B7" s="11">
        <v>20</v>
      </c>
      <c r="C7" s="46">
        <v>163675</v>
      </c>
      <c r="D7" s="47">
        <v>163675</v>
      </c>
      <c r="E7" s="47" t="s">
        <v>45</v>
      </c>
      <c r="F7" s="47">
        <v>29207</v>
      </c>
      <c r="G7" s="47">
        <f>D7+F7</f>
        <v>192882</v>
      </c>
      <c r="H7" s="47">
        <v>12000</v>
      </c>
      <c r="I7" s="47">
        <v>240000</v>
      </c>
      <c r="J7" s="47">
        <v>933379</v>
      </c>
      <c r="K7" s="47">
        <f>I7+J7</f>
        <v>1173379</v>
      </c>
      <c r="L7" s="48">
        <v>7.4999999999999997E-3</v>
      </c>
      <c r="M7" s="97">
        <v>3.9800000000000002E-2</v>
      </c>
      <c r="O7" s="366" t="s">
        <v>116</v>
      </c>
    </row>
    <row r="8" spans="1:15" ht="15" thickBot="1" x14ac:dyDescent="0.4">
      <c r="A8" s="20" t="s">
        <v>54</v>
      </c>
      <c r="B8" s="24">
        <v>20</v>
      </c>
      <c r="C8" s="50">
        <v>129307.4</v>
      </c>
      <c r="D8" s="50">
        <v>135773</v>
      </c>
      <c r="E8" s="50" t="s">
        <v>45</v>
      </c>
      <c r="F8" s="50">
        <v>42090</v>
      </c>
      <c r="G8" s="50">
        <v>177862</v>
      </c>
      <c r="H8" s="50">
        <v>12000</v>
      </c>
      <c r="I8" s="50">
        <v>240000</v>
      </c>
      <c r="J8" s="50">
        <v>753648</v>
      </c>
      <c r="K8" s="50">
        <f>I8+J8</f>
        <v>993648</v>
      </c>
      <c r="L8" s="76">
        <v>1.23E-2</v>
      </c>
      <c r="M8" s="77">
        <v>4.1399999999999999E-2</v>
      </c>
      <c r="O8" s="367"/>
    </row>
    <row r="9" spans="1:15" x14ac:dyDescent="0.35">
      <c r="A9" s="1" t="s">
        <v>49</v>
      </c>
      <c r="C9" s="10"/>
      <c r="D9" s="10"/>
      <c r="E9" s="46"/>
      <c r="F9" s="10"/>
      <c r="G9" s="10"/>
      <c r="H9" s="10"/>
      <c r="I9" s="10"/>
      <c r="J9" s="10"/>
      <c r="K9" s="10"/>
      <c r="L9" s="12"/>
      <c r="M9" s="12"/>
      <c r="O9" s="367"/>
    </row>
    <row r="10" spans="1:15" x14ac:dyDescent="0.35">
      <c r="A10" s="1" t="s">
        <v>90</v>
      </c>
      <c r="C10" s="10"/>
      <c r="D10" s="10"/>
      <c r="E10" s="46"/>
      <c r="F10" s="10"/>
      <c r="G10" s="10"/>
      <c r="H10" s="10"/>
      <c r="I10" s="10"/>
      <c r="J10" s="10"/>
      <c r="K10" s="10"/>
      <c r="L10" s="12"/>
      <c r="M10" s="12"/>
      <c r="O10" s="367"/>
    </row>
    <row r="11" spans="1:15" x14ac:dyDescent="0.35">
      <c r="A11" s="1" t="s">
        <v>103</v>
      </c>
      <c r="C11" s="10"/>
      <c r="D11" s="10"/>
      <c r="E11" s="46"/>
      <c r="F11" s="10"/>
      <c r="G11" s="10"/>
      <c r="H11" s="10"/>
      <c r="I11" s="10"/>
      <c r="J11" s="10"/>
      <c r="K11" s="10"/>
      <c r="L11" s="12"/>
      <c r="M11" s="12"/>
      <c r="O11" s="367"/>
    </row>
    <row r="12" spans="1:15" x14ac:dyDescent="0.35">
      <c r="A12" s="1" t="s">
        <v>126</v>
      </c>
      <c r="C12" s="10"/>
      <c r="D12" s="10"/>
      <c r="E12" s="46"/>
      <c r="F12" s="10"/>
      <c r="G12" s="10"/>
      <c r="H12" s="10"/>
      <c r="I12" s="10"/>
      <c r="J12" s="10"/>
      <c r="K12" s="10"/>
      <c r="L12" s="12"/>
      <c r="M12" s="12"/>
      <c r="O12" s="367"/>
    </row>
    <row r="13" spans="1:15" x14ac:dyDescent="0.35">
      <c r="C13" s="10"/>
      <c r="D13" s="10"/>
      <c r="E13" s="46"/>
      <c r="F13" s="10"/>
      <c r="G13" s="10"/>
      <c r="H13" s="10"/>
      <c r="I13" s="10"/>
      <c r="J13" s="10"/>
      <c r="K13" s="10"/>
      <c r="L13" s="12"/>
      <c r="M13" s="12"/>
      <c r="O13" s="367"/>
    </row>
    <row r="14" spans="1:15" ht="14.5" customHeight="1" x14ac:dyDescent="0.35">
      <c r="A14" s="4" t="s">
        <v>74</v>
      </c>
      <c r="B14" s="4"/>
      <c r="C14" s="5"/>
      <c r="D14" s="5"/>
      <c r="E14" s="45"/>
      <c r="F14" s="5"/>
      <c r="G14" s="5"/>
      <c r="H14" s="5"/>
      <c r="I14" s="28" t="s">
        <v>17</v>
      </c>
      <c r="J14" s="29" t="s">
        <v>18</v>
      </c>
      <c r="K14" s="5"/>
      <c r="L14" s="35"/>
      <c r="M14" s="35"/>
      <c r="N14" s="5"/>
      <c r="O14" s="367"/>
    </row>
    <row r="15" spans="1:15" ht="15" thickBot="1" x14ac:dyDescent="0.4">
      <c r="A15" s="4" t="s">
        <v>94</v>
      </c>
      <c r="B15" s="4"/>
      <c r="C15" s="5"/>
      <c r="D15" s="5"/>
      <c r="E15" s="45"/>
      <c r="F15" s="5"/>
      <c r="G15" s="5"/>
      <c r="H15" s="5"/>
      <c r="I15" s="4"/>
      <c r="J15" s="4"/>
      <c r="K15" s="5"/>
      <c r="L15" s="35"/>
      <c r="M15" s="35"/>
      <c r="N15" s="5"/>
      <c r="O15" s="367"/>
    </row>
    <row r="16" spans="1:15" ht="15" thickBot="1" x14ac:dyDescent="0.4">
      <c r="A16" s="85"/>
      <c r="B16" s="86"/>
      <c r="C16" s="86"/>
      <c r="D16" s="369" t="s">
        <v>80</v>
      </c>
      <c r="E16" s="370"/>
      <c r="F16" s="370"/>
      <c r="G16" s="371"/>
      <c r="H16" s="372" t="s">
        <v>81</v>
      </c>
      <c r="I16" s="373"/>
      <c r="J16" s="373"/>
      <c r="K16" s="373"/>
      <c r="L16" s="373"/>
      <c r="M16" s="374"/>
      <c r="N16" s="4"/>
      <c r="O16" s="367"/>
    </row>
    <row r="17" spans="1:15" s="8" customFormat="1" ht="44" thickBot="1" x14ac:dyDescent="0.4">
      <c r="A17" s="38" t="s">
        <v>7</v>
      </c>
      <c r="B17" s="39" t="s">
        <v>10</v>
      </c>
      <c r="C17" s="89" t="s">
        <v>50</v>
      </c>
      <c r="D17" s="90" t="s">
        <v>77</v>
      </c>
      <c r="E17" s="87" t="s">
        <v>82</v>
      </c>
      <c r="F17" s="87" t="s">
        <v>78</v>
      </c>
      <c r="G17" s="88" t="s">
        <v>79</v>
      </c>
      <c r="H17" s="92" t="s">
        <v>11</v>
      </c>
      <c r="I17" s="31" t="s">
        <v>12</v>
      </c>
      <c r="J17" s="31" t="s">
        <v>13</v>
      </c>
      <c r="K17" s="93" t="s">
        <v>14</v>
      </c>
      <c r="L17" s="92" t="s">
        <v>84</v>
      </c>
      <c r="M17" s="93" t="s">
        <v>85</v>
      </c>
      <c r="N17" s="7"/>
      <c r="O17" s="367"/>
    </row>
    <row r="18" spans="1:15" x14ac:dyDescent="0.35">
      <c r="A18" s="13" t="s">
        <v>71</v>
      </c>
      <c r="B18" s="65">
        <v>20</v>
      </c>
      <c r="C18" s="66">
        <v>105949</v>
      </c>
      <c r="D18" s="66">
        <v>120252</v>
      </c>
      <c r="E18" s="67" t="s">
        <v>45</v>
      </c>
      <c r="F18" s="67">
        <v>75132</v>
      </c>
      <c r="G18" s="67">
        <f>D18+F18</f>
        <v>195384</v>
      </c>
      <c r="H18" s="67">
        <v>12000</v>
      </c>
      <c r="I18" s="67">
        <v>240000</v>
      </c>
      <c r="J18" s="67">
        <f>91900+272880</f>
        <v>364780</v>
      </c>
      <c r="K18" s="67">
        <f>I18+J18</f>
        <v>604780</v>
      </c>
      <c r="L18" s="75">
        <v>1.7999999999999999E-2</v>
      </c>
      <c r="M18" s="78">
        <v>3.9100000000000003E-2</v>
      </c>
      <c r="O18" s="367"/>
    </row>
    <row r="19" spans="1:15" x14ac:dyDescent="0.35">
      <c r="A19" s="9" t="s">
        <v>27</v>
      </c>
      <c r="B19" s="11">
        <v>20</v>
      </c>
      <c r="C19" s="46">
        <v>173723</v>
      </c>
      <c r="D19" s="46">
        <v>173723</v>
      </c>
      <c r="E19" s="46" t="s">
        <v>45</v>
      </c>
      <c r="F19" s="46">
        <v>26972</v>
      </c>
      <c r="G19" s="47">
        <v>200696</v>
      </c>
      <c r="H19" s="46">
        <v>12000</v>
      </c>
      <c r="I19" s="46">
        <v>240000</v>
      </c>
      <c r="J19" s="46">
        <v>740018</v>
      </c>
      <c r="K19" s="46">
        <f>J19+I19</f>
        <v>980018</v>
      </c>
      <c r="L19" s="48">
        <v>7.0000000000000001E-3</v>
      </c>
      <c r="M19" s="49">
        <v>3.8800000000000001E-2</v>
      </c>
      <c r="O19" s="367"/>
    </row>
    <row r="20" spans="1:15" ht="15" thickBot="1" x14ac:dyDescent="0.4">
      <c r="A20" s="20" t="s">
        <v>54</v>
      </c>
      <c r="B20" s="24">
        <v>20</v>
      </c>
      <c r="C20" s="50">
        <v>142049.1</v>
      </c>
      <c r="D20" s="50">
        <v>149152</v>
      </c>
      <c r="E20" s="50" t="s">
        <v>45</v>
      </c>
      <c r="F20" s="50">
        <v>32813</v>
      </c>
      <c r="G20" s="50">
        <f>D20+F20</f>
        <v>181965</v>
      </c>
      <c r="H20" s="50">
        <v>12000</v>
      </c>
      <c r="I20" s="50">
        <v>240000</v>
      </c>
      <c r="J20" s="50">
        <v>643296</v>
      </c>
      <c r="K20" s="50">
        <f>I20+J20</f>
        <v>883296</v>
      </c>
      <c r="L20" s="76">
        <v>1.15E-2</v>
      </c>
      <c r="M20" s="77">
        <v>4.1200000000000001E-2</v>
      </c>
      <c r="O20" s="367"/>
    </row>
    <row r="21" spans="1:15" x14ac:dyDescent="0.35">
      <c r="A21" s="4" t="s">
        <v>88</v>
      </c>
      <c r="D21" s="2"/>
      <c r="E21" s="51"/>
      <c r="J21" s="2"/>
      <c r="O21" s="367"/>
    </row>
    <row r="22" spans="1:15" x14ac:dyDescent="0.35">
      <c r="A22" s="1" t="s">
        <v>90</v>
      </c>
      <c r="D22" s="2"/>
      <c r="E22" s="51"/>
      <c r="J22" s="2"/>
      <c r="O22" s="367"/>
    </row>
    <row r="23" spans="1:15" x14ac:dyDescent="0.35">
      <c r="A23" s="1" t="s">
        <v>99</v>
      </c>
      <c r="D23" s="2"/>
      <c r="E23" s="51"/>
      <c r="J23" s="2"/>
      <c r="O23" s="367"/>
    </row>
    <row r="24" spans="1:15" x14ac:dyDescent="0.35">
      <c r="A24" s="1" t="s">
        <v>126</v>
      </c>
      <c r="D24" s="2"/>
      <c r="E24" s="51"/>
      <c r="J24" s="2"/>
      <c r="O24" s="367"/>
    </row>
    <row r="25" spans="1:15" x14ac:dyDescent="0.35">
      <c r="D25" s="2"/>
      <c r="E25" s="51"/>
      <c r="J25" s="2"/>
      <c r="O25" s="367"/>
    </row>
    <row r="26" spans="1:15" ht="14.5" customHeight="1" x14ac:dyDescent="0.35">
      <c r="A26" s="4" t="s">
        <v>73</v>
      </c>
      <c r="B26" s="4"/>
      <c r="C26" s="5"/>
      <c r="D26" s="5"/>
      <c r="E26" s="45"/>
      <c r="F26" s="5"/>
      <c r="G26" s="5"/>
      <c r="H26" s="5"/>
      <c r="I26" s="28" t="s">
        <v>17</v>
      </c>
      <c r="J26" s="29" t="s">
        <v>18</v>
      </c>
      <c r="K26" s="5"/>
      <c r="L26" s="95"/>
      <c r="M26" s="95"/>
      <c r="O26" s="367"/>
    </row>
    <row r="27" spans="1:15" ht="15" thickBot="1" x14ac:dyDescent="0.4">
      <c r="A27" s="4" t="s">
        <v>93</v>
      </c>
      <c r="B27" s="4"/>
      <c r="C27" s="5"/>
      <c r="D27" s="5"/>
      <c r="E27" s="45"/>
      <c r="F27" s="5"/>
      <c r="G27" s="5"/>
      <c r="H27" s="5"/>
      <c r="I27" s="4"/>
      <c r="J27" s="4"/>
      <c r="K27" s="5"/>
      <c r="L27" s="95"/>
      <c r="M27" s="95"/>
      <c r="O27" s="367"/>
    </row>
    <row r="28" spans="1:15" ht="15" thickBot="1" x14ac:dyDescent="0.4">
      <c r="A28" s="85"/>
      <c r="B28" s="86"/>
      <c r="C28" s="86"/>
      <c r="D28" s="369" t="s">
        <v>80</v>
      </c>
      <c r="E28" s="370"/>
      <c r="F28" s="370"/>
      <c r="G28" s="371"/>
      <c r="H28" s="372" t="s">
        <v>81</v>
      </c>
      <c r="I28" s="373"/>
      <c r="J28" s="373"/>
      <c r="K28" s="373"/>
      <c r="L28" s="373"/>
      <c r="M28" s="374"/>
      <c r="O28" s="367"/>
    </row>
    <row r="29" spans="1:15" ht="44" thickBot="1" x14ac:dyDescent="0.4">
      <c r="A29" s="38" t="s">
        <v>7</v>
      </c>
      <c r="B29" s="39" t="s">
        <v>10</v>
      </c>
      <c r="C29" s="89" t="s">
        <v>50</v>
      </c>
      <c r="D29" s="90" t="s">
        <v>77</v>
      </c>
      <c r="E29" s="87" t="s">
        <v>82</v>
      </c>
      <c r="F29" s="87" t="s">
        <v>78</v>
      </c>
      <c r="G29" s="88" t="s">
        <v>79</v>
      </c>
      <c r="H29" s="92" t="s">
        <v>11</v>
      </c>
      <c r="I29" s="31" t="s">
        <v>12</v>
      </c>
      <c r="J29" s="31" t="s">
        <v>13</v>
      </c>
      <c r="K29" s="93" t="s">
        <v>14</v>
      </c>
      <c r="L29" s="92" t="s">
        <v>84</v>
      </c>
      <c r="M29" s="93" t="s">
        <v>85</v>
      </c>
      <c r="N29" s="34"/>
      <c r="O29" s="367"/>
    </row>
    <row r="30" spans="1:15" x14ac:dyDescent="0.35">
      <c r="A30" s="13" t="s">
        <v>71</v>
      </c>
      <c r="B30" s="65">
        <v>20</v>
      </c>
      <c r="C30" s="66">
        <v>116202</v>
      </c>
      <c r="D30" s="67">
        <v>128984</v>
      </c>
      <c r="E30" s="67" t="s">
        <v>45</v>
      </c>
      <c r="F30" s="67">
        <v>68155</v>
      </c>
      <c r="G30" s="67">
        <f>D30+F30</f>
        <v>197139</v>
      </c>
      <c r="H30" s="67">
        <v>12000</v>
      </c>
      <c r="I30" s="67">
        <v>240000</v>
      </c>
      <c r="J30" s="67">
        <f>83360+222720</f>
        <v>306080</v>
      </c>
      <c r="K30" s="67">
        <f>I30+J30</f>
        <v>546080</v>
      </c>
      <c r="L30" s="75">
        <v>1.7999999999999999E-2</v>
      </c>
      <c r="M30" s="78">
        <v>3.9E-2</v>
      </c>
      <c r="O30" s="367"/>
    </row>
    <row r="31" spans="1:15" x14ac:dyDescent="0.35">
      <c r="A31" s="9" t="s">
        <v>27</v>
      </c>
      <c r="B31" s="11">
        <v>20</v>
      </c>
      <c r="C31" s="46">
        <v>183489</v>
      </c>
      <c r="D31" s="46">
        <v>183489</v>
      </c>
      <c r="E31" s="46" t="s">
        <v>45</v>
      </c>
      <c r="F31" s="47">
        <v>24419</v>
      </c>
      <c r="G31" s="47">
        <f>D31+F31</f>
        <v>207908</v>
      </c>
      <c r="H31" s="47">
        <v>12000</v>
      </c>
      <c r="I31" s="47">
        <v>240000</v>
      </c>
      <c r="J31" s="47">
        <v>612840</v>
      </c>
      <c r="K31" s="47">
        <f>I31+J31</f>
        <v>852840</v>
      </c>
      <c r="L31" s="48">
        <v>6.4999999999999997E-3</v>
      </c>
      <c r="M31" s="49">
        <v>3.8699999999999998E-2</v>
      </c>
      <c r="O31" s="367"/>
    </row>
    <row r="32" spans="1:15" ht="15" thickBot="1" x14ac:dyDescent="0.4">
      <c r="A32" s="20" t="s">
        <v>54</v>
      </c>
      <c r="B32" s="24">
        <v>20</v>
      </c>
      <c r="C32" s="50">
        <v>154563.79999999999</v>
      </c>
      <c r="D32" s="50">
        <v>154563.79999999999</v>
      </c>
      <c r="E32" s="50" t="s">
        <v>45</v>
      </c>
      <c r="F32" s="50">
        <v>24730</v>
      </c>
      <c r="G32" s="50">
        <f>D32+F32</f>
        <v>179293.8</v>
      </c>
      <c r="H32" s="50">
        <v>12000</v>
      </c>
      <c r="I32" s="50">
        <v>240000</v>
      </c>
      <c r="J32" s="50">
        <v>536832</v>
      </c>
      <c r="K32" s="50">
        <f>I32+J32</f>
        <v>776832</v>
      </c>
      <c r="L32" s="76">
        <v>1.0800000000000001E-2</v>
      </c>
      <c r="M32" s="77">
        <v>4.0899999999999999E-2</v>
      </c>
      <c r="O32" s="367"/>
    </row>
    <row r="33" spans="1:15" ht="15" thickBot="1" x14ac:dyDescent="0.4">
      <c r="A33" s="4" t="s">
        <v>88</v>
      </c>
      <c r="D33" s="2"/>
      <c r="E33" s="51"/>
      <c r="J33" s="2"/>
      <c r="O33" s="368"/>
    </row>
    <row r="34" spans="1:15" x14ac:dyDescent="0.35">
      <c r="A34" s="1" t="s">
        <v>90</v>
      </c>
      <c r="D34" s="2"/>
      <c r="E34" s="51"/>
      <c r="J34" s="2"/>
      <c r="O34" s="35"/>
    </row>
    <row r="35" spans="1:15" x14ac:dyDescent="0.35">
      <c r="A35" s="1" t="s">
        <v>92</v>
      </c>
      <c r="D35" s="2"/>
      <c r="E35" s="51"/>
      <c r="J35" s="2"/>
      <c r="O35" s="35"/>
    </row>
    <row r="36" spans="1:15" x14ac:dyDescent="0.35">
      <c r="A36" s="1" t="s">
        <v>126</v>
      </c>
      <c r="D36" s="2"/>
      <c r="E36" s="51"/>
      <c r="J36" s="2"/>
      <c r="O36" s="35"/>
    </row>
    <row r="37" spans="1:15" x14ac:dyDescent="0.35">
      <c r="D37" s="2"/>
      <c r="E37" s="51"/>
      <c r="J37" s="2"/>
      <c r="O37" s="37"/>
    </row>
    <row r="39" spans="1:15" x14ac:dyDescent="0.35">
      <c r="A39" s="4" t="s">
        <v>72</v>
      </c>
      <c r="B39" s="4"/>
      <c r="C39" s="5"/>
      <c r="D39" s="5"/>
      <c r="E39" s="45"/>
      <c r="F39" s="5"/>
      <c r="G39" s="5"/>
      <c r="H39" s="5"/>
      <c r="I39" s="28" t="s">
        <v>17</v>
      </c>
      <c r="J39" s="29" t="s">
        <v>18</v>
      </c>
      <c r="K39" s="5"/>
      <c r="L39" s="95"/>
      <c r="M39" s="95"/>
    </row>
    <row r="40" spans="1:15" ht="15" thickBot="1" x14ac:dyDescent="0.4">
      <c r="A40" s="4" t="s">
        <v>89</v>
      </c>
      <c r="B40" s="4"/>
      <c r="C40" s="5"/>
      <c r="D40" s="5"/>
      <c r="E40" s="45"/>
      <c r="F40" s="5"/>
      <c r="G40" s="5"/>
      <c r="H40" s="5"/>
      <c r="I40" s="4"/>
      <c r="J40" s="4"/>
      <c r="K40" s="5"/>
      <c r="L40" s="95"/>
      <c r="M40" s="95"/>
    </row>
    <row r="41" spans="1:15" ht="15" thickBot="1" x14ac:dyDescent="0.4">
      <c r="A41" s="85"/>
      <c r="B41" s="86"/>
      <c r="C41" s="86"/>
      <c r="D41" s="369" t="s">
        <v>80</v>
      </c>
      <c r="E41" s="370"/>
      <c r="F41" s="370"/>
      <c r="G41" s="371"/>
      <c r="H41" s="372" t="s">
        <v>81</v>
      </c>
      <c r="I41" s="373"/>
      <c r="J41" s="373"/>
      <c r="K41" s="373"/>
      <c r="L41" s="373"/>
      <c r="M41" s="374"/>
    </row>
    <row r="42" spans="1:15" ht="44" thickBot="1" x14ac:dyDescent="0.4">
      <c r="A42" s="38" t="s">
        <v>7</v>
      </c>
      <c r="B42" s="39" t="s">
        <v>10</v>
      </c>
      <c r="C42" s="89" t="s">
        <v>50</v>
      </c>
      <c r="D42" s="90" t="s">
        <v>77</v>
      </c>
      <c r="E42" s="87" t="s">
        <v>82</v>
      </c>
      <c r="F42" s="87" t="s">
        <v>78</v>
      </c>
      <c r="G42" s="88" t="s">
        <v>79</v>
      </c>
      <c r="H42" s="92" t="s">
        <v>11</v>
      </c>
      <c r="I42" s="31" t="s">
        <v>12</v>
      </c>
      <c r="J42" s="31" t="s">
        <v>13</v>
      </c>
      <c r="K42" s="93" t="s">
        <v>14</v>
      </c>
      <c r="L42" s="92" t="s">
        <v>84</v>
      </c>
      <c r="M42" s="93" t="s">
        <v>85</v>
      </c>
    </row>
    <row r="43" spans="1:15" x14ac:dyDescent="0.35">
      <c r="A43" s="13" t="s">
        <v>71</v>
      </c>
      <c r="B43" s="65">
        <v>20</v>
      </c>
      <c r="C43" s="66">
        <v>141106</v>
      </c>
      <c r="D43" s="67">
        <v>153100</v>
      </c>
      <c r="E43" s="67" t="s">
        <v>45</v>
      </c>
      <c r="F43" s="67">
        <v>66702</v>
      </c>
      <c r="G43" s="67">
        <f>D43+F43</f>
        <v>219802</v>
      </c>
      <c r="H43" s="67">
        <v>12000</v>
      </c>
      <c r="I43" s="67">
        <v>240000</v>
      </c>
      <c r="J43" s="67">
        <f>81580+196080</f>
        <v>277660</v>
      </c>
      <c r="K43" s="67">
        <f>I43+J43</f>
        <v>517660</v>
      </c>
      <c r="L43" s="75">
        <v>1.49E-2</v>
      </c>
      <c r="M43" s="68">
        <v>3.7400000000000003E-2</v>
      </c>
    </row>
    <row r="44" spans="1:15" x14ac:dyDescent="0.35">
      <c r="A44" s="9" t="s">
        <v>27</v>
      </c>
      <c r="B44" s="11">
        <v>20</v>
      </c>
      <c r="C44" s="46">
        <v>191894</v>
      </c>
      <c r="D44" s="47">
        <v>191894</v>
      </c>
      <c r="E44" s="47" t="s">
        <v>45</v>
      </c>
      <c r="F44" s="47">
        <v>21247</v>
      </c>
      <c r="G44" s="47">
        <f>D44+F44</f>
        <v>213141</v>
      </c>
      <c r="H44" s="47">
        <v>12000</v>
      </c>
      <c r="I44" s="47">
        <v>240000</v>
      </c>
      <c r="J44" s="47">
        <v>498060</v>
      </c>
      <c r="K44" s="47">
        <f>I44+J44</f>
        <v>738060</v>
      </c>
      <c r="L44" s="48">
        <v>6.1999999999999998E-3</v>
      </c>
      <c r="M44" s="80">
        <v>3.8699999999999998E-2</v>
      </c>
    </row>
    <row r="45" spans="1:15" ht="15" thickBot="1" x14ac:dyDescent="0.4">
      <c r="A45" s="20" t="s">
        <v>54</v>
      </c>
      <c r="B45" s="24">
        <v>20</v>
      </c>
      <c r="C45" s="50">
        <v>166006.39999999999</v>
      </c>
      <c r="D45" s="50">
        <v>166006</v>
      </c>
      <c r="E45" s="50" t="s">
        <v>45</v>
      </c>
      <c r="F45" s="50">
        <v>23241</v>
      </c>
      <c r="G45" s="50">
        <f>D45+F45</f>
        <v>189247</v>
      </c>
      <c r="H45" s="50">
        <v>12000</v>
      </c>
      <c r="I45" s="50">
        <v>240000</v>
      </c>
      <c r="J45" s="50">
        <v>428184</v>
      </c>
      <c r="K45" s="50">
        <f>I45+J45</f>
        <v>668184</v>
      </c>
      <c r="L45" s="76">
        <v>1.04E-2</v>
      </c>
      <c r="M45" s="77">
        <v>4.02E-2</v>
      </c>
    </row>
    <row r="46" spans="1:15" x14ac:dyDescent="0.35">
      <c r="A46" s="4" t="s">
        <v>88</v>
      </c>
      <c r="D46" s="2"/>
      <c r="E46" s="51"/>
      <c r="J46" s="2"/>
      <c r="O46" s="35"/>
    </row>
    <row r="47" spans="1:15" x14ac:dyDescent="0.35">
      <c r="A47" s="1" t="s">
        <v>90</v>
      </c>
      <c r="D47" s="2"/>
      <c r="E47" s="51"/>
      <c r="J47" s="2"/>
      <c r="O47" s="35"/>
    </row>
    <row r="48" spans="1:15" x14ac:dyDescent="0.35">
      <c r="A48" s="1" t="s">
        <v>91</v>
      </c>
      <c r="D48" s="2"/>
      <c r="E48" s="51"/>
      <c r="J48" s="2"/>
      <c r="O48" s="35"/>
    </row>
    <row r="49" spans="1:15" x14ac:dyDescent="0.35">
      <c r="A49" s="1" t="s">
        <v>126</v>
      </c>
      <c r="D49" s="2"/>
      <c r="E49" s="51"/>
      <c r="J49" s="2"/>
      <c r="O49" s="35"/>
    </row>
    <row r="51" spans="1:15" x14ac:dyDescent="0.35">
      <c r="A51" s="4" t="s">
        <v>68</v>
      </c>
      <c r="B51" s="4"/>
      <c r="C51" s="5"/>
      <c r="D51" s="5"/>
      <c r="E51" s="45"/>
      <c r="F51" s="5"/>
      <c r="G51" s="5"/>
      <c r="H51" s="5"/>
      <c r="I51" s="28" t="s">
        <v>17</v>
      </c>
      <c r="J51" s="29" t="s">
        <v>18</v>
      </c>
      <c r="K51" s="5"/>
      <c r="L51" s="35"/>
      <c r="M51" s="35"/>
    </row>
    <row r="52" spans="1:15" ht="15" thickBot="1" x14ac:dyDescent="0.4">
      <c r="A52" s="4" t="s">
        <v>87</v>
      </c>
      <c r="B52" s="4"/>
      <c r="C52" s="5"/>
      <c r="D52" s="5"/>
      <c r="E52" s="45"/>
      <c r="F52" s="5"/>
      <c r="G52" s="5"/>
      <c r="H52" s="5"/>
      <c r="I52" s="4"/>
      <c r="J52" s="4"/>
      <c r="K52" s="5"/>
      <c r="L52" s="35"/>
      <c r="M52" s="35"/>
    </row>
    <row r="53" spans="1:15" ht="15" thickBot="1" x14ac:dyDescent="0.4">
      <c r="A53" s="85"/>
      <c r="B53" s="86"/>
      <c r="C53" s="86"/>
      <c r="D53" s="369" t="s">
        <v>80</v>
      </c>
      <c r="E53" s="370"/>
      <c r="F53" s="370"/>
      <c r="G53" s="371"/>
      <c r="H53" s="372" t="s">
        <v>81</v>
      </c>
      <c r="I53" s="373"/>
      <c r="J53" s="373"/>
      <c r="K53" s="373"/>
      <c r="L53" s="373"/>
      <c r="M53" s="374"/>
    </row>
    <row r="54" spans="1:15" ht="44" thickBot="1" x14ac:dyDescent="0.4">
      <c r="A54" s="38" t="s">
        <v>7</v>
      </c>
      <c r="B54" s="39" t="s">
        <v>10</v>
      </c>
      <c r="C54" s="89" t="s">
        <v>50</v>
      </c>
      <c r="D54" s="90" t="s">
        <v>77</v>
      </c>
      <c r="E54" s="87" t="s">
        <v>82</v>
      </c>
      <c r="F54" s="87" t="s">
        <v>78</v>
      </c>
      <c r="G54" s="88" t="s">
        <v>79</v>
      </c>
      <c r="H54" s="92" t="s">
        <v>11</v>
      </c>
      <c r="I54" s="31" t="s">
        <v>12</v>
      </c>
      <c r="J54" s="31" t="s">
        <v>13</v>
      </c>
      <c r="K54" s="93" t="s">
        <v>14</v>
      </c>
      <c r="L54" s="92" t="s">
        <v>84</v>
      </c>
      <c r="M54" s="93" t="s">
        <v>85</v>
      </c>
    </row>
    <row r="55" spans="1:15" x14ac:dyDescent="0.35">
      <c r="A55" s="13" t="s">
        <v>71</v>
      </c>
      <c r="B55" s="65">
        <v>20</v>
      </c>
      <c r="C55" s="66">
        <v>151842</v>
      </c>
      <c r="D55" s="66">
        <v>160952</v>
      </c>
      <c r="E55" s="67" t="s">
        <v>45</v>
      </c>
      <c r="F55" s="67">
        <v>55735</v>
      </c>
      <c r="G55" s="67">
        <f>D55+F55</f>
        <v>216687</v>
      </c>
      <c r="H55" s="67">
        <v>12000</v>
      </c>
      <c r="I55" s="67">
        <v>240000</v>
      </c>
      <c r="J55" s="67">
        <f>68160+141120</f>
        <v>209280</v>
      </c>
      <c r="K55" s="67">
        <f>I55+J55</f>
        <v>449280</v>
      </c>
      <c r="L55" s="75">
        <v>1.4999999999999999E-2</v>
      </c>
      <c r="M55" s="68">
        <v>3.6299999999999999E-2</v>
      </c>
    </row>
    <row r="56" spans="1:15" x14ac:dyDescent="0.35">
      <c r="A56" s="9" t="s">
        <v>67</v>
      </c>
      <c r="B56" s="8">
        <v>20</v>
      </c>
      <c r="C56" s="46">
        <v>149406</v>
      </c>
      <c r="D56" s="47">
        <v>155618</v>
      </c>
      <c r="E56" s="47" t="s">
        <v>45</v>
      </c>
      <c r="F56" s="47">
        <v>17117</v>
      </c>
      <c r="G56" s="47">
        <f>D56+F56</f>
        <v>172735</v>
      </c>
      <c r="H56" s="47">
        <v>12000</v>
      </c>
      <c r="I56" s="47">
        <v>240002</v>
      </c>
      <c r="J56" s="47">
        <v>302332</v>
      </c>
      <c r="K56" s="47">
        <f>I56+J56</f>
        <v>542334</v>
      </c>
      <c r="L56" s="82">
        <v>1.4200000000000001E-2</v>
      </c>
      <c r="M56" s="79">
        <v>4.2099999999999999E-2</v>
      </c>
    </row>
    <row r="57" spans="1:15" x14ac:dyDescent="0.35">
      <c r="A57" s="9" t="s">
        <v>27</v>
      </c>
      <c r="B57" s="11">
        <v>20</v>
      </c>
      <c r="C57" s="46">
        <v>203684</v>
      </c>
      <c r="D57" s="47">
        <v>203684</v>
      </c>
      <c r="E57" s="47" t="s">
        <v>45</v>
      </c>
      <c r="F57" s="47">
        <v>18035</v>
      </c>
      <c r="G57" s="47">
        <f>D57+F57</f>
        <v>221719</v>
      </c>
      <c r="H57" s="47">
        <v>12000</v>
      </c>
      <c r="I57" s="47">
        <v>240000</v>
      </c>
      <c r="J57" s="47">
        <v>384079</v>
      </c>
      <c r="K57" s="47">
        <f>I57+J57</f>
        <v>624079</v>
      </c>
      <c r="L57" s="48">
        <v>5.3E-3</v>
      </c>
      <c r="M57" s="49">
        <v>3.7400000000000003E-2</v>
      </c>
    </row>
    <row r="58" spans="1:15" ht="15" thickBot="1" x14ac:dyDescent="0.4">
      <c r="A58" s="20" t="s">
        <v>54</v>
      </c>
      <c r="B58" s="24">
        <v>20</v>
      </c>
      <c r="C58" s="50">
        <v>197905.1</v>
      </c>
      <c r="D58" s="50">
        <v>197905</v>
      </c>
      <c r="E58" s="50" t="s">
        <v>45</v>
      </c>
      <c r="F58" s="50">
        <v>21770</v>
      </c>
      <c r="G58" s="50">
        <f>D58+F58</f>
        <v>219675</v>
      </c>
      <c r="H58" s="50">
        <v>12000</v>
      </c>
      <c r="I58" s="50">
        <v>240000</v>
      </c>
      <c r="J58" s="50">
        <v>386760</v>
      </c>
      <c r="K58" s="50">
        <f>I58+J58</f>
        <v>626760</v>
      </c>
      <c r="L58" s="69">
        <v>6.3E-3</v>
      </c>
      <c r="M58" s="81">
        <v>3.8699999999999998E-2</v>
      </c>
    </row>
    <row r="59" spans="1:15" x14ac:dyDescent="0.35">
      <c r="A59" s="4" t="s">
        <v>88</v>
      </c>
      <c r="B59" s="8"/>
      <c r="C59" s="46"/>
      <c r="D59" s="46"/>
      <c r="E59" s="46"/>
      <c r="F59" s="46"/>
      <c r="G59" s="46"/>
      <c r="H59" s="46"/>
      <c r="I59" s="46"/>
      <c r="J59" s="46"/>
      <c r="K59" s="46"/>
      <c r="L59" s="48"/>
      <c r="M59" s="83"/>
    </row>
    <row r="60" spans="1:15" x14ac:dyDescent="0.35">
      <c r="A60" s="1" t="s">
        <v>100</v>
      </c>
      <c r="B60" s="8"/>
      <c r="C60" s="46"/>
      <c r="D60" s="46"/>
      <c r="E60" s="46"/>
      <c r="F60" s="46"/>
      <c r="G60" s="46"/>
      <c r="H60" s="46"/>
      <c r="I60" s="46"/>
      <c r="J60" s="46"/>
      <c r="K60" s="46"/>
      <c r="L60" s="48"/>
      <c r="M60" s="83"/>
    </row>
    <row r="61" spans="1:15" x14ac:dyDescent="0.35">
      <c r="A61" s="1" t="s">
        <v>127</v>
      </c>
      <c r="B61" s="8"/>
      <c r="C61" s="46"/>
      <c r="D61" s="46"/>
      <c r="E61" s="46"/>
      <c r="F61" s="46"/>
      <c r="G61" s="46"/>
      <c r="H61" s="46"/>
      <c r="I61" s="46"/>
      <c r="J61" s="46"/>
      <c r="K61" s="46"/>
      <c r="L61" s="48"/>
      <c r="M61" s="83"/>
    </row>
    <row r="63" spans="1:15" x14ac:dyDescent="0.35">
      <c r="A63" s="4" t="s">
        <v>69</v>
      </c>
      <c r="B63" s="4"/>
      <c r="C63" s="5"/>
      <c r="D63" s="5"/>
      <c r="E63" s="45"/>
      <c r="F63" s="5"/>
      <c r="G63" s="5"/>
      <c r="H63" s="5"/>
      <c r="I63" s="28" t="s">
        <v>17</v>
      </c>
      <c r="J63" s="29" t="s">
        <v>18</v>
      </c>
      <c r="K63" s="5"/>
      <c r="L63" s="95"/>
      <c r="M63" s="95"/>
    </row>
    <row r="64" spans="1:15" ht="15" thickBot="1" x14ac:dyDescent="0.4">
      <c r="A64" s="4" t="s">
        <v>86</v>
      </c>
      <c r="B64" s="4"/>
      <c r="C64" s="5"/>
      <c r="D64" s="5"/>
      <c r="E64" s="45"/>
      <c r="F64" s="5"/>
      <c r="G64" s="5"/>
      <c r="H64" s="5"/>
      <c r="I64" s="4"/>
      <c r="J64" s="4"/>
      <c r="K64" s="5"/>
      <c r="L64" s="95"/>
      <c r="M64" s="95"/>
    </row>
    <row r="65" spans="1:13" ht="15" thickBot="1" x14ac:dyDescent="0.4">
      <c r="A65" s="85"/>
      <c r="B65" s="86"/>
      <c r="C65" s="86"/>
      <c r="D65" s="369" t="s">
        <v>80</v>
      </c>
      <c r="E65" s="370"/>
      <c r="F65" s="370"/>
      <c r="G65" s="371"/>
      <c r="H65" s="372" t="s">
        <v>81</v>
      </c>
      <c r="I65" s="373"/>
      <c r="J65" s="373"/>
      <c r="K65" s="373"/>
      <c r="L65" s="373"/>
      <c r="M65" s="374"/>
    </row>
    <row r="66" spans="1:13" ht="44" thickBot="1" x14ac:dyDescent="0.4">
      <c r="A66" s="38" t="s">
        <v>7</v>
      </c>
      <c r="B66" s="39" t="s">
        <v>10</v>
      </c>
      <c r="C66" s="89" t="s">
        <v>50</v>
      </c>
      <c r="D66" s="90" t="s">
        <v>77</v>
      </c>
      <c r="E66" s="87" t="s">
        <v>82</v>
      </c>
      <c r="F66" s="87" t="s">
        <v>78</v>
      </c>
      <c r="G66" s="88" t="s">
        <v>79</v>
      </c>
      <c r="H66" s="92" t="s">
        <v>11</v>
      </c>
      <c r="I66" s="31" t="s">
        <v>12</v>
      </c>
      <c r="J66" s="31" t="s">
        <v>13</v>
      </c>
      <c r="K66" s="93" t="s">
        <v>14</v>
      </c>
      <c r="L66" s="92" t="s">
        <v>84</v>
      </c>
      <c r="M66" s="93" t="s">
        <v>85</v>
      </c>
    </row>
    <row r="67" spans="1:13" x14ac:dyDescent="0.35">
      <c r="A67" s="9" t="s">
        <v>71</v>
      </c>
      <c r="B67" s="8">
        <v>20</v>
      </c>
      <c r="C67" s="46">
        <v>163386</v>
      </c>
      <c r="D67" s="46">
        <v>169104</v>
      </c>
      <c r="E67" s="47" t="s">
        <v>45</v>
      </c>
      <c r="F67" s="47">
        <v>43948</v>
      </c>
      <c r="G67" s="47">
        <f>D67+F67</f>
        <v>213052</v>
      </c>
      <c r="H67" s="47">
        <v>12000</v>
      </c>
      <c r="I67" s="47">
        <v>240000</v>
      </c>
      <c r="J67" s="47">
        <f>53740+97200</f>
        <v>150940</v>
      </c>
      <c r="K67" s="47">
        <f>I67+J67</f>
        <v>390940</v>
      </c>
      <c r="L67" s="83">
        <v>1.4999999999999999E-2</v>
      </c>
      <c r="M67" s="49">
        <v>3.4799999999999998E-2</v>
      </c>
    </row>
    <row r="68" spans="1:13" x14ac:dyDescent="0.35">
      <c r="A68" s="9" t="s">
        <v>67</v>
      </c>
      <c r="B68" s="8">
        <v>20</v>
      </c>
      <c r="C68" s="46">
        <v>169091</v>
      </c>
      <c r="D68" s="47">
        <v>169091</v>
      </c>
      <c r="E68" s="47" t="s">
        <v>45</v>
      </c>
      <c r="F68" s="47">
        <v>13527</v>
      </c>
      <c r="G68" s="47">
        <f>D68+F68</f>
        <v>182618</v>
      </c>
      <c r="H68" s="47">
        <v>12000</v>
      </c>
      <c r="I68" s="47">
        <v>240002</v>
      </c>
      <c r="J68" s="47">
        <v>210902</v>
      </c>
      <c r="K68" s="47">
        <f>I68+J68</f>
        <v>450904</v>
      </c>
      <c r="L68" s="82">
        <v>1.37E-2</v>
      </c>
      <c r="M68" s="79">
        <v>3.95E-2</v>
      </c>
    </row>
    <row r="69" spans="1:13" x14ac:dyDescent="0.35">
      <c r="A69" s="9" t="s">
        <v>27</v>
      </c>
      <c r="B69" s="11">
        <v>20</v>
      </c>
      <c r="C69" s="46">
        <v>210388</v>
      </c>
      <c r="D69" s="47">
        <v>210388</v>
      </c>
      <c r="E69" s="47" t="s">
        <v>45</v>
      </c>
      <c r="F69" s="47">
        <v>14031</v>
      </c>
      <c r="G69" s="47">
        <f>D69+F69</f>
        <v>224419</v>
      </c>
      <c r="H69" s="47">
        <v>12000</v>
      </c>
      <c r="I69" s="47">
        <v>240000</v>
      </c>
      <c r="J69" s="47">
        <v>267458</v>
      </c>
      <c r="K69" s="47">
        <f>I69+J69</f>
        <v>507458</v>
      </c>
      <c r="L69" s="48">
        <v>5.0000000000000001E-3</v>
      </c>
      <c r="M69" s="49">
        <v>3.5099999999999999E-2</v>
      </c>
    </row>
    <row r="70" spans="1:13" ht="15" thickBot="1" x14ac:dyDescent="0.4">
      <c r="A70" s="20" t="s">
        <v>54</v>
      </c>
      <c r="B70" s="24">
        <v>20</v>
      </c>
      <c r="C70" s="50">
        <v>218676.9</v>
      </c>
      <c r="D70" s="50">
        <v>218677</v>
      </c>
      <c r="E70" s="50" t="s">
        <v>45</v>
      </c>
      <c r="F70" s="50">
        <v>17494</v>
      </c>
      <c r="G70" s="50">
        <f>D70+F70</f>
        <v>236171</v>
      </c>
      <c r="H70" s="50">
        <v>12000</v>
      </c>
      <c r="I70" s="50">
        <v>240000</v>
      </c>
      <c r="J70" s="50">
        <v>312024</v>
      </c>
      <c r="K70" s="50">
        <f>I70+J70</f>
        <v>552024</v>
      </c>
      <c r="L70" s="69">
        <v>3.5999999999999999E-3</v>
      </c>
      <c r="M70" s="81">
        <v>3.7199999999999997E-2</v>
      </c>
    </row>
    <row r="71" spans="1:13" x14ac:dyDescent="0.35">
      <c r="A71" s="4" t="s">
        <v>88</v>
      </c>
      <c r="B71" s="8"/>
      <c r="C71" s="46"/>
      <c r="D71" s="46"/>
      <c r="E71" s="46"/>
      <c r="F71" s="46"/>
      <c r="G71" s="46"/>
      <c r="H71" s="46"/>
      <c r="I71" s="46"/>
      <c r="J71" s="46"/>
    </row>
    <row r="72" spans="1:13" x14ac:dyDescent="0.35">
      <c r="A72" s="1" t="s">
        <v>128</v>
      </c>
      <c r="B72" s="8"/>
      <c r="C72" s="46"/>
      <c r="D72" s="46"/>
      <c r="E72" s="46"/>
      <c r="F72" s="46"/>
      <c r="G72" s="46"/>
      <c r="H72" s="46"/>
      <c r="I72" s="46"/>
      <c r="J72" s="46"/>
    </row>
    <row r="73" spans="1:13" x14ac:dyDescent="0.35">
      <c r="A73" s="1" t="s">
        <v>127</v>
      </c>
      <c r="B73" s="8"/>
      <c r="C73" s="46"/>
      <c r="D73" s="46"/>
      <c r="E73" s="46"/>
      <c r="F73" s="46"/>
      <c r="G73" s="46"/>
      <c r="H73" s="46"/>
      <c r="I73" s="46"/>
      <c r="J73" s="46"/>
    </row>
  </sheetData>
  <sheetProtection algorithmName="SHA-512" hashValue="jHCMlHw2WiS+t3u9HL2nKH+97HyJyrDXxLhrnkSfx+Mq7uZLj1W79TpYxWmyLCYCh8hLWperd/WbuTNTQktYcw==" saltValue="YRvJouzT8VuaHEAjT7fPTw==" spinCount="100000" sheet="1" objects="1" scenarios="1"/>
  <mergeCells count="14">
    <mergeCell ref="D41:G41"/>
    <mergeCell ref="D53:G53"/>
    <mergeCell ref="D65:G65"/>
    <mergeCell ref="H53:M53"/>
    <mergeCell ref="H41:M41"/>
    <mergeCell ref="H65:M65"/>
    <mergeCell ref="O7:O33"/>
    <mergeCell ref="D4:G4"/>
    <mergeCell ref="D16:G16"/>
    <mergeCell ref="D28:G28"/>
    <mergeCell ref="H4:M4"/>
    <mergeCell ref="H16:M16"/>
    <mergeCell ref="H28:M28"/>
    <mergeCell ref="O5:O6"/>
  </mergeCells>
  <conditionalFormatting sqref="L6">
    <cfRule type="top10" dxfId="198" priority="1" rank="1"/>
  </conditionalFormatting>
  <conditionalFormatting sqref="L18">
    <cfRule type="top10" dxfId="197" priority="3" rank="1"/>
  </conditionalFormatting>
  <conditionalFormatting sqref="L30">
    <cfRule type="top10" dxfId="196" priority="5" rank="1"/>
  </conditionalFormatting>
  <conditionalFormatting sqref="L43">
    <cfRule type="top10" dxfId="195" priority="7" rank="1"/>
  </conditionalFormatting>
  <conditionalFormatting sqref="L55">
    <cfRule type="top10" dxfId="194" priority="9" rank="1"/>
  </conditionalFormatting>
  <conditionalFormatting sqref="L67:L70">
    <cfRule type="top10" dxfId="193" priority="11" rank="1"/>
  </conditionalFormatting>
  <conditionalFormatting sqref="M56:M61">
    <cfRule type="top10" dxfId="192" priority="16" rank="1"/>
  </conditionalFormatting>
  <conditionalFormatting sqref="M67:M70">
    <cfRule type="top10" dxfId="191" priority="10" rank="1"/>
  </conditionalFormatting>
  <printOptions horizontalCentered="1" verticalCentered="1"/>
  <pageMargins left="0" right="0" top="0" bottom="0" header="0" footer="0"/>
  <pageSetup paperSize="9" scale="45" orientation="landscape" r:id="rId1"/>
  <headerFooter>
    <oddFooter>&amp;L_x000D_&amp;1#&amp;"Calibri"&amp;8&amp;K0000FF Internal</oddFooter>
  </headerFooter>
  <ignoredErrors>
    <ignoredError sqref="K19"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B95F4-2AFB-46A4-BC10-A497AAFF79EB}">
  <sheetPr>
    <pageSetUpPr fitToPage="1"/>
  </sheetPr>
  <dimension ref="A2:T109"/>
  <sheetViews>
    <sheetView showGridLines="0" zoomScale="70" zoomScaleNormal="70" workbookViewId="0">
      <pane xSplit="1" topLeftCell="B1" activePane="topRight" state="frozen"/>
      <selection pane="topRight" activeCell="R1" sqref="R1:T1048576"/>
    </sheetView>
  </sheetViews>
  <sheetFormatPr defaultColWidth="9.1796875" defaultRowHeight="14.5" x14ac:dyDescent="0.35"/>
  <cols>
    <col min="1" max="1" width="29.54296875" style="131" customWidth="1"/>
    <col min="2" max="2" width="12.1796875" style="131" bestFit="1" customWidth="1"/>
    <col min="3" max="3" width="12.81640625" style="131" customWidth="1"/>
    <col min="4" max="4" width="16.453125" style="131" hidden="1" customWidth="1"/>
    <col min="5" max="5" width="37.08984375" style="165" customWidth="1"/>
    <col min="6" max="6" width="16.1796875" style="131" hidden="1" customWidth="1"/>
    <col min="7" max="7" width="7" style="131" hidden="1" customWidth="1"/>
    <col min="8" max="8" width="16.453125" style="131" hidden="1" customWidth="1"/>
    <col min="9" max="9" width="14.54296875" style="131" bestFit="1" customWidth="1"/>
    <col min="10" max="10" width="13.81640625" style="131" customWidth="1"/>
    <col min="11" max="11" width="17.54296875" style="131" bestFit="1" customWidth="1"/>
    <col min="12" max="12" width="15.54296875" style="131" customWidth="1"/>
    <col min="13" max="13" width="17.1796875" style="131" customWidth="1"/>
    <col min="14" max="14" width="9.81640625" style="131" customWidth="1"/>
    <col min="15" max="15" width="68.1796875" style="141" customWidth="1"/>
    <col min="16" max="16" width="29.453125" style="131" customWidth="1"/>
    <col min="17" max="17" width="11.81640625" style="131" bestFit="1" customWidth="1"/>
    <col min="18" max="18" width="24.6328125" style="131" hidden="1" customWidth="1"/>
    <col min="19" max="19" width="11.54296875" style="131" hidden="1" customWidth="1"/>
    <col min="20" max="20" width="12" style="131" hidden="1" customWidth="1"/>
    <col min="21" max="21" width="10" style="131" bestFit="1" customWidth="1"/>
    <col min="22" max="22" width="11.453125" style="131" customWidth="1"/>
    <col min="23" max="23" width="12.453125" style="131" customWidth="1"/>
    <col min="24" max="24" width="11.453125" style="131" customWidth="1"/>
    <col min="25" max="25" width="10" style="131" bestFit="1" customWidth="1"/>
    <col min="26" max="26" width="20.54296875" style="131" customWidth="1"/>
    <col min="27" max="16384" width="9.1796875" style="131"/>
  </cols>
  <sheetData>
    <row r="2" spans="1:19" ht="14.5" customHeight="1" x14ac:dyDescent="0.35">
      <c r="A2" s="135" t="s">
        <v>219</v>
      </c>
      <c r="B2" s="135"/>
      <c r="C2" s="136"/>
      <c r="D2" s="136"/>
      <c r="E2" s="137"/>
      <c r="F2" s="136"/>
      <c r="G2" s="136"/>
      <c r="H2" s="136"/>
      <c r="I2" s="138" t="s">
        <v>17</v>
      </c>
      <c r="J2" s="139" t="s">
        <v>18</v>
      </c>
      <c r="K2" s="136"/>
      <c r="L2" s="140"/>
      <c r="M2" s="140"/>
      <c r="N2" s="136"/>
    </row>
    <row r="3" spans="1:19" ht="15" thickBot="1" x14ac:dyDescent="0.4">
      <c r="A3" s="135" t="s">
        <v>117</v>
      </c>
      <c r="B3" s="135"/>
      <c r="C3" s="136"/>
      <c r="D3" s="136"/>
      <c r="E3" s="137"/>
      <c r="F3" s="136"/>
      <c r="G3" s="136"/>
      <c r="H3" s="136"/>
      <c r="I3" s="135"/>
      <c r="J3" s="135"/>
      <c r="K3" s="136"/>
      <c r="L3" s="140"/>
      <c r="M3" s="140"/>
      <c r="N3" s="136"/>
    </row>
    <row r="4" spans="1:19" ht="15" thickBot="1" x14ac:dyDescent="0.4">
      <c r="A4" s="142"/>
      <c r="B4" s="143"/>
      <c r="C4" s="143"/>
      <c r="D4" s="350" t="s">
        <v>80</v>
      </c>
      <c r="E4" s="351"/>
      <c r="F4" s="351"/>
      <c r="G4" s="352"/>
      <c r="H4" s="353" t="s">
        <v>81</v>
      </c>
      <c r="I4" s="354"/>
      <c r="J4" s="354"/>
      <c r="K4" s="354"/>
      <c r="L4" s="354"/>
      <c r="M4" s="355"/>
      <c r="N4" s="135"/>
    </row>
    <row r="5" spans="1:19" s="132" customFormat="1" ht="44" thickBot="1" x14ac:dyDescent="0.4">
      <c r="A5" s="144" t="s">
        <v>7</v>
      </c>
      <c r="B5" s="175" t="s">
        <v>10</v>
      </c>
      <c r="C5" s="176" t="s">
        <v>50</v>
      </c>
      <c r="D5" s="177" t="s">
        <v>77</v>
      </c>
      <c r="E5" s="178" t="s">
        <v>82</v>
      </c>
      <c r="F5" s="178" t="s">
        <v>78</v>
      </c>
      <c r="G5" s="179" t="s">
        <v>79</v>
      </c>
      <c r="H5" s="180" t="s">
        <v>11</v>
      </c>
      <c r="I5" s="181" t="s">
        <v>12</v>
      </c>
      <c r="J5" s="181" t="s">
        <v>13</v>
      </c>
      <c r="K5" s="182" t="s">
        <v>14</v>
      </c>
      <c r="L5" s="180" t="s">
        <v>84</v>
      </c>
      <c r="M5" s="182" t="s">
        <v>85</v>
      </c>
      <c r="N5" s="155"/>
      <c r="O5" s="361" t="s">
        <v>15</v>
      </c>
      <c r="R5" s="132" t="s">
        <v>297</v>
      </c>
      <c r="S5" s="132" t="s">
        <v>298</v>
      </c>
    </row>
    <row r="6" spans="1:19" ht="15" thickBot="1" x14ac:dyDescent="0.4">
      <c r="A6" s="156" t="s">
        <v>151</v>
      </c>
      <c r="B6" s="157">
        <v>20</v>
      </c>
      <c r="C6" s="158">
        <v>199881.8</v>
      </c>
      <c r="D6" s="158">
        <v>231862</v>
      </c>
      <c r="E6" s="161" t="s">
        <v>45</v>
      </c>
      <c r="F6" s="161">
        <v>168147</v>
      </c>
      <c r="G6" s="161">
        <f>D6+F6</f>
        <v>400009</v>
      </c>
      <c r="H6" s="161">
        <f>2060*12</f>
        <v>24720</v>
      </c>
      <c r="I6" s="161">
        <f>H6*20</f>
        <v>494400</v>
      </c>
      <c r="J6" s="161">
        <f>205680+721320</f>
        <v>927000</v>
      </c>
      <c r="K6" s="161">
        <f>I6+J6</f>
        <v>1421400</v>
      </c>
      <c r="L6" s="162">
        <v>1.7999999999999999E-2</v>
      </c>
      <c r="M6" s="163">
        <v>3.9699999999999999E-2</v>
      </c>
      <c r="O6" s="362"/>
      <c r="R6" s="132" t="str" cm="1">
        <f t="array" ref="R6">INDEX(A6:A8,MATCH(MAX(L6:L8),L6:L8,0),0)</f>
        <v>Singlife Flexi Retirement (II)</v>
      </c>
      <c r="S6" s="132" t="str" cm="1">
        <f t="array" ref="S6">INDEX(A6:A8,MATCH(MAX(M6:M8),M6:M8,0),0)</f>
        <v>Income Gro Retire Flex Pro</v>
      </c>
    </row>
    <row r="7" spans="1:19" ht="14.9" customHeight="1" x14ac:dyDescent="0.35">
      <c r="A7" s="164" t="s">
        <v>27</v>
      </c>
      <c r="B7" s="165">
        <v>20</v>
      </c>
      <c r="C7" s="159">
        <v>199684</v>
      </c>
      <c r="D7" s="160">
        <f>C7</f>
        <v>199684</v>
      </c>
      <c r="E7" s="160" t="s">
        <v>45</v>
      </c>
      <c r="F7" s="160">
        <v>35632</v>
      </c>
      <c r="G7" s="160">
        <f>D7+F7</f>
        <v>235316</v>
      </c>
      <c r="H7" s="160">
        <f>1220*12</f>
        <v>14640</v>
      </c>
      <c r="I7" s="160">
        <f t="shared" ref="I7:I8" si="0">H7*20</f>
        <v>292800</v>
      </c>
      <c r="J7" s="160">
        <v>1138723</v>
      </c>
      <c r="K7" s="160">
        <f>I7+J7</f>
        <v>1431523</v>
      </c>
      <c r="L7" s="166">
        <v>7.4999999999999997E-3</v>
      </c>
      <c r="M7" s="167">
        <v>3.9800000000000002E-2</v>
      </c>
      <c r="O7" s="363" t="s">
        <v>116</v>
      </c>
      <c r="R7" s="132" t="str" cm="1">
        <f t="array" ref="R7">INDEX(A18:A20,MATCH(MAX(L18:L20),L18:L20,0),0)</f>
        <v>Singlife Flexi Retirement (II)</v>
      </c>
      <c r="S7" s="132" t="str" cm="1">
        <f t="array" ref="S7">INDEX(A18:A20,MATCH(MAX(M18:M20),M18:M20,0),0)</f>
        <v>Income Gro Retire Flex Pro</v>
      </c>
    </row>
    <row r="8" spans="1:19" ht="15" thickBot="1" x14ac:dyDescent="0.4">
      <c r="A8" s="168" t="s">
        <v>54</v>
      </c>
      <c r="B8" s="169">
        <v>20</v>
      </c>
      <c r="C8" s="170">
        <v>200000</v>
      </c>
      <c r="D8" s="170">
        <v>210000</v>
      </c>
      <c r="E8" s="170" t="s">
        <v>45</v>
      </c>
      <c r="F8" s="170">
        <v>65100</v>
      </c>
      <c r="G8" s="170">
        <f>D8+F8</f>
        <v>275100</v>
      </c>
      <c r="H8" s="170">
        <f>1546.7*12</f>
        <v>18560.400000000001</v>
      </c>
      <c r="I8" s="170">
        <f t="shared" si="0"/>
        <v>371208</v>
      </c>
      <c r="J8" s="170">
        <v>1165668</v>
      </c>
      <c r="K8" s="170">
        <f>I8+J8</f>
        <v>1536876</v>
      </c>
      <c r="L8" s="171">
        <v>1.23E-2</v>
      </c>
      <c r="M8" s="172">
        <v>4.1399999999999999E-2</v>
      </c>
      <c r="O8" s="364"/>
      <c r="R8" s="132" t="str" cm="1">
        <f t="array" ref="R8">INDEX(A30:A32,MATCH(MAX(L30:L32),L30:L32,0),0)</f>
        <v>Singlife Flexi Retirement (II)</v>
      </c>
      <c r="S8" s="132" t="str" cm="1">
        <f t="array" ref="S8">INDEX(A30:A32,MATCH(MAX(M30:M32),M30:M32,0),0)</f>
        <v>Income Gro Retire Flex Pro</v>
      </c>
    </row>
    <row r="9" spans="1:19" x14ac:dyDescent="0.35">
      <c r="A9" s="131" t="s">
        <v>49</v>
      </c>
      <c r="C9" s="173"/>
      <c r="D9" s="173"/>
      <c r="E9" s="159"/>
      <c r="F9" s="173"/>
      <c r="G9" s="173"/>
      <c r="H9" s="173"/>
      <c r="I9" s="173"/>
      <c r="J9" s="173"/>
      <c r="K9" s="173"/>
      <c r="L9" s="174"/>
      <c r="M9" s="174"/>
      <c r="O9" s="364"/>
      <c r="R9" s="132" t="str" cm="1">
        <f t="array" ref="R9">INDEX(A43:A45,MATCH(MAX(L43:L45),L43:L45,0),0)</f>
        <v>Singlife Flexi Retirement (II)</v>
      </c>
      <c r="S9" s="132" t="str" cm="1">
        <f t="array" ref="S9">INDEX(A43:A45,MATCH(MAX(M43:M45),M43:M45,0),0)</f>
        <v>Income Gro Retire Flex Pro</v>
      </c>
    </row>
    <row r="10" spans="1:19" x14ac:dyDescent="0.35">
      <c r="A10" s="131" t="s">
        <v>90</v>
      </c>
      <c r="C10" s="173"/>
      <c r="D10" s="173"/>
      <c r="E10" s="159"/>
      <c r="F10" s="173"/>
      <c r="G10" s="173"/>
      <c r="H10" s="173"/>
      <c r="I10" s="173"/>
      <c r="J10" s="173"/>
      <c r="K10" s="173"/>
      <c r="L10" s="174"/>
      <c r="M10" s="174"/>
      <c r="O10" s="364"/>
      <c r="R10" s="132" t="str" cm="1">
        <f t="array" ref="R10">INDEX(A55:A58,MATCH(MAX(L55:L58),L55:L58,0),0)</f>
        <v>Singlife Flexi Retirement (II)</v>
      </c>
      <c r="S10" s="132" t="str" cm="1">
        <f t="array" ref="S10">INDEX(A55:A58,MATCH(MAX(M55:M58),M55:M58,0),0)</f>
        <v>China Taiping i-Retire (II)</v>
      </c>
    </row>
    <row r="11" spans="1:19" x14ac:dyDescent="0.35">
      <c r="A11" s="131" t="s">
        <v>103</v>
      </c>
      <c r="C11" s="173"/>
      <c r="D11" s="173"/>
      <c r="E11" s="159"/>
      <c r="F11" s="173"/>
      <c r="G11" s="173"/>
      <c r="H11" s="173"/>
      <c r="I11" s="173"/>
      <c r="J11" s="173"/>
      <c r="K11" s="173"/>
      <c r="L11" s="174"/>
      <c r="M11" s="174"/>
      <c r="O11" s="364"/>
      <c r="R11" s="132" t="str" cm="1">
        <f t="array" ref="R11">INDEX(A67:A70,MATCH(MAX(L67:L70),L67:L70,0),0)</f>
        <v>Singlife Flexi Retirement (II)</v>
      </c>
      <c r="S11" s="132" t="str" cm="1">
        <f t="array" ref="S11">INDEX(A67:A70,MATCH(MAX(M67:M70),M67:M70,0),0)</f>
        <v>China Taiping i-Retire (II)</v>
      </c>
    </row>
    <row r="12" spans="1:19" x14ac:dyDescent="0.35">
      <c r="A12" s="131" t="s">
        <v>126</v>
      </c>
      <c r="C12" s="173"/>
      <c r="D12" s="173"/>
      <c r="E12" s="159"/>
      <c r="F12" s="173"/>
      <c r="G12" s="173"/>
      <c r="H12" s="173"/>
      <c r="I12" s="173"/>
      <c r="J12" s="173"/>
      <c r="K12" s="173"/>
      <c r="L12" s="174"/>
      <c r="M12" s="174"/>
      <c r="O12" s="364"/>
      <c r="R12" s="132" t="str" cm="1">
        <f t="array" ref="R12">INDEX(A79:A82,MATCH(MAX(L79:L82),L79:L82,0),0)</f>
        <v>Singlife Flexi Retirement (II)</v>
      </c>
      <c r="S12" s="132" t="str" cm="1">
        <f t="array" ref="S12">INDEX(A79:A82,MATCH(MAX(M79:M82),M79:M82,0),0)</f>
        <v>China Taiping i-Retire (II)</v>
      </c>
    </row>
    <row r="13" spans="1:19" x14ac:dyDescent="0.35">
      <c r="C13" s="173"/>
      <c r="D13" s="173"/>
      <c r="E13" s="159"/>
      <c r="F13" s="173"/>
      <c r="G13" s="173"/>
      <c r="H13" s="173"/>
      <c r="I13" s="173"/>
      <c r="J13" s="173"/>
      <c r="K13" s="173"/>
      <c r="L13" s="174"/>
      <c r="M13" s="174"/>
      <c r="O13" s="364"/>
      <c r="R13" s="132" t="str" cm="1">
        <f t="array" ref="R13">INDEX(A91:A94,MATCH(MAX(L91:L94),L91:L94,0),0)</f>
        <v>Singlife Flexi Retirement (II)</v>
      </c>
      <c r="S13" s="132" t="str" cm="1">
        <f t="array" ref="S13">INDEX(A91:A94,MATCH(MAX(M91:M94),M91:M94,0),0)</f>
        <v>Singlife Flexi Retirement (II)</v>
      </c>
    </row>
    <row r="14" spans="1:19" ht="14.5" customHeight="1" x14ac:dyDescent="0.35">
      <c r="A14" s="135" t="s">
        <v>220</v>
      </c>
      <c r="B14" s="135"/>
      <c r="C14" s="136"/>
      <c r="D14" s="136"/>
      <c r="E14" s="137"/>
      <c r="F14" s="136"/>
      <c r="G14" s="136"/>
      <c r="H14" s="136"/>
      <c r="I14" s="138" t="s">
        <v>17</v>
      </c>
      <c r="J14" s="139" t="s">
        <v>18</v>
      </c>
      <c r="K14" s="136"/>
      <c r="L14" s="140"/>
      <c r="M14" s="140"/>
      <c r="N14" s="136"/>
      <c r="O14" s="364"/>
      <c r="R14" s="132" t="str" cm="1">
        <f t="array" ref="R14">INDEX(A103:A106,MATCH(MAX(L103:L106),L103:L106,0),0)</f>
        <v>Singlife Flexi Retirement (II)</v>
      </c>
      <c r="S14" s="132" t="str" cm="1">
        <f t="array" ref="S14">INDEX(A103:A106,MATCH(MAX(M103:M106),M103:M106,0),0)</f>
        <v>China Taiping i-Retire (II)</v>
      </c>
    </row>
    <row r="15" spans="1:19" ht="15" thickBot="1" x14ac:dyDescent="0.4">
      <c r="A15" s="135" t="s">
        <v>122</v>
      </c>
      <c r="B15" s="135"/>
      <c r="C15" s="136"/>
      <c r="D15" s="136"/>
      <c r="E15" s="137"/>
      <c r="F15" s="136"/>
      <c r="G15" s="136"/>
      <c r="H15" s="136"/>
      <c r="I15" s="135"/>
      <c r="J15" s="135"/>
      <c r="K15" s="136"/>
      <c r="L15" s="140"/>
      <c r="M15" s="140"/>
      <c r="N15" s="136"/>
      <c r="O15" s="364"/>
    </row>
    <row r="16" spans="1:19" ht="15" thickBot="1" x14ac:dyDescent="0.4">
      <c r="A16" s="142"/>
      <c r="B16" s="143"/>
      <c r="C16" s="143"/>
      <c r="D16" s="350" t="s">
        <v>80</v>
      </c>
      <c r="E16" s="351"/>
      <c r="F16" s="351"/>
      <c r="G16" s="352"/>
      <c r="H16" s="353" t="s">
        <v>81</v>
      </c>
      <c r="I16" s="354"/>
      <c r="J16" s="354"/>
      <c r="K16" s="354"/>
      <c r="L16" s="354"/>
      <c r="M16" s="355"/>
      <c r="N16" s="135"/>
      <c r="O16" s="364"/>
    </row>
    <row r="17" spans="1:15" s="132" customFormat="1" ht="44" thickBot="1" x14ac:dyDescent="0.4">
      <c r="A17" s="144" t="s">
        <v>7</v>
      </c>
      <c r="B17" s="175" t="s">
        <v>10</v>
      </c>
      <c r="C17" s="176" t="s">
        <v>50</v>
      </c>
      <c r="D17" s="177" t="s">
        <v>77</v>
      </c>
      <c r="E17" s="178" t="s">
        <v>82</v>
      </c>
      <c r="F17" s="178" t="s">
        <v>78</v>
      </c>
      <c r="G17" s="179" t="s">
        <v>79</v>
      </c>
      <c r="H17" s="180" t="s">
        <v>11</v>
      </c>
      <c r="I17" s="181" t="s">
        <v>12</v>
      </c>
      <c r="J17" s="181" t="s">
        <v>13</v>
      </c>
      <c r="K17" s="182" t="s">
        <v>14</v>
      </c>
      <c r="L17" s="180" t="s">
        <v>84</v>
      </c>
      <c r="M17" s="182" t="s">
        <v>85</v>
      </c>
      <c r="N17" s="155"/>
      <c r="O17" s="364"/>
    </row>
    <row r="18" spans="1:15" x14ac:dyDescent="0.35">
      <c r="A18" s="156" t="s">
        <v>151</v>
      </c>
      <c r="B18" s="157">
        <v>20</v>
      </c>
      <c r="C18" s="158">
        <v>200243.65</v>
      </c>
      <c r="D18" s="158">
        <v>227276</v>
      </c>
      <c r="E18" s="161" t="s">
        <v>45</v>
      </c>
      <c r="F18" s="161">
        <v>142001</v>
      </c>
      <c r="G18" s="161">
        <f>D18+F18</f>
        <v>369277</v>
      </c>
      <c r="H18" s="161">
        <f>1890*12</f>
        <v>22680</v>
      </c>
      <c r="I18" s="161">
        <f t="shared" ref="I18:I20" si="1">H18*20</f>
        <v>453600</v>
      </c>
      <c r="J18" s="161">
        <f>173700+515740</f>
        <v>689440</v>
      </c>
      <c r="K18" s="161">
        <f>I18+J18</f>
        <v>1143040</v>
      </c>
      <c r="L18" s="162">
        <v>1.7999999999999999E-2</v>
      </c>
      <c r="M18" s="183">
        <v>3.9100000000000003E-2</v>
      </c>
      <c r="O18" s="364"/>
    </row>
    <row r="19" spans="1:15" x14ac:dyDescent="0.35">
      <c r="A19" s="164" t="s">
        <v>27</v>
      </c>
      <c r="B19" s="165">
        <v>20</v>
      </c>
      <c r="C19" s="159">
        <v>199781.45</v>
      </c>
      <c r="D19" s="159">
        <f>C19</f>
        <v>199781.45</v>
      </c>
      <c r="E19" s="159" t="s">
        <v>45</v>
      </c>
      <c r="F19" s="159">
        <v>31018</v>
      </c>
      <c r="G19" s="160">
        <f t="shared" ref="G19:G20" si="2">D19+F19</f>
        <v>230799.45</v>
      </c>
      <c r="H19" s="159">
        <f>1150*12</f>
        <v>13800</v>
      </c>
      <c r="I19" s="159">
        <f t="shared" si="1"/>
        <v>276000</v>
      </c>
      <c r="J19" s="159">
        <v>851020</v>
      </c>
      <c r="K19" s="159">
        <f>J19+I19</f>
        <v>1127020</v>
      </c>
      <c r="L19" s="166">
        <v>7.0000000000000001E-3</v>
      </c>
      <c r="M19" s="184">
        <v>3.8800000000000001E-2</v>
      </c>
      <c r="O19" s="364"/>
    </row>
    <row r="20" spans="1:15" ht="15" thickBot="1" x14ac:dyDescent="0.4">
      <c r="A20" s="168" t="s">
        <v>54</v>
      </c>
      <c r="B20" s="169">
        <v>20</v>
      </c>
      <c r="C20" s="170">
        <v>199999.45</v>
      </c>
      <c r="D20" s="170">
        <v>209999</v>
      </c>
      <c r="E20" s="170" t="s">
        <v>45</v>
      </c>
      <c r="F20" s="170">
        <v>46200</v>
      </c>
      <c r="G20" s="170">
        <f t="shared" si="2"/>
        <v>256199</v>
      </c>
      <c r="H20" s="170">
        <f>1407.96*12</f>
        <v>16895.52</v>
      </c>
      <c r="I20" s="170">
        <f t="shared" si="1"/>
        <v>337910.4</v>
      </c>
      <c r="J20" s="170">
        <v>905736</v>
      </c>
      <c r="K20" s="170">
        <f>I20+J20</f>
        <v>1243646.3999999999</v>
      </c>
      <c r="L20" s="171">
        <v>1.15E-2</v>
      </c>
      <c r="M20" s="172">
        <v>4.1200000000000001E-2</v>
      </c>
      <c r="O20" s="364"/>
    </row>
    <row r="21" spans="1:15" x14ac:dyDescent="0.35">
      <c r="A21" s="135" t="s">
        <v>88</v>
      </c>
      <c r="D21" s="186"/>
      <c r="E21" s="187"/>
      <c r="J21" s="186"/>
      <c r="O21" s="364"/>
    </row>
    <row r="22" spans="1:15" x14ac:dyDescent="0.35">
      <c r="A22" s="131" t="s">
        <v>90</v>
      </c>
      <c r="D22" s="186"/>
      <c r="E22" s="187"/>
      <c r="J22" s="186"/>
      <c r="O22" s="364"/>
    </row>
    <row r="23" spans="1:15" x14ac:dyDescent="0.35">
      <c r="A23" s="131" t="s">
        <v>99</v>
      </c>
      <c r="D23" s="186"/>
      <c r="E23" s="187"/>
      <c r="J23" s="186"/>
      <c r="O23" s="364"/>
    </row>
    <row r="24" spans="1:15" x14ac:dyDescent="0.35">
      <c r="A24" s="131" t="s">
        <v>126</v>
      </c>
      <c r="D24" s="186"/>
      <c r="E24" s="187"/>
      <c r="J24" s="186"/>
      <c r="O24" s="364"/>
    </row>
    <row r="25" spans="1:15" x14ac:dyDescent="0.35">
      <c r="D25" s="186"/>
      <c r="E25" s="187"/>
      <c r="J25" s="186"/>
      <c r="O25" s="364"/>
    </row>
    <row r="26" spans="1:15" ht="14.5" customHeight="1" x14ac:dyDescent="0.35">
      <c r="A26" s="135" t="s">
        <v>221</v>
      </c>
      <c r="B26" s="135"/>
      <c r="C26" s="136"/>
      <c r="D26" s="136"/>
      <c r="E26" s="137"/>
      <c r="F26" s="136"/>
      <c r="G26" s="136"/>
      <c r="H26" s="136"/>
      <c r="I26" s="138" t="s">
        <v>17</v>
      </c>
      <c r="J26" s="139" t="s">
        <v>18</v>
      </c>
      <c r="K26" s="136"/>
      <c r="L26" s="188"/>
      <c r="M26" s="188"/>
      <c r="O26" s="364"/>
    </row>
    <row r="27" spans="1:15" ht="15" thickBot="1" x14ac:dyDescent="0.4">
      <c r="A27" s="135" t="s">
        <v>121</v>
      </c>
      <c r="B27" s="135"/>
      <c r="C27" s="136"/>
      <c r="D27" s="136"/>
      <c r="E27" s="137"/>
      <c r="F27" s="136"/>
      <c r="G27" s="136"/>
      <c r="H27" s="136"/>
      <c r="I27" s="135"/>
      <c r="J27" s="135"/>
      <c r="K27" s="136"/>
      <c r="L27" s="188"/>
      <c r="M27" s="188"/>
      <c r="O27" s="364"/>
    </row>
    <row r="28" spans="1:15" ht="15" thickBot="1" x14ac:dyDescent="0.4">
      <c r="A28" s="142"/>
      <c r="B28" s="143"/>
      <c r="C28" s="143"/>
      <c r="D28" s="350" t="s">
        <v>80</v>
      </c>
      <c r="E28" s="351"/>
      <c r="F28" s="351"/>
      <c r="G28" s="352"/>
      <c r="H28" s="353" t="s">
        <v>81</v>
      </c>
      <c r="I28" s="354"/>
      <c r="J28" s="354"/>
      <c r="K28" s="354"/>
      <c r="L28" s="354"/>
      <c r="M28" s="355"/>
      <c r="O28" s="364"/>
    </row>
    <row r="29" spans="1:15" ht="44" thickBot="1" x14ac:dyDescent="0.4">
      <c r="A29" s="144" t="s">
        <v>7</v>
      </c>
      <c r="B29" s="175" t="s">
        <v>10</v>
      </c>
      <c r="C29" s="176" t="s">
        <v>50</v>
      </c>
      <c r="D29" s="177" t="s">
        <v>77</v>
      </c>
      <c r="E29" s="178" t="s">
        <v>82</v>
      </c>
      <c r="F29" s="178" t="s">
        <v>78</v>
      </c>
      <c r="G29" s="179" t="s">
        <v>79</v>
      </c>
      <c r="H29" s="180" t="s">
        <v>11</v>
      </c>
      <c r="I29" s="181" t="s">
        <v>12</v>
      </c>
      <c r="J29" s="181" t="s">
        <v>13</v>
      </c>
      <c r="K29" s="182" t="s">
        <v>14</v>
      </c>
      <c r="L29" s="180" t="s">
        <v>84</v>
      </c>
      <c r="M29" s="182" t="s">
        <v>85</v>
      </c>
      <c r="N29" s="189"/>
      <c r="O29" s="364"/>
    </row>
    <row r="30" spans="1:15" x14ac:dyDescent="0.35">
      <c r="A30" s="156" t="s">
        <v>151</v>
      </c>
      <c r="B30" s="157">
        <v>20</v>
      </c>
      <c r="C30" s="158">
        <v>199867.45</v>
      </c>
      <c r="D30" s="161">
        <v>221852</v>
      </c>
      <c r="E30" s="161" t="s">
        <v>45</v>
      </c>
      <c r="F30" s="161">
        <v>117228</v>
      </c>
      <c r="G30" s="161">
        <f t="shared" ref="G30:G32" si="3">D30+F30</f>
        <v>339080</v>
      </c>
      <c r="H30" s="161">
        <f>1720*12</f>
        <v>20640</v>
      </c>
      <c r="I30" s="161">
        <f t="shared" ref="I30:I32" si="4">H30*20</f>
        <v>412800</v>
      </c>
      <c r="J30" s="161">
        <f>143380+383060</f>
        <v>526440</v>
      </c>
      <c r="K30" s="161">
        <f>I30+J30</f>
        <v>939240</v>
      </c>
      <c r="L30" s="162">
        <v>1.7999999999999999E-2</v>
      </c>
      <c r="M30" s="183">
        <v>3.9E-2</v>
      </c>
      <c r="O30" s="364"/>
    </row>
    <row r="31" spans="1:15" x14ac:dyDescent="0.35">
      <c r="A31" s="164" t="s">
        <v>27</v>
      </c>
      <c r="B31" s="165">
        <v>20</v>
      </c>
      <c r="C31" s="159">
        <v>198168.12</v>
      </c>
      <c r="D31" s="159">
        <f>C31</f>
        <v>198168.12</v>
      </c>
      <c r="E31" s="159" t="s">
        <v>45</v>
      </c>
      <c r="F31" s="160">
        <v>26372</v>
      </c>
      <c r="G31" s="160">
        <f t="shared" si="3"/>
        <v>224540.12</v>
      </c>
      <c r="H31" s="160">
        <f>1080*12</f>
        <v>12960</v>
      </c>
      <c r="I31" s="160">
        <f t="shared" si="4"/>
        <v>259200</v>
      </c>
      <c r="J31" s="160">
        <v>661867</v>
      </c>
      <c r="K31" s="160">
        <f>I31+J31</f>
        <v>921067</v>
      </c>
      <c r="L31" s="166">
        <v>6.4999999999999997E-3</v>
      </c>
      <c r="M31" s="184">
        <v>3.8699999999999998E-2</v>
      </c>
      <c r="O31" s="364"/>
    </row>
    <row r="32" spans="1:15" ht="15" thickBot="1" x14ac:dyDescent="0.4">
      <c r="A32" s="168" t="s">
        <v>54</v>
      </c>
      <c r="B32" s="169">
        <v>20</v>
      </c>
      <c r="C32" s="170">
        <v>199999</v>
      </c>
      <c r="D32" s="170">
        <v>202399</v>
      </c>
      <c r="E32" s="170" t="s">
        <v>45</v>
      </c>
      <c r="F32" s="170">
        <v>34408</v>
      </c>
      <c r="G32" s="170">
        <f t="shared" si="3"/>
        <v>236807</v>
      </c>
      <c r="H32" s="170">
        <f>1293.96*12</f>
        <v>15527.52</v>
      </c>
      <c r="I32" s="170">
        <f t="shared" si="4"/>
        <v>310550.40000000002</v>
      </c>
      <c r="J32" s="170">
        <v>694639</v>
      </c>
      <c r="K32" s="170">
        <f>I32+J32</f>
        <v>1005189.4</v>
      </c>
      <c r="L32" s="171">
        <v>1.0800000000000001E-2</v>
      </c>
      <c r="M32" s="172">
        <v>4.0899999999999999E-2</v>
      </c>
      <c r="O32" s="364"/>
    </row>
    <row r="33" spans="1:15" ht="15" thickBot="1" x14ac:dyDescent="0.4">
      <c r="A33" s="135" t="s">
        <v>88</v>
      </c>
      <c r="D33" s="186"/>
      <c r="E33" s="187"/>
      <c r="J33" s="186"/>
      <c r="O33" s="365"/>
    </row>
    <row r="34" spans="1:15" x14ac:dyDescent="0.35">
      <c r="A34" s="131" t="s">
        <v>90</v>
      </c>
      <c r="D34" s="186"/>
      <c r="E34" s="187"/>
      <c r="J34" s="186"/>
      <c r="O34" s="140"/>
    </row>
    <row r="35" spans="1:15" x14ac:dyDescent="0.35">
      <c r="A35" s="131" t="s">
        <v>92</v>
      </c>
      <c r="D35" s="186"/>
      <c r="E35" s="187"/>
      <c r="J35" s="186"/>
      <c r="O35" s="140"/>
    </row>
    <row r="36" spans="1:15" x14ac:dyDescent="0.35">
      <c r="A36" s="131" t="s">
        <v>126</v>
      </c>
      <c r="D36" s="186"/>
      <c r="E36" s="187"/>
      <c r="J36" s="186"/>
      <c r="O36" s="140"/>
    </row>
    <row r="37" spans="1:15" x14ac:dyDescent="0.35">
      <c r="D37" s="186"/>
      <c r="E37" s="187"/>
      <c r="J37" s="186"/>
      <c r="O37" s="190"/>
    </row>
    <row r="39" spans="1:15" x14ac:dyDescent="0.35">
      <c r="A39" s="135" t="s">
        <v>222</v>
      </c>
      <c r="B39" s="135"/>
      <c r="C39" s="136"/>
      <c r="D39" s="136"/>
      <c r="E39" s="137"/>
      <c r="F39" s="136"/>
      <c r="G39" s="136"/>
      <c r="H39" s="136"/>
      <c r="I39" s="138" t="s">
        <v>17</v>
      </c>
      <c r="J39" s="139" t="s">
        <v>18</v>
      </c>
      <c r="K39" s="136"/>
      <c r="L39" s="188"/>
      <c r="M39" s="188"/>
    </row>
    <row r="40" spans="1:15" ht="15" thickBot="1" x14ac:dyDescent="0.4">
      <c r="A40" s="135" t="s">
        <v>120</v>
      </c>
      <c r="B40" s="135"/>
      <c r="C40" s="136"/>
      <c r="D40" s="136"/>
      <c r="E40" s="137"/>
      <c r="F40" s="136"/>
      <c r="G40" s="136"/>
      <c r="H40" s="136"/>
      <c r="I40" s="135"/>
      <c r="J40" s="135"/>
      <c r="K40" s="136"/>
      <c r="L40" s="188"/>
      <c r="M40" s="188"/>
    </row>
    <row r="41" spans="1:15" ht="15" thickBot="1" x14ac:dyDescent="0.4">
      <c r="A41" s="142"/>
      <c r="B41" s="143"/>
      <c r="C41" s="143"/>
      <c r="D41" s="350" t="s">
        <v>80</v>
      </c>
      <c r="E41" s="351"/>
      <c r="F41" s="351"/>
      <c r="G41" s="352"/>
      <c r="H41" s="353" t="s">
        <v>81</v>
      </c>
      <c r="I41" s="354"/>
      <c r="J41" s="354"/>
      <c r="K41" s="354"/>
      <c r="L41" s="354"/>
      <c r="M41" s="355"/>
    </row>
    <row r="42" spans="1:15" ht="44" thickBot="1" x14ac:dyDescent="0.4">
      <c r="A42" s="144" t="s">
        <v>7</v>
      </c>
      <c r="B42" s="175" t="s">
        <v>10</v>
      </c>
      <c r="C42" s="176" t="s">
        <v>50</v>
      </c>
      <c r="D42" s="177" t="s">
        <v>77</v>
      </c>
      <c r="E42" s="178" t="s">
        <v>82</v>
      </c>
      <c r="F42" s="178" t="s">
        <v>78</v>
      </c>
      <c r="G42" s="179" t="s">
        <v>79</v>
      </c>
      <c r="H42" s="180" t="s">
        <v>11</v>
      </c>
      <c r="I42" s="181" t="s">
        <v>12</v>
      </c>
      <c r="J42" s="181" t="s">
        <v>13</v>
      </c>
      <c r="K42" s="182" t="s">
        <v>14</v>
      </c>
      <c r="L42" s="180" t="s">
        <v>84</v>
      </c>
      <c r="M42" s="182" t="s">
        <v>85</v>
      </c>
    </row>
    <row r="43" spans="1:15" x14ac:dyDescent="0.35">
      <c r="A43" s="156" t="s">
        <v>151</v>
      </c>
      <c r="B43" s="157">
        <v>20</v>
      </c>
      <c r="C43" s="158">
        <v>200370.55</v>
      </c>
      <c r="D43" s="161">
        <v>217402</v>
      </c>
      <c r="E43" s="161" t="s">
        <v>45</v>
      </c>
      <c r="F43" s="161">
        <v>94717</v>
      </c>
      <c r="G43" s="161">
        <f t="shared" ref="G43:G45" si="5">D43+F43</f>
        <v>312119</v>
      </c>
      <c r="H43" s="161">
        <f>1420*12</f>
        <v>17040</v>
      </c>
      <c r="I43" s="161">
        <f t="shared" ref="I43:I45" si="6">H43*20</f>
        <v>340800</v>
      </c>
      <c r="J43" s="161">
        <f>115860+278420</f>
        <v>394280</v>
      </c>
      <c r="K43" s="161">
        <f>I43+J43</f>
        <v>735080</v>
      </c>
      <c r="L43" s="162">
        <v>1.49E-2</v>
      </c>
      <c r="M43" s="191">
        <v>3.7400000000000003E-2</v>
      </c>
    </row>
    <row r="44" spans="1:15" x14ac:dyDescent="0.35">
      <c r="A44" s="164" t="s">
        <v>27</v>
      </c>
      <c r="B44" s="165">
        <v>20</v>
      </c>
      <c r="C44" s="159">
        <v>199569.76</v>
      </c>
      <c r="D44" s="160">
        <f>C44</f>
        <v>199569.76</v>
      </c>
      <c r="E44" s="160" t="s">
        <v>45</v>
      </c>
      <c r="F44" s="160">
        <v>22097</v>
      </c>
      <c r="G44" s="160">
        <f t="shared" si="5"/>
        <v>221666.76</v>
      </c>
      <c r="H44" s="160">
        <f>1040*12</f>
        <v>12480</v>
      </c>
      <c r="I44" s="160">
        <f t="shared" si="6"/>
        <v>249600</v>
      </c>
      <c r="J44" s="160">
        <v>517982</v>
      </c>
      <c r="K44" s="160">
        <f>I44+J44</f>
        <v>767582</v>
      </c>
      <c r="L44" s="166">
        <v>6.1999999999999998E-3</v>
      </c>
      <c r="M44" s="192">
        <v>3.8699999999999998E-2</v>
      </c>
    </row>
    <row r="45" spans="1:15" ht="15" thickBot="1" x14ac:dyDescent="0.4">
      <c r="A45" s="168" t="s">
        <v>54</v>
      </c>
      <c r="B45" s="169">
        <v>20</v>
      </c>
      <c r="C45" s="170">
        <v>199999.55</v>
      </c>
      <c r="D45" s="170">
        <v>200000</v>
      </c>
      <c r="E45" s="170" t="s">
        <v>45</v>
      </c>
      <c r="F45" s="170">
        <v>28000</v>
      </c>
      <c r="G45" s="170">
        <f t="shared" si="5"/>
        <v>228000</v>
      </c>
      <c r="H45" s="170">
        <f>1204.77*12</f>
        <v>14457.24</v>
      </c>
      <c r="I45" s="170">
        <f t="shared" si="6"/>
        <v>289144.8</v>
      </c>
      <c r="J45" s="170">
        <v>515863</v>
      </c>
      <c r="K45" s="170">
        <f>I45+J45</f>
        <v>805007.8</v>
      </c>
      <c r="L45" s="171">
        <v>1.04E-2</v>
      </c>
      <c r="M45" s="172">
        <v>4.02E-2</v>
      </c>
    </row>
    <row r="46" spans="1:15" x14ac:dyDescent="0.35">
      <c r="A46" s="135" t="s">
        <v>88</v>
      </c>
      <c r="D46" s="186"/>
      <c r="E46" s="187"/>
      <c r="J46" s="186"/>
      <c r="O46" s="140"/>
    </row>
    <row r="47" spans="1:15" x14ac:dyDescent="0.35">
      <c r="A47" s="131" t="s">
        <v>90</v>
      </c>
      <c r="D47" s="186"/>
      <c r="E47" s="187"/>
      <c r="J47" s="186"/>
      <c r="O47" s="140"/>
    </row>
    <row r="48" spans="1:15" x14ac:dyDescent="0.35">
      <c r="A48" s="131" t="s">
        <v>91</v>
      </c>
      <c r="D48" s="186"/>
      <c r="E48" s="187"/>
      <c r="J48" s="186"/>
      <c r="O48" s="140"/>
    </row>
    <row r="49" spans="1:15" x14ac:dyDescent="0.35">
      <c r="A49" s="131" t="s">
        <v>126</v>
      </c>
      <c r="D49" s="186"/>
      <c r="E49" s="187"/>
      <c r="J49" s="186"/>
      <c r="O49" s="140"/>
    </row>
    <row r="51" spans="1:15" x14ac:dyDescent="0.35">
      <c r="A51" s="135" t="s">
        <v>223</v>
      </c>
      <c r="B51" s="135"/>
      <c r="C51" s="136"/>
      <c r="D51" s="136"/>
      <c r="E51" s="137"/>
      <c r="F51" s="136"/>
      <c r="G51" s="136"/>
      <c r="H51" s="136"/>
      <c r="I51" s="138" t="s">
        <v>17</v>
      </c>
      <c r="J51" s="139" t="s">
        <v>18</v>
      </c>
      <c r="K51" s="136"/>
      <c r="L51" s="140"/>
      <c r="M51" s="140"/>
    </row>
    <row r="52" spans="1:15" ht="15" thickBot="1" x14ac:dyDescent="0.4">
      <c r="A52" s="135" t="s">
        <v>123</v>
      </c>
      <c r="B52" s="135"/>
      <c r="C52" s="136"/>
      <c r="D52" s="136"/>
      <c r="E52" s="137"/>
      <c r="F52" s="136"/>
      <c r="G52" s="136"/>
      <c r="H52" s="136"/>
      <c r="I52" s="135"/>
      <c r="J52" s="135"/>
      <c r="K52" s="136"/>
      <c r="L52" s="140"/>
      <c r="M52" s="140"/>
    </row>
    <row r="53" spans="1:15" ht="15" thickBot="1" x14ac:dyDescent="0.4">
      <c r="A53" s="142"/>
      <c r="B53" s="143"/>
      <c r="C53" s="143"/>
      <c r="D53" s="350" t="s">
        <v>80</v>
      </c>
      <c r="E53" s="351"/>
      <c r="F53" s="351"/>
      <c r="G53" s="352"/>
      <c r="H53" s="353" t="s">
        <v>81</v>
      </c>
      <c r="I53" s="354"/>
      <c r="J53" s="354"/>
      <c r="K53" s="354"/>
      <c r="L53" s="354"/>
      <c r="M53" s="355"/>
    </row>
    <row r="54" spans="1:15" ht="44" thickBot="1" x14ac:dyDescent="0.4">
      <c r="A54" s="144" t="s">
        <v>7</v>
      </c>
      <c r="B54" s="175" t="s">
        <v>10</v>
      </c>
      <c r="C54" s="176" t="s">
        <v>50</v>
      </c>
      <c r="D54" s="177" t="s">
        <v>77</v>
      </c>
      <c r="E54" s="178" t="s">
        <v>82</v>
      </c>
      <c r="F54" s="178" t="s">
        <v>78</v>
      </c>
      <c r="G54" s="179" t="s">
        <v>79</v>
      </c>
      <c r="H54" s="180" t="s">
        <v>11</v>
      </c>
      <c r="I54" s="181" t="s">
        <v>12</v>
      </c>
      <c r="J54" s="181" t="s">
        <v>13</v>
      </c>
      <c r="K54" s="182" t="s">
        <v>14</v>
      </c>
      <c r="L54" s="180" t="s">
        <v>84</v>
      </c>
      <c r="M54" s="182" t="s">
        <v>85</v>
      </c>
    </row>
    <row r="55" spans="1:15" x14ac:dyDescent="0.35">
      <c r="A55" s="156" t="s">
        <v>151</v>
      </c>
      <c r="B55" s="157">
        <v>20</v>
      </c>
      <c r="C55" s="158">
        <v>200431.45</v>
      </c>
      <c r="D55" s="158">
        <f>212457</f>
        <v>212457</v>
      </c>
      <c r="E55" s="161" t="s">
        <v>45</v>
      </c>
      <c r="F55" s="161">
        <v>73570</v>
      </c>
      <c r="G55" s="161">
        <f t="shared" ref="G55:G58" si="7">D55+F55</f>
        <v>286027</v>
      </c>
      <c r="H55" s="161">
        <f>1320*12</f>
        <v>15840</v>
      </c>
      <c r="I55" s="161">
        <f t="shared" ref="I55:I58" si="8">H55*20</f>
        <v>316800</v>
      </c>
      <c r="J55" s="161">
        <f>89980+186260</f>
        <v>276240</v>
      </c>
      <c r="K55" s="161">
        <f>I55+J55</f>
        <v>593040</v>
      </c>
      <c r="L55" s="162">
        <v>1.4999999999999999E-2</v>
      </c>
      <c r="M55" s="191">
        <v>3.6299999999999999E-2</v>
      </c>
    </row>
    <row r="56" spans="1:15" x14ac:dyDescent="0.35">
      <c r="A56" s="164" t="s">
        <v>67</v>
      </c>
      <c r="B56" s="132">
        <v>20</v>
      </c>
      <c r="C56" s="159">
        <v>200000</v>
      </c>
      <c r="D56" s="160">
        <v>200000</v>
      </c>
      <c r="E56" s="160" t="s">
        <v>45</v>
      </c>
      <c r="F56" s="160">
        <v>22000</v>
      </c>
      <c r="G56" s="160">
        <f t="shared" si="7"/>
        <v>222000</v>
      </c>
      <c r="H56" s="160">
        <f>1285.2*12</f>
        <v>15422.400000000001</v>
      </c>
      <c r="I56" s="160">
        <f t="shared" si="8"/>
        <v>308448</v>
      </c>
      <c r="J56" s="160">
        <v>388560</v>
      </c>
      <c r="K56" s="160">
        <f>I56+J56</f>
        <v>697008</v>
      </c>
      <c r="L56" s="193">
        <v>1.4200000000000001E-2</v>
      </c>
      <c r="M56" s="194">
        <v>4.2099999999999999E-2</v>
      </c>
    </row>
    <row r="57" spans="1:15" x14ac:dyDescent="0.35">
      <c r="A57" s="164" t="s">
        <v>27</v>
      </c>
      <c r="B57" s="165">
        <v>20</v>
      </c>
      <c r="C57" s="159">
        <v>199610.32</v>
      </c>
      <c r="D57" s="160">
        <f>C57</f>
        <v>199610.32</v>
      </c>
      <c r="E57" s="160" t="s">
        <v>45</v>
      </c>
      <c r="F57" s="160">
        <v>17674</v>
      </c>
      <c r="G57" s="160">
        <f t="shared" si="7"/>
        <v>217284.32</v>
      </c>
      <c r="H57" s="160">
        <f>980*12</f>
        <v>11760</v>
      </c>
      <c r="I57" s="160">
        <f t="shared" si="8"/>
        <v>235200</v>
      </c>
      <c r="J57" s="160">
        <v>376396</v>
      </c>
      <c r="K57" s="160">
        <f>I57+J57</f>
        <v>611596</v>
      </c>
      <c r="L57" s="166">
        <v>5.3E-3</v>
      </c>
      <c r="M57" s="184">
        <v>3.7400000000000003E-2</v>
      </c>
    </row>
    <row r="58" spans="1:15" ht="15" thickBot="1" x14ac:dyDescent="0.4">
      <c r="A58" s="168" t="s">
        <v>54</v>
      </c>
      <c r="B58" s="169">
        <v>20</v>
      </c>
      <c r="C58" s="170">
        <v>200000.9</v>
      </c>
      <c r="D58" s="170">
        <v>200001</v>
      </c>
      <c r="E58" s="170" t="s">
        <v>45</v>
      </c>
      <c r="F58" s="170">
        <v>22000</v>
      </c>
      <c r="G58" s="170">
        <f t="shared" si="7"/>
        <v>222001</v>
      </c>
      <c r="H58" s="170">
        <f>1010.59*12</f>
        <v>12127.08</v>
      </c>
      <c r="I58" s="170">
        <f t="shared" si="8"/>
        <v>242541.6</v>
      </c>
      <c r="J58" s="170">
        <v>390857</v>
      </c>
      <c r="K58" s="170">
        <f>I58+J58</f>
        <v>633398.6</v>
      </c>
      <c r="L58" s="195">
        <v>6.3E-3</v>
      </c>
      <c r="M58" s="196">
        <v>3.8699999999999998E-2</v>
      </c>
    </row>
    <row r="59" spans="1:15" x14ac:dyDescent="0.35">
      <c r="A59" s="135" t="s">
        <v>88</v>
      </c>
      <c r="B59" s="132"/>
      <c r="C59" s="159"/>
      <c r="D59" s="159"/>
      <c r="E59" s="159"/>
      <c r="F59" s="159"/>
      <c r="G59" s="159"/>
      <c r="H59" s="159"/>
      <c r="I59" s="159"/>
      <c r="J59" s="159"/>
      <c r="K59" s="159"/>
      <c r="L59" s="166"/>
      <c r="M59" s="197"/>
    </row>
    <row r="60" spans="1:15" x14ac:dyDescent="0.35">
      <c r="A60" s="131" t="s">
        <v>100</v>
      </c>
      <c r="B60" s="132"/>
      <c r="C60" s="159"/>
      <c r="D60" s="159"/>
      <c r="E60" s="159"/>
      <c r="F60" s="159"/>
      <c r="G60" s="159"/>
      <c r="H60" s="159"/>
      <c r="I60" s="159"/>
      <c r="J60" s="159"/>
      <c r="K60" s="159"/>
      <c r="L60" s="166"/>
      <c r="M60" s="197"/>
    </row>
    <row r="61" spans="1:15" x14ac:dyDescent="0.35">
      <c r="A61" s="131" t="s">
        <v>127</v>
      </c>
      <c r="B61" s="132"/>
      <c r="C61" s="159"/>
      <c r="D61" s="159"/>
      <c r="E61" s="159"/>
      <c r="F61" s="159"/>
      <c r="G61" s="159"/>
      <c r="H61" s="159"/>
      <c r="I61" s="159"/>
      <c r="J61" s="159"/>
      <c r="K61" s="159"/>
      <c r="L61" s="166"/>
      <c r="M61" s="197"/>
    </row>
    <row r="63" spans="1:15" x14ac:dyDescent="0.35">
      <c r="A63" s="135" t="s">
        <v>224</v>
      </c>
      <c r="B63" s="135"/>
      <c r="C63" s="136"/>
      <c r="D63" s="136"/>
      <c r="E63" s="137"/>
      <c r="F63" s="136"/>
      <c r="G63" s="136"/>
      <c r="H63" s="136"/>
      <c r="I63" s="138" t="s">
        <v>17</v>
      </c>
      <c r="J63" s="139" t="s">
        <v>18</v>
      </c>
      <c r="K63" s="136"/>
      <c r="L63" s="188"/>
      <c r="M63" s="188"/>
    </row>
    <row r="64" spans="1:15" ht="15" thickBot="1" x14ac:dyDescent="0.4">
      <c r="A64" s="135" t="s">
        <v>118</v>
      </c>
      <c r="B64" s="135"/>
      <c r="C64" s="136"/>
      <c r="D64" s="136"/>
      <c r="E64" s="137"/>
      <c r="F64" s="136"/>
      <c r="G64" s="136"/>
      <c r="H64" s="136"/>
      <c r="I64" s="135"/>
      <c r="J64" s="135"/>
      <c r="K64" s="136"/>
      <c r="L64" s="188"/>
      <c r="M64" s="188"/>
    </row>
    <row r="65" spans="1:13" ht="15" thickBot="1" x14ac:dyDescent="0.4">
      <c r="A65" s="142"/>
      <c r="B65" s="143"/>
      <c r="C65" s="143"/>
      <c r="D65" s="350" t="s">
        <v>80</v>
      </c>
      <c r="E65" s="351"/>
      <c r="F65" s="351"/>
      <c r="G65" s="352"/>
      <c r="H65" s="353" t="s">
        <v>81</v>
      </c>
      <c r="I65" s="354"/>
      <c r="J65" s="354"/>
      <c r="K65" s="354"/>
      <c r="L65" s="354"/>
      <c r="M65" s="355"/>
    </row>
    <row r="66" spans="1:13" ht="44" thickBot="1" x14ac:dyDescent="0.4">
      <c r="A66" s="144" t="s">
        <v>7</v>
      </c>
      <c r="B66" s="175" t="s">
        <v>10</v>
      </c>
      <c r="C66" s="176" t="s">
        <v>50</v>
      </c>
      <c r="D66" s="177" t="s">
        <v>77</v>
      </c>
      <c r="E66" s="178" t="s">
        <v>82</v>
      </c>
      <c r="F66" s="178" t="s">
        <v>78</v>
      </c>
      <c r="G66" s="179" t="s">
        <v>79</v>
      </c>
      <c r="H66" s="180" t="s">
        <v>11</v>
      </c>
      <c r="I66" s="181" t="s">
        <v>12</v>
      </c>
      <c r="J66" s="181" t="s">
        <v>13</v>
      </c>
      <c r="K66" s="182" t="s">
        <v>14</v>
      </c>
      <c r="L66" s="180" t="s">
        <v>84</v>
      </c>
      <c r="M66" s="182" t="s">
        <v>85</v>
      </c>
    </row>
    <row r="67" spans="1:13" x14ac:dyDescent="0.35">
      <c r="A67" s="156" t="s">
        <v>151</v>
      </c>
      <c r="B67" s="132">
        <v>20</v>
      </c>
      <c r="C67" s="159">
        <v>199330.95</v>
      </c>
      <c r="D67" s="159">
        <v>206307</v>
      </c>
      <c r="E67" s="160" t="s">
        <v>45</v>
      </c>
      <c r="F67" s="160">
        <v>53617</v>
      </c>
      <c r="G67" s="160">
        <f t="shared" ref="G67:G70" si="9">D67+F67</f>
        <v>259924</v>
      </c>
      <c r="H67" s="160">
        <f>1220*12</f>
        <v>14640</v>
      </c>
      <c r="I67" s="160">
        <f t="shared" ref="I67:I70" si="10">H67*20</f>
        <v>292800</v>
      </c>
      <c r="J67" s="160">
        <f>65580+118580</f>
        <v>184160</v>
      </c>
      <c r="K67" s="160">
        <f>I67+J67</f>
        <v>476960</v>
      </c>
      <c r="L67" s="197">
        <v>1.4999999999999999E-2</v>
      </c>
      <c r="M67" s="184">
        <v>3.4799999999999998E-2</v>
      </c>
    </row>
    <row r="68" spans="1:13" x14ac:dyDescent="0.35">
      <c r="A68" s="164" t="s">
        <v>67</v>
      </c>
      <c r="B68" s="132">
        <v>20</v>
      </c>
      <c r="C68" s="159">
        <v>200000</v>
      </c>
      <c r="D68" s="160">
        <v>200000</v>
      </c>
      <c r="E68" s="160" t="s">
        <v>45</v>
      </c>
      <c r="F68" s="160">
        <v>16000</v>
      </c>
      <c r="G68" s="160">
        <f t="shared" si="9"/>
        <v>216000</v>
      </c>
      <c r="H68" s="160">
        <f>1182.8*12</f>
        <v>14193.599999999999</v>
      </c>
      <c r="I68" s="160">
        <f t="shared" si="10"/>
        <v>283872</v>
      </c>
      <c r="J68" s="160">
        <v>249456</v>
      </c>
      <c r="K68" s="160">
        <f>I68+J68</f>
        <v>533328</v>
      </c>
      <c r="L68" s="193">
        <v>1.37E-2</v>
      </c>
      <c r="M68" s="194">
        <v>3.95E-2</v>
      </c>
    </row>
    <row r="69" spans="1:13" x14ac:dyDescent="0.35">
      <c r="A69" s="164" t="s">
        <v>27</v>
      </c>
      <c r="B69" s="165">
        <v>20</v>
      </c>
      <c r="C69" s="159">
        <v>199868.61</v>
      </c>
      <c r="D69" s="160">
        <f>C69</f>
        <v>199868.61</v>
      </c>
      <c r="E69" s="160" t="s">
        <v>45</v>
      </c>
      <c r="F69" s="160">
        <v>13329</v>
      </c>
      <c r="G69" s="160">
        <f t="shared" si="9"/>
        <v>213197.61</v>
      </c>
      <c r="H69" s="160">
        <f>950*12</f>
        <v>11400</v>
      </c>
      <c r="I69" s="160">
        <f t="shared" si="10"/>
        <v>228000</v>
      </c>
      <c r="J69" s="160">
        <v>254085</v>
      </c>
      <c r="K69" s="160">
        <f>I69+J69</f>
        <v>482085</v>
      </c>
      <c r="L69" s="166">
        <v>5.0000000000000001E-3</v>
      </c>
      <c r="M69" s="184">
        <v>3.5099999999999999E-2</v>
      </c>
    </row>
    <row r="70" spans="1:13" ht="15" thickBot="1" x14ac:dyDescent="0.4">
      <c r="A70" s="168" t="s">
        <v>54</v>
      </c>
      <c r="B70" s="169">
        <v>20</v>
      </c>
      <c r="C70" s="170">
        <v>199999.7</v>
      </c>
      <c r="D70" s="170">
        <v>200000</v>
      </c>
      <c r="E70" s="170" t="s">
        <v>45</v>
      </c>
      <c r="F70" s="170">
        <v>16000</v>
      </c>
      <c r="G70" s="170">
        <f t="shared" si="9"/>
        <v>216000</v>
      </c>
      <c r="H70" s="170">
        <f>914.59*12</f>
        <v>10975.08</v>
      </c>
      <c r="I70" s="170">
        <f t="shared" si="10"/>
        <v>219501.6</v>
      </c>
      <c r="J70" s="170">
        <v>285374</v>
      </c>
      <c r="K70" s="170">
        <f>I70+J70</f>
        <v>504875.6</v>
      </c>
      <c r="L70" s="195">
        <v>3.5999999999999999E-3</v>
      </c>
      <c r="M70" s="196">
        <v>3.7199999999999997E-2</v>
      </c>
    </row>
    <row r="71" spans="1:13" x14ac:dyDescent="0.35">
      <c r="A71" s="135" t="s">
        <v>88</v>
      </c>
      <c r="B71" s="132"/>
      <c r="C71" s="159"/>
      <c r="D71" s="159"/>
      <c r="E71" s="159"/>
      <c r="F71" s="159"/>
      <c r="G71" s="159"/>
      <c r="H71" s="159"/>
      <c r="I71" s="159"/>
      <c r="J71" s="159"/>
    </row>
    <row r="72" spans="1:13" x14ac:dyDescent="0.35">
      <c r="A72" s="131" t="s">
        <v>128</v>
      </c>
      <c r="B72" s="132"/>
      <c r="C72" s="159"/>
      <c r="D72" s="159"/>
      <c r="E72" s="159"/>
      <c r="F72" s="159"/>
      <c r="G72" s="159"/>
      <c r="H72" s="159"/>
      <c r="I72" s="159"/>
      <c r="J72" s="159"/>
    </row>
    <row r="73" spans="1:13" x14ac:dyDescent="0.35">
      <c r="A73" s="131" t="s">
        <v>127</v>
      </c>
      <c r="B73" s="132"/>
      <c r="C73" s="159"/>
      <c r="D73" s="159"/>
      <c r="E73" s="159"/>
      <c r="F73" s="159"/>
      <c r="G73" s="159"/>
      <c r="H73" s="159"/>
      <c r="I73" s="159"/>
      <c r="J73" s="159"/>
    </row>
    <row r="75" spans="1:13" x14ac:dyDescent="0.35">
      <c r="A75" s="135" t="s">
        <v>225</v>
      </c>
      <c r="B75" s="135"/>
      <c r="C75" s="136"/>
      <c r="D75" s="136"/>
      <c r="E75" s="137"/>
      <c r="F75" s="136"/>
      <c r="G75" s="136"/>
      <c r="H75" s="136"/>
      <c r="I75" s="138" t="s">
        <v>17</v>
      </c>
      <c r="J75" s="139" t="s">
        <v>18</v>
      </c>
      <c r="K75" s="136"/>
      <c r="L75" s="188"/>
      <c r="M75" s="188"/>
    </row>
    <row r="76" spans="1:13" ht="15" thickBot="1" x14ac:dyDescent="0.4">
      <c r="A76" s="135" t="s">
        <v>137</v>
      </c>
      <c r="B76" s="135"/>
      <c r="C76" s="136"/>
      <c r="D76" s="136"/>
      <c r="E76" s="137"/>
      <c r="F76" s="136"/>
      <c r="G76" s="136"/>
      <c r="H76" s="136"/>
      <c r="I76" s="135"/>
      <c r="J76" s="135"/>
      <c r="K76" s="136"/>
      <c r="L76" s="188"/>
      <c r="M76" s="188"/>
    </row>
    <row r="77" spans="1:13" ht="15" thickBot="1" x14ac:dyDescent="0.4">
      <c r="A77" s="142"/>
      <c r="B77" s="143"/>
      <c r="C77" s="143"/>
      <c r="D77" s="350" t="s">
        <v>80</v>
      </c>
      <c r="E77" s="351"/>
      <c r="F77" s="351"/>
      <c r="G77" s="352"/>
      <c r="H77" s="353" t="s">
        <v>81</v>
      </c>
      <c r="I77" s="354"/>
      <c r="J77" s="354"/>
      <c r="K77" s="354"/>
      <c r="L77" s="354"/>
      <c r="M77" s="355"/>
    </row>
    <row r="78" spans="1:13" ht="44" thickBot="1" x14ac:dyDescent="0.4">
      <c r="A78" s="144" t="s">
        <v>7</v>
      </c>
      <c r="B78" s="175" t="s">
        <v>10</v>
      </c>
      <c r="C78" s="176" t="s">
        <v>50</v>
      </c>
      <c r="D78" s="177" t="s">
        <v>77</v>
      </c>
      <c r="E78" s="178" t="s">
        <v>82</v>
      </c>
      <c r="F78" s="178" t="s">
        <v>78</v>
      </c>
      <c r="G78" s="179" t="s">
        <v>79</v>
      </c>
      <c r="H78" s="180" t="s">
        <v>11</v>
      </c>
      <c r="I78" s="181" t="s">
        <v>12</v>
      </c>
      <c r="J78" s="181" t="s">
        <v>13</v>
      </c>
      <c r="K78" s="182" t="s">
        <v>14</v>
      </c>
      <c r="L78" s="180" t="s">
        <v>84</v>
      </c>
      <c r="M78" s="182" t="s">
        <v>85</v>
      </c>
    </row>
    <row r="79" spans="1:13" x14ac:dyDescent="0.35">
      <c r="A79" s="156" t="s">
        <v>151</v>
      </c>
      <c r="B79" s="132">
        <v>20</v>
      </c>
      <c r="C79" s="159">
        <v>198560.25</v>
      </c>
      <c r="D79" s="159">
        <v>198560</v>
      </c>
      <c r="E79" s="160" t="s">
        <v>45</v>
      </c>
      <c r="F79" s="160">
        <v>35333</v>
      </c>
      <c r="G79" s="160">
        <f t="shared" ref="G79:G82" si="11">D79+F79</f>
        <v>233893</v>
      </c>
      <c r="H79" s="160">
        <f>1130*12</f>
        <v>13560</v>
      </c>
      <c r="I79" s="160">
        <f t="shared" ref="I79:I82" si="12">H79*20</f>
        <v>271200</v>
      </c>
      <c r="J79" s="160">
        <f>43220+69140</f>
        <v>112360</v>
      </c>
      <c r="K79" s="160">
        <f>I79+J79</f>
        <v>383560</v>
      </c>
      <c r="L79" s="197">
        <v>1.5100000000000001E-2</v>
      </c>
      <c r="M79" s="184">
        <v>3.2599999999999997E-2</v>
      </c>
    </row>
    <row r="80" spans="1:13" x14ac:dyDescent="0.35">
      <c r="A80" s="164" t="s">
        <v>67</v>
      </c>
      <c r="B80" s="132">
        <v>20</v>
      </c>
      <c r="C80" s="159">
        <v>200000</v>
      </c>
      <c r="D80" s="160">
        <v>200000</v>
      </c>
      <c r="E80" s="160" t="s">
        <v>45</v>
      </c>
      <c r="F80" s="160">
        <v>12000</v>
      </c>
      <c r="G80" s="160">
        <f t="shared" si="11"/>
        <v>212000</v>
      </c>
      <c r="H80" s="160">
        <f>1059*12</f>
        <v>12708</v>
      </c>
      <c r="I80" s="160">
        <f t="shared" si="12"/>
        <v>254160</v>
      </c>
      <c r="J80" s="160">
        <v>181920</v>
      </c>
      <c r="K80" s="160">
        <f>I80+J80</f>
        <v>436080</v>
      </c>
      <c r="L80" s="193">
        <v>1.1599999999999999E-2</v>
      </c>
      <c r="M80" s="194">
        <v>3.9100000000000003E-2</v>
      </c>
    </row>
    <row r="81" spans="1:13" x14ac:dyDescent="0.35">
      <c r="A81" s="164" t="s">
        <v>27</v>
      </c>
      <c r="B81" s="165">
        <v>20</v>
      </c>
      <c r="C81" s="159">
        <v>199827</v>
      </c>
      <c r="D81" s="160">
        <f>C81</f>
        <v>199827</v>
      </c>
      <c r="E81" s="160" t="s">
        <v>45</v>
      </c>
      <c r="F81" s="160">
        <v>8901</v>
      </c>
      <c r="G81" s="160">
        <f t="shared" si="11"/>
        <v>208728</v>
      </c>
      <c r="H81" s="160">
        <f>910*12</f>
        <v>10920</v>
      </c>
      <c r="I81" s="160">
        <f t="shared" si="12"/>
        <v>218400</v>
      </c>
      <c r="J81" s="160">
        <v>161851</v>
      </c>
      <c r="K81" s="160">
        <f>I81+J81</f>
        <v>380251</v>
      </c>
      <c r="L81" s="166">
        <v>4.1999999999999997E-3</v>
      </c>
      <c r="M81" s="184">
        <v>3.1800000000000002E-2</v>
      </c>
    </row>
    <row r="82" spans="1:13" ht="15" thickBot="1" x14ac:dyDescent="0.4">
      <c r="A82" s="168" t="s">
        <v>54</v>
      </c>
      <c r="B82" s="169">
        <v>20</v>
      </c>
      <c r="C82" s="170">
        <v>199999.9</v>
      </c>
      <c r="D82" s="170">
        <v>200000</v>
      </c>
      <c r="E82" s="170" t="s">
        <v>45</v>
      </c>
      <c r="F82" s="170">
        <v>10000</v>
      </c>
      <c r="G82" s="170">
        <f t="shared" si="11"/>
        <v>210000</v>
      </c>
      <c r="H82" s="170">
        <f>854.47*12</f>
        <v>10253.64</v>
      </c>
      <c r="I82" s="170">
        <f t="shared" si="12"/>
        <v>205072.8</v>
      </c>
      <c r="J82" s="170">
        <v>190082</v>
      </c>
      <c r="K82" s="170">
        <f>I82+J82</f>
        <v>395154.8</v>
      </c>
      <c r="L82" s="195">
        <v>1.1999999999999999E-3</v>
      </c>
      <c r="M82" s="196">
        <v>3.39E-2</v>
      </c>
    </row>
    <row r="83" spans="1:13" x14ac:dyDescent="0.35">
      <c r="A83" s="135" t="s">
        <v>88</v>
      </c>
      <c r="B83" s="132"/>
      <c r="C83" s="159"/>
      <c r="D83" s="159"/>
      <c r="E83" s="159"/>
      <c r="F83" s="159"/>
      <c r="G83" s="159"/>
      <c r="H83" s="159"/>
      <c r="I83" s="159"/>
      <c r="J83" s="159"/>
    </row>
    <row r="84" spans="1:13" x14ac:dyDescent="0.35">
      <c r="A84" s="131" t="s">
        <v>136</v>
      </c>
      <c r="B84" s="132"/>
      <c r="C84" s="159"/>
      <c r="D84" s="159"/>
      <c r="E84" s="159"/>
      <c r="F84" s="159"/>
      <c r="G84" s="159"/>
      <c r="H84" s="159"/>
      <c r="I84" s="159"/>
      <c r="J84" s="159"/>
    </row>
    <row r="85" spans="1:13" x14ac:dyDescent="0.35">
      <c r="A85" s="131" t="s">
        <v>127</v>
      </c>
      <c r="B85" s="132"/>
      <c r="C85" s="159"/>
      <c r="D85" s="159"/>
      <c r="E85" s="159"/>
      <c r="F85" s="159"/>
      <c r="G85" s="159"/>
      <c r="H85" s="159"/>
      <c r="I85" s="159"/>
      <c r="J85" s="159"/>
    </row>
    <row r="87" spans="1:13" x14ac:dyDescent="0.35">
      <c r="A87" s="135" t="s">
        <v>226</v>
      </c>
      <c r="B87" s="135"/>
      <c r="C87" s="136"/>
      <c r="D87" s="136"/>
      <c r="E87" s="137"/>
      <c r="F87" s="136"/>
      <c r="G87" s="136"/>
      <c r="H87" s="136"/>
      <c r="I87" s="138" t="s">
        <v>17</v>
      </c>
      <c r="J87" s="139" t="s">
        <v>18</v>
      </c>
      <c r="K87" s="136"/>
      <c r="L87" s="188"/>
      <c r="M87" s="188"/>
    </row>
    <row r="88" spans="1:13" ht="15" thickBot="1" x14ac:dyDescent="0.4">
      <c r="A88" s="135" t="s">
        <v>138</v>
      </c>
      <c r="B88" s="135"/>
      <c r="C88" s="136"/>
      <c r="D88" s="136"/>
      <c r="E88" s="137"/>
      <c r="F88" s="136"/>
      <c r="G88" s="136"/>
      <c r="H88" s="136"/>
      <c r="I88" s="135"/>
      <c r="J88" s="135"/>
      <c r="K88" s="136"/>
      <c r="L88" s="188"/>
      <c r="M88" s="188"/>
    </row>
    <row r="89" spans="1:13" ht="15" thickBot="1" x14ac:dyDescent="0.4">
      <c r="A89" s="142"/>
      <c r="B89" s="143"/>
      <c r="C89" s="143"/>
      <c r="D89" s="350" t="s">
        <v>80</v>
      </c>
      <c r="E89" s="351"/>
      <c r="F89" s="351"/>
      <c r="G89" s="352"/>
      <c r="H89" s="353" t="s">
        <v>81</v>
      </c>
      <c r="I89" s="354"/>
      <c r="J89" s="354"/>
      <c r="K89" s="354"/>
      <c r="L89" s="354"/>
      <c r="M89" s="355"/>
    </row>
    <row r="90" spans="1:13" ht="44" thickBot="1" x14ac:dyDescent="0.4">
      <c r="A90" s="144" t="s">
        <v>7</v>
      </c>
      <c r="B90" s="175" t="s">
        <v>10</v>
      </c>
      <c r="C90" s="176" t="s">
        <v>50</v>
      </c>
      <c r="D90" s="177" t="s">
        <v>77</v>
      </c>
      <c r="E90" s="178" t="s">
        <v>82</v>
      </c>
      <c r="F90" s="178" t="s">
        <v>78</v>
      </c>
      <c r="G90" s="179" t="s">
        <v>79</v>
      </c>
      <c r="H90" s="180" t="s">
        <v>11</v>
      </c>
      <c r="I90" s="181" t="s">
        <v>12</v>
      </c>
      <c r="J90" s="181" t="s">
        <v>13</v>
      </c>
      <c r="K90" s="182" t="s">
        <v>14</v>
      </c>
      <c r="L90" s="180" t="s">
        <v>84</v>
      </c>
      <c r="M90" s="182" t="s">
        <v>85</v>
      </c>
    </row>
    <row r="91" spans="1:13" x14ac:dyDescent="0.35">
      <c r="A91" s="156" t="s">
        <v>151</v>
      </c>
      <c r="B91" s="132">
        <v>20</v>
      </c>
      <c r="C91" s="159">
        <v>199143.3</v>
      </c>
      <c r="D91" s="159">
        <v>199143</v>
      </c>
      <c r="E91" s="160" t="s">
        <v>45</v>
      </c>
      <c r="F91" s="160">
        <v>18608</v>
      </c>
      <c r="G91" s="160">
        <f t="shared" ref="G91:G94" si="13">D91+F91</f>
        <v>217751</v>
      </c>
      <c r="H91" s="160">
        <f>1030*12</f>
        <v>12360</v>
      </c>
      <c r="I91" s="160">
        <f t="shared" ref="I91:I94" si="14">H91*20</f>
        <v>247200</v>
      </c>
      <c r="J91" s="160">
        <f>22760+68720</f>
        <v>91480</v>
      </c>
      <c r="K91" s="160">
        <f>I91+J91</f>
        <v>338680</v>
      </c>
      <c r="L91" s="197">
        <v>1.38E-2</v>
      </c>
      <c r="M91" s="199">
        <v>3.49E-2</v>
      </c>
    </row>
    <row r="92" spans="1:13" x14ac:dyDescent="0.35">
      <c r="A92" s="164" t="s">
        <v>67</v>
      </c>
      <c r="B92" s="132">
        <v>20</v>
      </c>
      <c r="C92" s="159">
        <v>200000</v>
      </c>
      <c r="D92" s="160">
        <v>200000</v>
      </c>
      <c r="E92" s="160" t="s">
        <v>45</v>
      </c>
      <c r="F92" s="160">
        <v>8000</v>
      </c>
      <c r="G92" s="160">
        <f t="shared" si="13"/>
        <v>208000</v>
      </c>
      <c r="H92" s="160">
        <f>944*12</f>
        <v>11328</v>
      </c>
      <c r="I92" s="160">
        <f t="shared" si="14"/>
        <v>226560</v>
      </c>
      <c r="J92" s="160">
        <v>110592</v>
      </c>
      <c r="K92" s="160">
        <f>I92+J92</f>
        <v>337152</v>
      </c>
      <c r="L92" s="193">
        <v>7.9000000000000008E-3</v>
      </c>
      <c r="M92" s="200">
        <v>3.4500000000000003E-2</v>
      </c>
    </row>
    <row r="93" spans="1:13" x14ac:dyDescent="0.35">
      <c r="A93" s="164" t="s">
        <v>27</v>
      </c>
      <c r="B93" s="165">
        <v>20</v>
      </c>
      <c r="C93" s="159">
        <v>197985.92000000001</v>
      </c>
      <c r="D93" s="160">
        <f>C93</f>
        <v>197985.92000000001</v>
      </c>
      <c r="E93" s="160" t="s">
        <v>45</v>
      </c>
      <c r="F93" s="160">
        <v>4223</v>
      </c>
      <c r="G93" s="160">
        <f t="shared" si="13"/>
        <v>202208.92</v>
      </c>
      <c r="H93" s="160">
        <f>880*12</f>
        <v>10560</v>
      </c>
      <c r="I93" s="160">
        <f t="shared" si="14"/>
        <v>211200</v>
      </c>
      <c r="J93" s="160">
        <v>83899</v>
      </c>
      <c r="K93" s="160">
        <f>I93+J93</f>
        <v>295099</v>
      </c>
      <c r="L93" s="166">
        <v>4.0000000000000001E-3</v>
      </c>
      <c r="M93" s="184">
        <v>2.58E-2</v>
      </c>
    </row>
    <row r="94" spans="1:13" ht="15" thickBot="1" x14ac:dyDescent="0.4">
      <c r="A94" s="168" t="s">
        <v>54</v>
      </c>
      <c r="B94" s="169">
        <v>20</v>
      </c>
      <c r="C94" s="170">
        <v>200000.8</v>
      </c>
      <c r="D94" s="170">
        <v>200001</v>
      </c>
      <c r="E94" s="170" t="s">
        <v>45</v>
      </c>
      <c r="F94" s="170">
        <v>6000</v>
      </c>
      <c r="G94" s="170">
        <f t="shared" si="13"/>
        <v>206001</v>
      </c>
      <c r="H94" s="170">
        <f>841.67*12</f>
        <v>10100.039999999999</v>
      </c>
      <c r="I94" s="170">
        <f t="shared" si="14"/>
        <v>202000.8</v>
      </c>
      <c r="J94" s="170">
        <v>113626</v>
      </c>
      <c r="K94" s="170">
        <f>I94+J94</f>
        <v>315626.8</v>
      </c>
      <c r="L94" s="195">
        <v>5.9999999999999995E-4</v>
      </c>
      <c r="M94" s="196">
        <v>2.9899999999999999E-2</v>
      </c>
    </row>
    <row r="95" spans="1:13" x14ac:dyDescent="0.35">
      <c r="A95" s="135" t="s">
        <v>88</v>
      </c>
      <c r="B95" s="132"/>
      <c r="C95" s="159"/>
      <c r="D95" s="159"/>
      <c r="E95" s="159"/>
      <c r="F95" s="159"/>
      <c r="G95" s="159"/>
      <c r="H95" s="159"/>
      <c r="I95" s="159"/>
      <c r="J95" s="159"/>
    </row>
    <row r="96" spans="1:13" x14ac:dyDescent="0.35">
      <c r="A96" s="131" t="s">
        <v>139</v>
      </c>
      <c r="B96" s="132"/>
      <c r="C96" s="159"/>
      <c r="D96" s="159"/>
      <c r="E96" s="159"/>
      <c r="F96" s="159"/>
      <c r="G96" s="159"/>
      <c r="H96" s="159"/>
      <c r="I96" s="159"/>
      <c r="J96" s="159"/>
    </row>
    <row r="97" spans="1:13" x14ac:dyDescent="0.35">
      <c r="A97" s="131" t="s">
        <v>127</v>
      </c>
      <c r="B97" s="132"/>
      <c r="C97" s="159"/>
      <c r="D97" s="159"/>
      <c r="E97" s="159"/>
      <c r="F97" s="159"/>
      <c r="G97" s="159"/>
      <c r="H97" s="159"/>
      <c r="I97" s="159"/>
      <c r="J97" s="159"/>
    </row>
    <row r="99" spans="1:13" ht="14.4" customHeight="1" x14ac:dyDescent="0.35">
      <c r="A99" s="135" t="s">
        <v>226</v>
      </c>
      <c r="B99" s="135"/>
      <c r="C99" s="136"/>
      <c r="D99" s="136"/>
      <c r="E99" s="137"/>
      <c r="F99" s="136"/>
      <c r="G99" s="136"/>
      <c r="H99" s="136"/>
      <c r="I99" s="138" t="s">
        <v>17</v>
      </c>
      <c r="J99" s="139" t="s">
        <v>18</v>
      </c>
      <c r="K99" s="136"/>
      <c r="L99" s="356" t="s">
        <v>145</v>
      </c>
      <c r="M99" s="356"/>
    </row>
    <row r="100" spans="1:13" ht="15" thickBot="1" x14ac:dyDescent="0.4">
      <c r="A100" s="135" t="s">
        <v>137</v>
      </c>
      <c r="B100" s="135"/>
      <c r="C100" s="136"/>
      <c r="D100" s="136"/>
      <c r="E100" s="137"/>
      <c r="F100" s="136"/>
      <c r="G100" s="136"/>
      <c r="H100" s="136"/>
      <c r="I100" s="135"/>
      <c r="J100" s="135"/>
      <c r="K100" s="136"/>
      <c r="L100" s="357"/>
      <c r="M100" s="357"/>
    </row>
    <row r="101" spans="1:13" ht="15" thickBot="1" x14ac:dyDescent="0.4">
      <c r="A101" s="142"/>
      <c r="B101" s="143"/>
      <c r="C101" s="143"/>
      <c r="D101" s="350" t="s">
        <v>80</v>
      </c>
      <c r="E101" s="351"/>
      <c r="F101" s="351"/>
      <c r="G101" s="352"/>
      <c r="H101" s="353" t="s">
        <v>81</v>
      </c>
      <c r="I101" s="354"/>
      <c r="J101" s="354"/>
      <c r="K101" s="354"/>
      <c r="L101" s="354"/>
      <c r="M101" s="355"/>
    </row>
    <row r="102" spans="1:13" ht="44" thickBot="1" x14ac:dyDescent="0.4">
      <c r="A102" s="144" t="s">
        <v>7</v>
      </c>
      <c r="B102" s="175" t="s">
        <v>10</v>
      </c>
      <c r="C102" s="176" t="s">
        <v>50</v>
      </c>
      <c r="D102" s="177" t="s">
        <v>77</v>
      </c>
      <c r="E102" s="178" t="s">
        <v>82</v>
      </c>
      <c r="F102" s="178" t="s">
        <v>78</v>
      </c>
      <c r="G102" s="179" t="s">
        <v>79</v>
      </c>
      <c r="H102" s="180" t="s">
        <v>11</v>
      </c>
      <c r="I102" s="181" t="s">
        <v>12</v>
      </c>
      <c r="J102" s="181" t="s">
        <v>13</v>
      </c>
      <c r="K102" s="182" t="s">
        <v>14</v>
      </c>
      <c r="L102" s="180" t="s">
        <v>84</v>
      </c>
      <c r="M102" s="182" t="s">
        <v>85</v>
      </c>
    </row>
    <row r="103" spans="1:13" x14ac:dyDescent="0.35">
      <c r="A103" s="156" t="s">
        <v>151</v>
      </c>
      <c r="B103" s="132">
        <v>20</v>
      </c>
      <c r="C103" s="159">
        <v>198560.25</v>
      </c>
      <c r="D103" s="159">
        <f>C103</f>
        <v>198560.25</v>
      </c>
      <c r="E103" s="160" t="s">
        <v>45</v>
      </c>
      <c r="F103" s="160">
        <v>35333</v>
      </c>
      <c r="G103" s="160">
        <f>D103+F103</f>
        <v>233893.25</v>
      </c>
      <c r="H103" s="160">
        <f>1130*12</f>
        <v>13560</v>
      </c>
      <c r="I103" s="160">
        <f t="shared" ref="I103:I106" si="15">H103*20</f>
        <v>271200</v>
      </c>
      <c r="J103" s="160">
        <f>43220+75660</f>
        <v>118880</v>
      </c>
      <c r="K103" s="160">
        <f>I103+J103</f>
        <v>390080</v>
      </c>
      <c r="L103" s="197">
        <v>1.5100000000000001E-2</v>
      </c>
      <c r="M103" s="184">
        <v>3.3500000000000002E-2</v>
      </c>
    </row>
    <row r="104" spans="1:13" x14ac:dyDescent="0.35">
      <c r="A104" s="164" t="s">
        <v>67</v>
      </c>
      <c r="B104" s="132">
        <v>20</v>
      </c>
      <c r="C104" s="159">
        <v>200000</v>
      </c>
      <c r="D104" s="160">
        <f>C104</f>
        <v>200000</v>
      </c>
      <c r="E104" s="160" t="s">
        <v>45</v>
      </c>
      <c r="F104" s="160">
        <v>12000</v>
      </c>
      <c r="G104" s="160">
        <f>D104+F104</f>
        <v>212000</v>
      </c>
      <c r="H104" s="160">
        <f>1044*12</f>
        <v>12528</v>
      </c>
      <c r="I104" s="201">
        <f>H104*20</f>
        <v>250560</v>
      </c>
      <c r="J104" s="160">
        <v>185520</v>
      </c>
      <c r="K104" s="160">
        <f>I104+J104</f>
        <v>436080</v>
      </c>
      <c r="L104" s="202">
        <v>1.09E-2</v>
      </c>
      <c r="M104" s="194">
        <v>3.9100000000000003E-2</v>
      </c>
    </row>
    <row r="105" spans="1:13" x14ac:dyDescent="0.35">
      <c r="A105" s="164" t="s">
        <v>27</v>
      </c>
      <c r="B105" s="165">
        <v>20</v>
      </c>
      <c r="C105" s="159">
        <v>199987.97</v>
      </c>
      <c r="D105" s="160">
        <f>C105</f>
        <v>199987.97</v>
      </c>
      <c r="E105" s="160" t="s">
        <v>45</v>
      </c>
      <c r="F105" s="160">
        <v>8536</v>
      </c>
      <c r="G105" s="160">
        <f>D105+F105</f>
        <v>208523.97</v>
      </c>
      <c r="H105" s="160">
        <f>910*12</f>
        <v>10920</v>
      </c>
      <c r="I105" s="160">
        <f t="shared" si="15"/>
        <v>218400</v>
      </c>
      <c r="J105" s="160">
        <v>155100</v>
      </c>
      <c r="K105" s="160">
        <f>I105+J105</f>
        <v>373500</v>
      </c>
      <c r="L105" s="166">
        <v>4.1999999999999997E-3</v>
      </c>
      <c r="M105" s="184">
        <v>3.0800000000000001E-2</v>
      </c>
    </row>
    <row r="106" spans="1:13" ht="15" thickBot="1" x14ac:dyDescent="0.4">
      <c r="A106" s="168" t="s">
        <v>54</v>
      </c>
      <c r="B106" s="169">
        <v>20</v>
      </c>
      <c r="C106" s="170">
        <v>199999.9</v>
      </c>
      <c r="D106" s="170">
        <f>C106</f>
        <v>199999.9</v>
      </c>
      <c r="E106" s="170" t="s">
        <v>45</v>
      </c>
      <c r="F106" s="170">
        <v>10000</v>
      </c>
      <c r="G106" s="170">
        <f>D106+F106</f>
        <v>209999.9</v>
      </c>
      <c r="H106" s="170">
        <f>854.47*12</f>
        <v>10253.64</v>
      </c>
      <c r="I106" s="170">
        <f t="shared" si="15"/>
        <v>205072.8</v>
      </c>
      <c r="J106" s="170">
        <v>190082</v>
      </c>
      <c r="K106" s="170">
        <f>I106+J106</f>
        <v>395154.8</v>
      </c>
      <c r="L106" s="195">
        <v>1.1999999999999999E-3</v>
      </c>
      <c r="M106" s="196">
        <v>3.39E-2</v>
      </c>
    </row>
    <row r="107" spans="1:13" x14ac:dyDescent="0.35">
      <c r="A107" s="135" t="s">
        <v>88</v>
      </c>
      <c r="B107" s="132"/>
      <c r="C107" s="159"/>
      <c r="D107" s="159"/>
      <c r="E107" s="159"/>
      <c r="F107" s="159"/>
      <c r="G107" s="159"/>
      <c r="H107" s="159"/>
      <c r="I107" s="159"/>
      <c r="J107" s="159"/>
    </row>
    <row r="108" spans="1:13" x14ac:dyDescent="0.35">
      <c r="A108" s="131" t="s">
        <v>144</v>
      </c>
      <c r="B108" s="132"/>
      <c r="C108" s="159"/>
      <c r="D108" s="159"/>
      <c r="E108" s="159"/>
      <c r="F108" s="159"/>
      <c r="G108" s="159"/>
      <c r="H108" s="159"/>
      <c r="I108" s="159"/>
      <c r="J108" s="159"/>
    </row>
    <row r="109" spans="1:13" x14ac:dyDescent="0.35">
      <c r="A109" s="131" t="s">
        <v>143</v>
      </c>
      <c r="B109" s="132"/>
      <c r="C109" s="159"/>
      <c r="D109" s="159"/>
      <c r="E109" s="159"/>
      <c r="F109" s="159"/>
      <c r="G109" s="159"/>
      <c r="H109" s="159"/>
      <c r="I109" s="159"/>
      <c r="J109" s="159"/>
    </row>
  </sheetData>
  <sheetProtection algorithmName="SHA-512" hashValue="wRQqnd6jdO5ns3o+/VzZ2inhzwgJx8FiGhUjDj/Rbx3XDUPo4PKakPOIrdvwULiBtPT8GyA0CD3prg6cobi2mA==" saltValue="Ov3922xndEjXgU+sGXElBQ==" spinCount="100000" sheet="1" objects="1" scenarios="1" selectLockedCells="1" autoFilter="0" selectUnlockedCells="1"/>
  <mergeCells count="21">
    <mergeCell ref="D101:G101"/>
    <mergeCell ref="H101:M101"/>
    <mergeCell ref="D77:G77"/>
    <mergeCell ref="H77:M77"/>
    <mergeCell ref="D89:G89"/>
    <mergeCell ref="H89:M89"/>
    <mergeCell ref="O5:O6"/>
    <mergeCell ref="O7:O33"/>
    <mergeCell ref="D16:G16"/>
    <mergeCell ref="H16:M16"/>
    <mergeCell ref="D28:G28"/>
    <mergeCell ref="H28:M28"/>
    <mergeCell ref="D41:G41"/>
    <mergeCell ref="H41:M41"/>
    <mergeCell ref="L99:M100"/>
    <mergeCell ref="D4:G4"/>
    <mergeCell ref="H4:M4"/>
    <mergeCell ref="D53:G53"/>
    <mergeCell ref="H53:M53"/>
    <mergeCell ref="D65:G65"/>
    <mergeCell ref="H65:M65"/>
  </mergeCells>
  <conditionalFormatting sqref="L6">
    <cfRule type="top10" dxfId="190" priority="7" rank="1"/>
  </conditionalFormatting>
  <conditionalFormatting sqref="L18">
    <cfRule type="top10" dxfId="189" priority="8" rank="1"/>
  </conditionalFormatting>
  <conditionalFormatting sqref="L30">
    <cfRule type="top10" dxfId="188" priority="9" rank="1"/>
  </conditionalFormatting>
  <conditionalFormatting sqref="L43">
    <cfRule type="top10" dxfId="187" priority="10" rank="1"/>
  </conditionalFormatting>
  <conditionalFormatting sqref="L55">
    <cfRule type="top10" dxfId="186" priority="11" rank="1"/>
  </conditionalFormatting>
  <conditionalFormatting sqref="L67:L70">
    <cfRule type="top10" dxfId="185" priority="13" rank="1"/>
  </conditionalFormatting>
  <conditionalFormatting sqref="L79:L82">
    <cfRule type="top10" dxfId="184" priority="6" rank="1"/>
  </conditionalFormatting>
  <conditionalFormatting sqref="L91:L94">
    <cfRule type="top10" dxfId="183" priority="4" rank="1"/>
  </conditionalFormatting>
  <conditionalFormatting sqref="L103:L106">
    <cfRule type="top10" dxfId="182" priority="2" rank="1"/>
  </conditionalFormatting>
  <conditionalFormatting sqref="M56:M61">
    <cfRule type="top10" dxfId="181" priority="14" rank="1"/>
  </conditionalFormatting>
  <conditionalFormatting sqref="M67:M70">
    <cfRule type="top10" dxfId="180" priority="12" rank="1"/>
  </conditionalFormatting>
  <conditionalFormatting sqref="M79:M82">
    <cfRule type="top10" dxfId="179" priority="5" rank="1"/>
  </conditionalFormatting>
  <conditionalFormatting sqref="M91:M94">
    <cfRule type="top10" dxfId="178" priority="3" rank="1"/>
  </conditionalFormatting>
  <conditionalFormatting sqref="M103:M106">
    <cfRule type="top10" dxfId="177" priority="1" rank="1"/>
  </conditionalFormatting>
  <printOptions horizontalCentered="1" verticalCentered="1"/>
  <pageMargins left="0" right="0" top="0" bottom="0" header="0" footer="0"/>
  <pageSetup paperSize="9" scale="45" orientation="landscape" r:id="rId1"/>
  <headerFooter>
    <oddFooter>&amp;L_x000D_&amp;1#&amp;"Calibri"&amp;8&amp;K0000FF Internal</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11FB-8E36-4365-8FCE-0A314F74DE16}">
  <sheetPr>
    <pageSetUpPr fitToPage="1"/>
  </sheetPr>
  <dimension ref="A2:S56"/>
  <sheetViews>
    <sheetView showGridLines="0" zoomScale="70" zoomScaleNormal="70" workbookViewId="0">
      <pane xSplit="1" topLeftCell="B1" activePane="topRight" state="frozen"/>
      <selection pane="topRight" activeCell="I19" sqref="I19:N19"/>
    </sheetView>
  </sheetViews>
  <sheetFormatPr defaultColWidth="9.1796875" defaultRowHeight="14.5" x14ac:dyDescent="0.35"/>
  <cols>
    <col min="1" max="1" width="33.453125" style="131" customWidth="1"/>
    <col min="2" max="2" width="12.1796875" style="131" bestFit="1" customWidth="1"/>
    <col min="3" max="3" width="12.36328125" style="131" customWidth="1"/>
    <col min="4" max="4" width="12.54296875" style="131" bestFit="1" customWidth="1"/>
    <col min="5" max="5" width="17.1796875" style="131" hidden="1" customWidth="1"/>
    <col min="6" max="6" width="40.81640625" style="131" customWidth="1"/>
    <col min="7" max="7" width="18.1796875" style="131" hidden="1" customWidth="1"/>
    <col min="8" max="8" width="19.81640625" style="131" hidden="1" customWidth="1"/>
    <col min="9" max="9" width="16.81640625" style="131" hidden="1" customWidth="1"/>
    <col min="10" max="10" width="17" style="131" customWidth="1"/>
    <col min="11" max="11" width="14.54296875" style="131" bestFit="1" customWidth="1"/>
    <col min="12" max="12" width="17.54296875" style="131" bestFit="1" customWidth="1"/>
    <col min="13" max="13" width="15.54296875" style="131" customWidth="1"/>
    <col min="14" max="14" width="17.1796875" style="131" customWidth="1"/>
    <col min="15" max="15" width="9.81640625" style="131" customWidth="1"/>
    <col min="16" max="16" width="60.81640625" style="141" customWidth="1"/>
    <col min="17" max="17" width="29.453125" style="131" customWidth="1"/>
    <col min="18" max="18" width="11.81640625" style="131" hidden="1" customWidth="1"/>
    <col min="19" max="19" width="13.1796875" style="131" hidden="1" customWidth="1"/>
    <col min="20" max="20" width="11.54296875" style="131" customWidth="1"/>
    <col min="21" max="21" width="12" style="131" customWidth="1"/>
    <col min="22" max="22" width="10" style="131" bestFit="1" customWidth="1"/>
    <col min="23" max="23" width="11.453125" style="131" customWidth="1"/>
    <col min="24" max="24" width="12.453125" style="131" customWidth="1"/>
    <col min="25" max="25" width="11.453125" style="131" customWidth="1"/>
    <col min="26" max="26" width="10" style="131" bestFit="1" customWidth="1"/>
    <col min="27" max="27" width="20.54296875" style="131" customWidth="1"/>
    <col min="28" max="16384" width="9.1796875" style="131"/>
  </cols>
  <sheetData>
    <row r="2" spans="1:19" ht="15" customHeight="1" x14ac:dyDescent="0.35">
      <c r="A2" s="135" t="s">
        <v>227</v>
      </c>
      <c r="B2" s="135"/>
      <c r="C2" s="136"/>
      <c r="D2" s="136"/>
      <c r="E2" s="136"/>
      <c r="F2" s="136"/>
      <c r="G2" s="136"/>
      <c r="H2" s="136"/>
      <c r="I2" s="136"/>
      <c r="J2" s="138" t="s">
        <v>17</v>
      </c>
      <c r="K2" s="139" t="s">
        <v>18</v>
      </c>
      <c r="L2" s="136"/>
      <c r="M2" s="188"/>
      <c r="N2" s="188"/>
      <c r="O2" s="136"/>
    </row>
    <row r="3" spans="1:19" ht="19.399999999999999" customHeight="1" thickBot="1" x14ac:dyDescent="0.4">
      <c r="A3" s="135" t="s">
        <v>228</v>
      </c>
      <c r="B3" s="135"/>
      <c r="C3" s="136"/>
      <c r="D3" s="136"/>
      <c r="E3" s="136"/>
      <c r="F3" s="136"/>
      <c r="G3" s="136"/>
      <c r="H3" s="136"/>
      <c r="I3" s="136"/>
      <c r="J3" s="135"/>
      <c r="K3" s="135"/>
      <c r="L3" s="136"/>
      <c r="M3" s="188"/>
      <c r="N3" s="188"/>
      <c r="O3" s="136"/>
    </row>
    <row r="4" spans="1:19" ht="15" thickBot="1" x14ac:dyDescent="0.4">
      <c r="A4" s="377"/>
      <c r="B4" s="378"/>
      <c r="C4" s="378"/>
      <c r="D4" s="378"/>
      <c r="E4" s="350" t="s">
        <v>80</v>
      </c>
      <c r="F4" s="351"/>
      <c r="G4" s="351"/>
      <c r="H4" s="352"/>
      <c r="I4" s="353" t="s">
        <v>81</v>
      </c>
      <c r="J4" s="354"/>
      <c r="K4" s="354"/>
      <c r="L4" s="354"/>
      <c r="M4" s="354"/>
      <c r="N4" s="355"/>
      <c r="O4" s="135"/>
    </row>
    <row r="5" spans="1:19" s="132" customFormat="1" ht="44"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O5" s="155"/>
      <c r="P5" s="206" t="s">
        <v>15</v>
      </c>
      <c r="R5" s="132" t="s">
        <v>297</v>
      </c>
      <c r="S5" s="132" t="s">
        <v>298</v>
      </c>
    </row>
    <row r="6" spans="1:19" ht="14.9" customHeight="1" x14ac:dyDescent="0.35">
      <c r="A6" s="156" t="s">
        <v>151</v>
      </c>
      <c r="B6" s="207">
        <v>20</v>
      </c>
      <c r="C6" s="208">
        <v>11981.3</v>
      </c>
      <c r="D6" s="208">
        <f>10*C6</f>
        <v>119813</v>
      </c>
      <c r="E6" s="209">
        <v>138983</v>
      </c>
      <c r="F6" s="209" t="str">
        <f>IF(E6&gt;=D6,"Yes","No")</f>
        <v>Yes</v>
      </c>
      <c r="G6" s="209">
        <v>85816</v>
      </c>
      <c r="H6" s="209">
        <f>E6+G6</f>
        <v>224799</v>
      </c>
      <c r="I6" s="209">
        <f>1120*12</f>
        <v>13440</v>
      </c>
      <c r="J6" s="209">
        <f>I6*20</f>
        <v>268800</v>
      </c>
      <c r="K6" s="209">
        <f>104960+322820</f>
        <v>427780</v>
      </c>
      <c r="L6" s="209">
        <f>J6+K6</f>
        <v>696580</v>
      </c>
      <c r="M6" s="210">
        <v>1.7600000000000001E-2</v>
      </c>
      <c r="N6" s="211">
        <v>3.9E-2</v>
      </c>
      <c r="P6" s="363" t="s">
        <v>132</v>
      </c>
      <c r="R6" s="132" t="str" cm="1">
        <f t="array" ref="R6">INDEX(A6:A10,MATCH(MAX(M6:M10),M6:M10,0),0)</f>
        <v>Singlife Flexi Retirement (II)</v>
      </c>
      <c r="S6" s="132" t="str" cm="1">
        <f t="array" ref="S6">INDEX(A6:A10,MATCH(MAX(N6:N10),N6:N10,0),0)</f>
        <v>Income Gro Retire Flex Pro</v>
      </c>
    </row>
    <row r="7" spans="1:19" ht="14.9" customHeight="1" x14ac:dyDescent="0.35">
      <c r="A7" s="164" t="s">
        <v>64</v>
      </c>
      <c r="B7" s="165">
        <v>20</v>
      </c>
      <c r="C7" s="173">
        <v>11908</v>
      </c>
      <c r="D7" s="173">
        <f t="shared" ref="D7:D10" si="0">10*C7</f>
        <v>119080</v>
      </c>
      <c r="E7" s="212">
        <v>127070</v>
      </c>
      <c r="F7" s="212" t="str">
        <f>IF(E7&gt;=D7,"Yes","No")</f>
        <v>Yes</v>
      </c>
      <c r="G7" s="212">
        <v>29579</v>
      </c>
      <c r="H7" s="212">
        <f>E7+G7</f>
        <v>156649</v>
      </c>
      <c r="I7" s="212">
        <v>7800</v>
      </c>
      <c r="J7" s="212">
        <v>202800</v>
      </c>
      <c r="K7" s="212">
        <f>L7-J7</f>
        <v>573388</v>
      </c>
      <c r="L7" s="212">
        <v>776188</v>
      </c>
      <c r="M7" s="213">
        <v>1.1299999999999999E-2</v>
      </c>
      <c r="N7" s="214">
        <v>4.0800000000000003E-2</v>
      </c>
      <c r="P7" s="364"/>
      <c r="R7" s="132" t="str" cm="1">
        <f t="array" ref="R7">INDEX(A21:A24,MATCH(MAX(M21:M24),M21:M24,0),0)</f>
        <v>Singlife Flexi Retirement (II)</v>
      </c>
      <c r="S7" s="132" t="str" cm="1">
        <f t="array" ref="S7">INDEX(A21:A24,MATCH(MAX(N21:N24),N21:N24,0),0)</f>
        <v>China Life Prosperous Retirement</v>
      </c>
    </row>
    <row r="8" spans="1:19" ht="14.9" customHeight="1" x14ac:dyDescent="0.35">
      <c r="A8" s="164" t="s">
        <v>26</v>
      </c>
      <c r="B8" s="165">
        <v>20</v>
      </c>
      <c r="C8" s="173">
        <v>11691.8</v>
      </c>
      <c r="D8" s="173">
        <f t="shared" si="0"/>
        <v>116918</v>
      </c>
      <c r="E8" s="212">
        <f>D8</f>
        <v>116918</v>
      </c>
      <c r="F8" s="212" t="str">
        <f>IF(E8&gt;=D8,"Yes","No")</f>
        <v>Yes</v>
      </c>
      <c r="G8" s="212">
        <v>139879</v>
      </c>
      <c r="H8" s="212">
        <f>E8+G8</f>
        <v>256797</v>
      </c>
      <c r="I8" s="212">
        <f>850*12</f>
        <v>10200</v>
      </c>
      <c r="J8" s="212">
        <f t="shared" ref="J8:J10" si="1">I8*20</f>
        <v>204000</v>
      </c>
      <c r="K8" s="212">
        <f>L8-J8</f>
        <v>447621.4</v>
      </c>
      <c r="L8" s="212">
        <v>651621.4</v>
      </c>
      <c r="M8" s="213">
        <v>1.2200000000000001E-2</v>
      </c>
      <c r="N8" s="215">
        <v>3.5000000000000003E-2</v>
      </c>
      <c r="P8" s="364"/>
      <c r="R8" s="132" t="str" cm="1">
        <f t="array" ref="R8">INDEX(A34:A38,MATCH(MAX(M34:M38),M34:M38,0),0)</f>
        <v>Singlife Flexi Retirement (II)</v>
      </c>
      <c r="S8" s="132" t="str" cm="1">
        <f t="array" ref="S8">INDEX(A34:A38,MATCH(MAX(N34:N38),N34:N38,0),0)</f>
        <v>Income Gro Retire Flex Pro</v>
      </c>
    </row>
    <row r="9" spans="1:19" x14ac:dyDescent="0.35">
      <c r="A9" s="164" t="s">
        <v>27</v>
      </c>
      <c r="B9" s="165">
        <v>20</v>
      </c>
      <c r="C9" s="173">
        <v>11942.64</v>
      </c>
      <c r="D9" s="216">
        <f t="shared" si="0"/>
        <v>119426.4</v>
      </c>
      <c r="E9" s="212">
        <v>119426</v>
      </c>
      <c r="F9" s="212" t="s">
        <v>45</v>
      </c>
      <c r="G9" s="212">
        <v>35094</v>
      </c>
      <c r="H9" s="212">
        <f>E9+G9</f>
        <v>154520</v>
      </c>
      <c r="I9" s="212">
        <f>760*12</f>
        <v>9120</v>
      </c>
      <c r="J9" s="212">
        <f t="shared" si="1"/>
        <v>182400</v>
      </c>
      <c r="K9" s="212">
        <v>522331</v>
      </c>
      <c r="L9" s="212">
        <f t="shared" ref="L9:L10" si="2">J9+K9</f>
        <v>704731</v>
      </c>
      <c r="M9" s="213">
        <v>9.1000000000000004E-3</v>
      </c>
      <c r="N9" s="215">
        <v>3.9199999999999999E-2</v>
      </c>
      <c r="P9" s="364"/>
      <c r="R9" s="132" t="str" cm="1">
        <f t="array" ref="R9">INDEX(A49:A52,MATCH(MAX(M49:M52),M49:M52,0),0)</f>
        <v>Singlife Flexi Retirement (II)</v>
      </c>
      <c r="S9" s="132" t="str" cm="1">
        <f t="array" ref="S9">INDEX(A49:A52,MATCH(MAX(N49:N52),N49:N52,0),0)</f>
        <v>China Life Prosperous Retirement</v>
      </c>
    </row>
    <row r="10" spans="1:19" ht="15" thickBot="1" x14ac:dyDescent="0.4">
      <c r="A10" s="168" t="s">
        <v>54</v>
      </c>
      <c r="B10" s="169">
        <v>20</v>
      </c>
      <c r="C10" s="217">
        <v>12000</v>
      </c>
      <c r="D10" s="217">
        <f t="shared" si="0"/>
        <v>120000</v>
      </c>
      <c r="E10" s="217">
        <v>123032</v>
      </c>
      <c r="F10" s="217" t="str">
        <f>IF(E10&gt;=D10,"Yes","No")</f>
        <v>Yes</v>
      </c>
      <c r="G10" s="217">
        <v>34326</v>
      </c>
      <c r="H10" s="217">
        <f>E10+G10</f>
        <v>157358</v>
      </c>
      <c r="I10" s="217">
        <f>917.55*12</f>
        <v>11010.599999999999</v>
      </c>
      <c r="J10" s="217">
        <f t="shared" si="1"/>
        <v>220211.99999999997</v>
      </c>
      <c r="K10" s="217">
        <v>563986</v>
      </c>
      <c r="L10" s="217">
        <f t="shared" si="2"/>
        <v>784198</v>
      </c>
      <c r="M10" s="218">
        <v>1.32E-2</v>
      </c>
      <c r="N10" s="219">
        <v>4.1700000000000001E-2</v>
      </c>
      <c r="P10" s="364"/>
    </row>
    <row r="11" spans="1:19" x14ac:dyDescent="0.35">
      <c r="A11" s="135" t="s">
        <v>88</v>
      </c>
      <c r="C11" s="173"/>
      <c r="D11" s="216"/>
      <c r="E11" s="173"/>
      <c r="F11" s="173"/>
      <c r="G11" s="173"/>
      <c r="H11" s="173"/>
      <c r="I11" s="173"/>
      <c r="J11" s="173"/>
      <c r="K11" s="173"/>
      <c r="L11" s="173"/>
      <c r="M11" s="174"/>
      <c r="N11" s="174"/>
      <c r="P11" s="364"/>
    </row>
    <row r="12" spans="1:19" x14ac:dyDescent="0.35">
      <c r="A12" s="131" t="s">
        <v>90</v>
      </c>
      <c r="C12" s="173"/>
      <c r="D12" s="216"/>
      <c r="E12" s="173"/>
      <c r="F12" s="173"/>
      <c r="G12" s="173"/>
      <c r="H12" s="173"/>
      <c r="I12" s="173"/>
      <c r="J12" s="173"/>
      <c r="K12" s="173"/>
      <c r="L12" s="173"/>
      <c r="M12" s="174"/>
      <c r="N12" s="174"/>
      <c r="P12" s="364"/>
    </row>
    <row r="13" spans="1:19" x14ac:dyDescent="0.35">
      <c r="A13" s="131" t="s">
        <v>97</v>
      </c>
      <c r="C13" s="173"/>
      <c r="D13" s="216"/>
      <c r="E13" s="173"/>
      <c r="F13" s="173"/>
      <c r="G13" s="173"/>
      <c r="H13" s="173"/>
      <c r="I13" s="173"/>
      <c r="J13" s="173"/>
      <c r="K13" s="173"/>
      <c r="L13" s="173"/>
      <c r="M13" s="174"/>
      <c r="N13" s="174"/>
      <c r="P13" s="364"/>
    </row>
    <row r="14" spans="1:19" x14ac:dyDescent="0.35">
      <c r="A14" s="131" t="s">
        <v>98</v>
      </c>
      <c r="C14" s="173"/>
      <c r="D14" s="216"/>
      <c r="E14" s="173"/>
      <c r="F14" s="173"/>
      <c r="G14" s="173"/>
      <c r="H14" s="173"/>
      <c r="I14" s="173"/>
      <c r="J14" s="173"/>
      <c r="K14" s="173"/>
      <c r="L14" s="173"/>
      <c r="M14" s="174"/>
      <c r="N14" s="174"/>
      <c r="P14" s="364"/>
    </row>
    <row r="15" spans="1:19" x14ac:dyDescent="0.35">
      <c r="A15" s="131" t="s">
        <v>129</v>
      </c>
      <c r="C15" s="173"/>
      <c r="D15" s="216"/>
      <c r="E15" s="173"/>
      <c r="F15" s="173"/>
      <c r="G15" s="173"/>
      <c r="H15" s="173"/>
      <c r="I15" s="173"/>
      <c r="J15" s="173"/>
      <c r="K15" s="173"/>
      <c r="L15" s="173"/>
      <c r="M15" s="174"/>
      <c r="N15" s="174"/>
      <c r="P15" s="364"/>
    </row>
    <row r="16" spans="1:19" x14ac:dyDescent="0.35">
      <c r="C16" s="173"/>
      <c r="D16" s="216"/>
      <c r="E16" s="173"/>
      <c r="F16" s="173"/>
      <c r="G16" s="173"/>
      <c r="H16" s="173"/>
      <c r="I16" s="173"/>
      <c r="J16" s="173"/>
      <c r="K16" s="173"/>
      <c r="L16" s="173"/>
      <c r="M16" s="174"/>
      <c r="N16" s="174"/>
      <c r="P16" s="364"/>
    </row>
    <row r="17" spans="1:16" ht="25.4" customHeight="1" x14ac:dyDescent="0.35">
      <c r="A17" s="135" t="s">
        <v>229</v>
      </c>
      <c r="B17" s="135"/>
      <c r="C17" s="136"/>
      <c r="D17" s="136"/>
      <c r="E17" s="136"/>
      <c r="F17" s="136"/>
      <c r="G17" s="136"/>
      <c r="H17" s="136"/>
      <c r="I17" s="136"/>
      <c r="J17" s="138" t="s">
        <v>17</v>
      </c>
      <c r="K17" s="139" t="s">
        <v>18</v>
      </c>
      <c r="L17" s="136"/>
      <c r="M17" s="188"/>
      <c r="N17" s="188"/>
      <c r="O17" s="136"/>
      <c r="P17" s="364"/>
    </row>
    <row r="18" spans="1:16" ht="16.5" customHeight="1" thickBot="1" x14ac:dyDescent="0.4">
      <c r="A18" s="135" t="s">
        <v>230</v>
      </c>
      <c r="B18" s="135"/>
      <c r="C18" s="136"/>
      <c r="D18" s="136"/>
      <c r="E18" s="136"/>
      <c r="F18" s="136"/>
      <c r="G18" s="136"/>
      <c r="H18" s="136"/>
      <c r="I18" s="136"/>
      <c r="J18" s="135"/>
      <c r="K18" s="135"/>
      <c r="L18" s="136"/>
      <c r="M18" s="188"/>
      <c r="N18" s="188"/>
      <c r="O18" s="136"/>
      <c r="P18" s="364"/>
    </row>
    <row r="19" spans="1:16" ht="15" thickBot="1" x14ac:dyDescent="0.4">
      <c r="A19" s="377"/>
      <c r="B19" s="378"/>
      <c r="C19" s="378"/>
      <c r="D19" s="378"/>
      <c r="E19" s="350" t="s">
        <v>80</v>
      </c>
      <c r="F19" s="351"/>
      <c r="G19" s="351"/>
      <c r="H19" s="352"/>
      <c r="I19" s="353" t="s">
        <v>81</v>
      </c>
      <c r="J19" s="354"/>
      <c r="K19" s="354"/>
      <c r="L19" s="354"/>
      <c r="M19" s="354"/>
      <c r="N19" s="355"/>
      <c r="O19" s="135"/>
      <c r="P19" s="364"/>
    </row>
    <row r="20" spans="1:16" s="132" customFormat="1"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O20" s="155"/>
      <c r="P20" s="364"/>
    </row>
    <row r="21" spans="1:16" ht="14.9" customHeight="1" x14ac:dyDescent="0.35">
      <c r="A21" s="156" t="s">
        <v>151</v>
      </c>
      <c r="B21" s="207">
        <v>20</v>
      </c>
      <c r="C21" s="208">
        <v>12000.1</v>
      </c>
      <c r="D21" s="208">
        <f>20*C21</f>
        <v>240002</v>
      </c>
      <c r="E21" s="209">
        <v>278402</v>
      </c>
      <c r="F21" s="209" t="str">
        <f>IF(E21&gt;=D21,"Yes","No")</f>
        <v>Yes</v>
      </c>
      <c r="G21" s="209">
        <v>143577</v>
      </c>
      <c r="H21" s="209">
        <f>E21+G21</f>
        <v>421979</v>
      </c>
      <c r="I21" s="209">
        <f>1970*12</f>
        <v>23640</v>
      </c>
      <c r="J21" s="209">
        <f t="shared" ref="J21:J24" si="3">I21*20</f>
        <v>472800</v>
      </c>
      <c r="K21" s="209">
        <f>175620+499740</f>
        <v>675360</v>
      </c>
      <c r="L21" s="209">
        <f t="shared" ref="L21:L24" si="4">J21+K21</f>
        <v>1148160</v>
      </c>
      <c r="M21" s="210">
        <v>1.6500000000000001E-2</v>
      </c>
      <c r="N21" s="220">
        <v>3.8399999999999997E-2</v>
      </c>
      <c r="P21" s="364"/>
    </row>
    <row r="22" spans="1:16" ht="14.9" customHeight="1" x14ac:dyDescent="0.35">
      <c r="A22" s="164" t="s">
        <v>64</v>
      </c>
      <c r="B22" s="165">
        <v>20</v>
      </c>
      <c r="C22" s="173">
        <v>11988</v>
      </c>
      <c r="D22" s="173">
        <f t="shared" ref="D22:D24" si="5">20*C22</f>
        <v>239760</v>
      </c>
      <c r="E22" s="212">
        <v>249542</v>
      </c>
      <c r="F22" s="212" t="str">
        <f>IF(E22&gt;=D22,"Yes","No")</f>
        <v>Yes</v>
      </c>
      <c r="G22" s="212">
        <v>59556</v>
      </c>
      <c r="H22" s="212">
        <f>E22+G22</f>
        <v>309098</v>
      </c>
      <c r="I22" s="212">
        <v>13320</v>
      </c>
      <c r="J22" s="212">
        <v>346320</v>
      </c>
      <c r="K22" s="212">
        <f>L22-J22</f>
        <v>987544</v>
      </c>
      <c r="L22" s="212">
        <v>1333864</v>
      </c>
      <c r="M22" s="213">
        <v>8.6999999999999994E-3</v>
      </c>
      <c r="N22" s="221">
        <v>4.1300000000000003E-2</v>
      </c>
      <c r="P22" s="364"/>
    </row>
    <row r="23" spans="1:16" x14ac:dyDescent="0.35">
      <c r="A23" s="164" t="s">
        <v>27</v>
      </c>
      <c r="B23" s="165">
        <v>20</v>
      </c>
      <c r="C23" s="173">
        <v>11964.82</v>
      </c>
      <c r="D23" s="216">
        <f t="shared" si="5"/>
        <v>239296.4</v>
      </c>
      <c r="E23" s="212">
        <v>239296</v>
      </c>
      <c r="F23" s="212" t="s">
        <v>45</v>
      </c>
      <c r="G23" s="212">
        <v>60407</v>
      </c>
      <c r="H23" s="212">
        <f>E23+G23</f>
        <v>299703</v>
      </c>
      <c r="I23" s="212">
        <f>1430*12</f>
        <v>17160</v>
      </c>
      <c r="J23" s="212">
        <f t="shared" si="3"/>
        <v>343200</v>
      </c>
      <c r="K23" s="212">
        <v>835204</v>
      </c>
      <c r="L23" s="212">
        <f t="shared" si="4"/>
        <v>1178404</v>
      </c>
      <c r="M23" s="213">
        <v>8.6999999999999994E-3</v>
      </c>
      <c r="N23" s="214">
        <v>3.9100000000000003E-2</v>
      </c>
      <c r="P23" s="364"/>
    </row>
    <row r="24" spans="1:16" ht="15" thickBot="1" x14ac:dyDescent="0.4">
      <c r="A24" s="168" t="s">
        <v>54</v>
      </c>
      <c r="B24" s="169">
        <v>20</v>
      </c>
      <c r="C24" s="217">
        <v>12000</v>
      </c>
      <c r="D24" s="217">
        <f t="shared" si="5"/>
        <v>240000</v>
      </c>
      <c r="E24" s="217">
        <v>246843</v>
      </c>
      <c r="F24" s="217" t="str">
        <f>IF(E24&gt;=D24,"Yes","No")</f>
        <v>Yes</v>
      </c>
      <c r="G24" s="217">
        <v>44185</v>
      </c>
      <c r="H24" s="217">
        <f>E24+G24</f>
        <v>291028</v>
      </c>
      <c r="I24" s="217">
        <f>1745.92*12</f>
        <v>20951.04</v>
      </c>
      <c r="J24" s="217">
        <f t="shared" si="3"/>
        <v>419020.80000000005</v>
      </c>
      <c r="K24" s="217">
        <v>867708</v>
      </c>
      <c r="L24" s="217">
        <f t="shared" si="4"/>
        <v>1286728.8</v>
      </c>
      <c r="M24" s="218">
        <v>1.35E-2</v>
      </c>
      <c r="N24" s="222">
        <v>4.1300000000000003E-2</v>
      </c>
      <c r="P24" s="364"/>
    </row>
    <row r="25" spans="1:16" ht="16.5" customHeight="1" x14ac:dyDescent="0.35">
      <c r="A25" s="135" t="s">
        <v>49</v>
      </c>
      <c r="C25" s="173"/>
      <c r="D25" s="216"/>
      <c r="E25" s="212"/>
      <c r="F25" s="212"/>
      <c r="G25" s="212"/>
      <c r="H25" s="212"/>
      <c r="I25" s="212"/>
      <c r="J25" s="212"/>
      <c r="K25" s="212"/>
      <c r="L25" s="212"/>
      <c r="M25" s="174"/>
      <c r="N25" s="174"/>
      <c r="P25" s="364"/>
    </row>
    <row r="26" spans="1:16" x14ac:dyDescent="0.35">
      <c r="A26" s="131" t="s">
        <v>70</v>
      </c>
      <c r="C26" s="173"/>
      <c r="D26" s="216"/>
      <c r="E26" s="212"/>
      <c r="F26" s="212"/>
      <c r="G26" s="212"/>
      <c r="H26" s="212"/>
      <c r="I26" s="212"/>
      <c r="J26" s="212"/>
      <c r="K26" s="212"/>
      <c r="L26" s="212"/>
      <c r="M26" s="174"/>
      <c r="N26" s="174"/>
      <c r="P26" s="364"/>
    </row>
    <row r="27" spans="1:16" x14ac:dyDescent="0.35">
      <c r="A27" s="131" t="s">
        <v>97</v>
      </c>
      <c r="C27" s="173"/>
      <c r="D27" s="216"/>
      <c r="E27" s="212"/>
      <c r="F27" s="212"/>
      <c r="G27" s="212"/>
      <c r="H27" s="212"/>
      <c r="I27" s="212"/>
      <c r="J27" s="212"/>
      <c r="K27" s="212"/>
      <c r="L27" s="212"/>
      <c r="M27" s="174"/>
      <c r="N27" s="174"/>
      <c r="P27" s="364"/>
    </row>
    <row r="28" spans="1:16" x14ac:dyDescent="0.35">
      <c r="A28" s="131" t="s">
        <v>98</v>
      </c>
      <c r="C28" s="173"/>
      <c r="D28" s="216"/>
      <c r="E28" s="212"/>
      <c r="F28" s="212"/>
      <c r="G28" s="212"/>
      <c r="H28" s="212"/>
      <c r="I28" s="212"/>
      <c r="J28" s="212"/>
      <c r="K28" s="212"/>
      <c r="L28" s="212"/>
      <c r="M28" s="174"/>
      <c r="N28" s="174"/>
      <c r="P28" s="364"/>
    </row>
    <row r="29" spans="1:16" x14ac:dyDescent="0.35">
      <c r="C29" s="173"/>
      <c r="D29" s="216"/>
      <c r="E29" s="212"/>
      <c r="F29" s="212"/>
      <c r="G29" s="212"/>
      <c r="H29" s="212"/>
      <c r="I29" s="212"/>
      <c r="J29" s="212"/>
      <c r="K29" s="212"/>
      <c r="L29" s="212"/>
      <c r="M29" s="174"/>
      <c r="N29" s="174"/>
      <c r="P29" s="364"/>
    </row>
    <row r="30" spans="1:16" ht="30" customHeight="1" x14ac:dyDescent="0.35">
      <c r="A30" s="135" t="s">
        <v>231</v>
      </c>
      <c r="B30" s="135"/>
      <c r="C30" s="136"/>
      <c r="D30" s="136"/>
      <c r="E30" s="136"/>
      <c r="F30" s="136"/>
      <c r="G30" s="136"/>
      <c r="H30" s="136"/>
      <c r="I30" s="136"/>
      <c r="J30" s="138" t="s">
        <v>17</v>
      </c>
      <c r="K30" s="139" t="s">
        <v>18</v>
      </c>
      <c r="L30" s="136"/>
      <c r="M30" s="188"/>
      <c r="N30" s="188"/>
      <c r="O30" s="136"/>
      <c r="P30" s="364"/>
    </row>
    <row r="31" spans="1:16" ht="19.399999999999999" customHeight="1" thickBot="1" x14ac:dyDescent="0.4">
      <c r="A31" s="135" t="s">
        <v>232</v>
      </c>
      <c r="B31" s="135"/>
      <c r="C31" s="136"/>
      <c r="D31" s="136"/>
      <c r="E31" s="136"/>
      <c r="F31" s="136"/>
      <c r="G31" s="136"/>
      <c r="H31" s="136"/>
      <c r="I31" s="136"/>
      <c r="J31" s="135"/>
      <c r="K31" s="135"/>
      <c r="L31" s="136"/>
      <c r="M31" s="188"/>
      <c r="N31" s="188"/>
      <c r="O31" s="136"/>
      <c r="P31" s="364"/>
    </row>
    <row r="32" spans="1:16" ht="15" thickBot="1" x14ac:dyDescent="0.4">
      <c r="A32" s="377"/>
      <c r="B32" s="378"/>
      <c r="C32" s="378"/>
      <c r="D32" s="378"/>
      <c r="E32" s="350" t="s">
        <v>80</v>
      </c>
      <c r="F32" s="351"/>
      <c r="G32" s="351"/>
      <c r="H32" s="352"/>
      <c r="I32" s="353" t="s">
        <v>81</v>
      </c>
      <c r="J32" s="354"/>
      <c r="K32" s="354"/>
      <c r="L32" s="354"/>
      <c r="M32" s="354"/>
      <c r="N32" s="355"/>
      <c r="O32" s="135"/>
      <c r="P32" s="364"/>
    </row>
    <row r="33" spans="1:16" s="132" customFormat="1" ht="44" thickBot="1" x14ac:dyDescent="0.4">
      <c r="A33" s="144" t="s">
        <v>7</v>
      </c>
      <c r="B33" s="175" t="s">
        <v>10</v>
      </c>
      <c r="C33" s="203" t="s">
        <v>8</v>
      </c>
      <c r="D33" s="204" t="s">
        <v>9</v>
      </c>
      <c r="E33" s="177" t="s">
        <v>77</v>
      </c>
      <c r="F33" s="178" t="s">
        <v>82</v>
      </c>
      <c r="G33" s="178" t="s">
        <v>78</v>
      </c>
      <c r="H33" s="205" t="s">
        <v>83</v>
      </c>
      <c r="I33" s="180" t="s">
        <v>11</v>
      </c>
      <c r="J33" s="181" t="s">
        <v>12</v>
      </c>
      <c r="K33" s="181" t="s">
        <v>13</v>
      </c>
      <c r="L33" s="182" t="s">
        <v>14</v>
      </c>
      <c r="M33" s="180" t="s">
        <v>84</v>
      </c>
      <c r="N33" s="182" t="s">
        <v>85</v>
      </c>
      <c r="O33" s="155"/>
      <c r="P33" s="364"/>
    </row>
    <row r="34" spans="1:16" ht="14.9" customHeight="1" x14ac:dyDescent="0.35">
      <c r="A34" s="156" t="s">
        <v>151</v>
      </c>
      <c r="B34" s="207">
        <v>20</v>
      </c>
      <c r="C34" s="208">
        <v>12019.55</v>
      </c>
      <c r="D34" s="208">
        <f t="shared" ref="D34:D38" si="6">10*C34</f>
        <v>120195.5</v>
      </c>
      <c r="E34" s="208">
        <v>136421</v>
      </c>
      <c r="F34" s="209" t="str">
        <f>IF(E34&gt;=D34,"Yes","No")</f>
        <v>Yes</v>
      </c>
      <c r="G34" s="208">
        <v>71378</v>
      </c>
      <c r="H34" s="208">
        <f t="shared" ref="H34:H38" si="7">E34+G34</f>
        <v>207799</v>
      </c>
      <c r="I34" s="208">
        <f>1010*12</f>
        <v>12120</v>
      </c>
      <c r="J34" s="208">
        <f t="shared" ref="J34:J38" si="8">I34*20</f>
        <v>242400</v>
      </c>
      <c r="K34" s="208">
        <f>87300+237300</f>
        <v>324600</v>
      </c>
      <c r="L34" s="208">
        <f t="shared" ref="L34:L38" si="9">J34+K34</f>
        <v>567000</v>
      </c>
      <c r="M34" s="210">
        <v>1.7100000000000001E-2</v>
      </c>
      <c r="N34" s="220">
        <v>3.85E-2</v>
      </c>
      <c r="P34" s="364"/>
    </row>
    <row r="35" spans="1:16" ht="14.9" customHeight="1" x14ac:dyDescent="0.35">
      <c r="A35" s="164" t="s">
        <v>64</v>
      </c>
      <c r="B35" s="165">
        <v>20</v>
      </c>
      <c r="C35" s="173">
        <v>11899.6</v>
      </c>
      <c r="D35" s="173">
        <f t="shared" si="6"/>
        <v>118996</v>
      </c>
      <c r="E35" s="173">
        <v>125397</v>
      </c>
      <c r="F35" s="212" t="str">
        <f>IF(E35&gt;=D35,"Yes","No")</f>
        <v>Yes</v>
      </c>
      <c r="G35" s="173">
        <v>26345</v>
      </c>
      <c r="H35" s="173">
        <f t="shared" si="7"/>
        <v>151742</v>
      </c>
      <c r="I35" s="173">
        <v>8520</v>
      </c>
      <c r="J35" s="173">
        <v>221520</v>
      </c>
      <c r="K35" s="212">
        <f>L35-J35</f>
        <v>416314</v>
      </c>
      <c r="L35" s="173">
        <v>637834</v>
      </c>
      <c r="M35" s="223">
        <v>1.4800000000000001E-2</v>
      </c>
      <c r="N35" s="221">
        <v>4.0800000000000003E-2</v>
      </c>
      <c r="P35" s="364"/>
    </row>
    <row r="36" spans="1:16" x14ac:dyDescent="0.35">
      <c r="A36" s="164" t="s">
        <v>26</v>
      </c>
      <c r="B36" s="165">
        <v>20</v>
      </c>
      <c r="C36" s="173">
        <v>12120.6</v>
      </c>
      <c r="D36" s="173">
        <f t="shared" si="6"/>
        <v>121206</v>
      </c>
      <c r="E36" s="173">
        <f>D36</f>
        <v>121206</v>
      </c>
      <c r="F36" s="212" t="str">
        <f>IF(E36&gt;=D36,"Yes","No")</f>
        <v>Yes</v>
      </c>
      <c r="G36" s="173">
        <v>104165</v>
      </c>
      <c r="H36" s="173">
        <v>225373</v>
      </c>
      <c r="I36" s="173">
        <f>750*12</f>
        <v>9000</v>
      </c>
      <c r="J36" s="173">
        <f t="shared" si="8"/>
        <v>180000</v>
      </c>
      <c r="K36" s="212">
        <f>L36-J36</f>
        <v>392306.19999999995</v>
      </c>
      <c r="L36" s="173">
        <v>572306.19999999995</v>
      </c>
      <c r="M36" s="213">
        <v>9.7000000000000003E-3</v>
      </c>
      <c r="N36" s="224">
        <v>3.49E-2</v>
      </c>
      <c r="P36" s="364"/>
    </row>
    <row r="37" spans="1:16" x14ac:dyDescent="0.35">
      <c r="A37" s="164" t="s">
        <v>27</v>
      </c>
      <c r="B37" s="165">
        <v>20</v>
      </c>
      <c r="C37" s="173">
        <v>11851.92</v>
      </c>
      <c r="D37" s="173">
        <f t="shared" si="6"/>
        <v>118519.2</v>
      </c>
      <c r="E37" s="173">
        <f>D37</f>
        <v>118519.2</v>
      </c>
      <c r="F37" s="212" t="str">
        <f>IF(E37&gt;=D37,"Yes","No")</f>
        <v>Yes</v>
      </c>
      <c r="G37" s="173">
        <v>29828</v>
      </c>
      <c r="H37" s="173">
        <f t="shared" si="7"/>
        <v>148347.20000000001</v>
      </c>
      <c r="I37" s="173">
        <f>720*12</f>
        <v>8640</v>
      </c>
      <c r="J37" s="173">
        <f t="shared" si="8"/>
        <v>172800</v>
      </c>
      <c r="K37" s="173">
        <v>391492</v>
      </c>
      <c r="L37" s="173">
        <f t="shared" si="9"/>
        <v>564292</v>
      </c>
      <c r="M37" s="213">
        <v>9.1000000000000004E-3</v>
      </c>
      <c r="N37" s="224">
        <v>3.8699999999999998E-2</v>
      </c>
      <c r="P37" s="364"/>
    </row>
    <row r="38" spans="1:16" ht="15" thickBot="1" x14ac:dyDescent="0.4">
      <c r="A38" s="168" t="s">
        <v>54</v>
      </c>
      <c r="B38" s="169">
        <v>20</v>
      </c>
      <c r="C38" s="217">
        <v>11999.95</v>
      </c>
      <c r="D38" s="217">
        <f t="shared" si="6"/>
        <v>119999.5</v>
      </c>
      <c r="E38" s="217">
        <v>122904</v>
      </c>
      <c r="F38" s="217" t="str">
        <f>IF(E38&gt;=D38,"Yes","No")</f>
        <v>Yes</v>
      </c>
      <c r="G38" s="217">
        <v>25441</v>
      </c>
      <c r="H38" s="217">
        <f t="shared" si="7"/>
        <v>148345</v>
      </c>
      <c r="I38" s="217">
        <f>832.83*12</f>
        <v>9993.9600000000009</v>
      </c>
      <c r="J38" s="217">
        <f t="shared" si="8"/>
        <v>199879.2</v>
      </c>
      <c r="K38" s="217">
        <v>430579</v>
      </c>
      <c r="L38" s="217">
        <f t="shared" si="9"/>
        <v>630458.19999999995</v>
      </c>
      <c r="M38" s="225">
        <v>1.24E-2</v>
      </c>
      <c r="N38" s="226">
        <v>4.1300000000000003E-2</v>
      </c>
      <c r="P38" s="365"/>
    </row>
    <row r="39" spans="1:16" ht="19.5" customHeight="1" x14ac:dyDescent="0.35">
      <c r="A39" s="135" t="s">
        <v>49</v>
      </c>
      <c r="D39" s="186"/>
      <c r="E39" s="186"/>
      <c r="F39" s="186"/>
      <c r="K39" s="186"/>
      <c r="P39" s="140"/>
    </row>
    <row r="40" spans="1:16" x14ac:dyDescent="0.35">
      <c r="A40" s="131" t="s">
        <v>90</v>
      </c>
      <c r="D40" s="186"/>
      <c r="E40" s="186"/>
      <c r="F40" s="186"/>
      <c r="K40" s="186"/>
      <c r="P40" s="140"/>
    </row>
    <row r="41" spans="1:16" x14ac:dyDescent="0.35">
      <c r="A41" s="131" t="s">
        <v>95</v>
      </c>
      <c r="D41" s="186"/>
      <c r="E41" s="186"/>
      <c r="F41" s="186"/>
      <c r="K41" s="186"/>
      <c r="P41" s="140"/>
    </row>
    <row r="42" spans="1:16" ht="12.5" customHeight="1" x14ac:dyDescent="0.35">
      <c r="A42" s="131" t="s">
        <v>96</v>
      </c>
      <c r="D42" s="186"/>
      <c r="E42" s="186"/>
      <c r="F42" s="186"/>
      <c r="K42" s="186"/>
      <c r="P42" s="140"/>
    </row>
    <row r="43" spans="1:16" ht="12.5" customHeight="1" x14ac:dyDescent="0.35">
      <c r="A43" s="131" t="s">
        <v>129</v>
      </c>
      <c r="D43" s="186"/>
      <c r="E43" s="186"/>
      <c r="F43" s="186"/>
      <c r="K43" s="186"/>
      <c r="P43" s="140"/>
    </row>
    <row r="44" spans="1:16" ht="19.5" customHeight="1" x14ac:dyDescent="0.35">
      <c r="D44" s="186"/>
      <c r="E44" s="186"/>
      <c r="F44" s="186"/>
      <c r="K44" s="186"/>
      <c r="P44" s="140"/>
    </row>
    <row r="45" spans="1:16" ht="18" customHeight="1" x14ac:dyDescent="0.35">
      <c r="A45" s="135" t="s">
        <v>233</v>
      </c>
      <c r="B45" s="135"/>
      <c r="C45" s="136"/>
      <c r="D45" s="136"/>
      <c r="E45" s="136"/>
      <c r="F45" s="136"/>
      <c r="G45" s="136"/>
      <c r="H45" s="136"/>
      <c r="I45" s="136"/>
      <c r="J45" s="138" t="s">
        <v>17</v>
      </c>
      <c r="K45" s="139" t="s">
        <v>18</v>
      </c>
      <c r="L45" s="136"/>
      <c r="M45" s="188"/>
      <c r="N45" s="188"/>
      <c r="P45" s="140"/>
    </row>
    <row r="46" spans="1:16" ht="18" customHeight="1" thickBot="1" x14ac:dyDescent="0.4">
      <c r="A46" s="135" t="s">
        <v>234</v>
      </c>
      <c r="B46" s="135"/>
      <c r="C46" s="136"/>
      <c r="D46" s="136"/>
      <c r="E46" s="136"/>
      <c r="F46" s="136"/>
      <c r="G46" s="136"/>
      <c r="H46" s="136"/>
      <c r="I46" s="136"/>
      <c r="J46" s="135"/>
      <c r="K46" s="135"/>
      <c r="L46" s="136"/>
      <c r="M46" s="188"/>
      <c r="N46" s="188"/>
      <c r="P46" s="140"/>
    </row>
    <row r="47" spans="1:16" ht="15.75" customHeight="1" thickBot="1" x14ac:dyDescent="0.4">
      <c r="A47" s="377"/>
      <c r="B47" s="378"/>
      <c r="C47" s="378"/>
      <c r="D47" s="378"/>
      <c r="E47" s="350" t="s">
        <v>80</v>
      </c>
      <c r="F47" s="351"/>
      <c r="G47" s="351"/>
      <c r="H47" s="352"/>
      <c r="I47" s="353" t="s">
        <v>81</v>
      </c>
      <c r="J47" s="354"/>
      <c r="K47" s="354"/>
      <c r="L47" s="354"/>
      <c r="M47" s="354"/>
      <c r="N47" s="355"/>
      <c r="P47" s="227"/>
    </row>
    <row r="48" spans="1:16" ht="44" thickBot="1" x14ac:dyDescent="0.4">
      <c r="A48" s="144" t="s">
        <v>7</v>
      </c>
      <c r="B48" s="175" t="s">
        <v>10</v>
      </c>
      <c r="C48" s="203" t="s">
        <v>8</v>
      </c>
      <c r="D48" s="204" t="s">
        <v>9</v>
      </c>
      <c r="E48" s="177" t="s">
        <v>77</v>
      </c>
      <c r="F48" s="178" t="s">
        <v>82</v>
      </c>
      <c r="G48" s="178" t="s">
        <v>78</v>
      </c>
      <c r="H48" s="205" t="s">
        <v>83</v>
      </c>
      <c r="I48" s="180" t="s">
        <v>11</v>
      </c>
      <c r="J48" s="181" t="s">
        <v>12</v>
      </c>
      <c r="K48" s="181" t="s">
        <v>13</v>
      </c>
      <c r="L48" s="182" t="s">
        <v>14</v>
      </c>
      <c r="M48" s="180" t="s">
        <v>84</v>
      </c>
      <c r="N48" s="182" t="s">
        <v>85</v>
      </c>
      <c r="O48" s="189"/>
      <c r="P48" s="131"/>
    </row>
    <row r="49" spans="1:16" x14ac:dyDescent="0.35">
      <c r="A49" s="156" t="s">
        <v>151</v>
      </c>
      <c r="B49" s="207">
        <v>20</v>
      </c>
      <c r="C49" s="208">
        <v>12017.8</v>
      </c>
      <c r="D49" s="208">
        <f t="shared" ref="D49:D52" si="10">20*C49</f>
        <v>240356</v>
      </c>
      <c r="E49" s="209">
        <v>272804</v>
      </c>
      <c r="F49" s="209" t="str">
        <f>IF(E49&gt;=D49,"Yes","No")</f>
        <v>Yes</v>
      </c>
      <c r="G49" s="209">
        <v>116403</v>
      </c>
      <c r="H49" s="209">
        <f>E49+G49</f>
        <v>389207</v>
      </c>
      <c r="I49" s="209">
        <f>1790*12</f>
        <v>21480</v>
      </c>
      <c r="J49" s="209">
        <f t="shared" ref="J49:J52" si="11">I49*20</f>
        <v>429600</v>
      </c>
      <c r="K49" s="209">
        <f>L49-J49</f>
        <v>492060</v>
      </c>
      <c r="L49" s="209">
        <v>921660</v>
      </c>
      <c r="M49" s="210">
        <v>1.6E-2</v>
      </c>
      <c r="N49" s="220">
        <v>3.7499999999999999E-2</v>
      </c>
      <c r="O49" s="228"/>
      <c r="P49" s="131"/>
    </row>
    <row r="50" spans="1:16" x14ac:dyDescent="0.35">
      <c r="A50" s="164" t="s">
        <v>64</v>
      </c>
      <c r="B50" s="165">
        <v>20</v>
      </c>
      <c r="C50" s="173">
        <v>11904</v>
      </c>
      <c r="D50" s="173">
        <f t="shared" si="10"/>
        <v>238080</v>
      </c>
      <c r="E50" s="212">
        <v>244698</v>
      </c>
      <c r="F50" s="212" t="str">
        <f>IF(E50&gt;=D50,"Yes","No")</f>
        <v>Yes</v>
      </c>
      <c r="G50" s="212">
        <v>52710</v>
      </c>
      <c r="H50" s="212">
        <f>E50+G50</f>
        <v>297408</v>
      </c>
      <c r="I50" s="212">
        <v>14400</v>
      </c>
      <c r="J50" s="212">
        <v>374400</v>
      </c>
      <c r="K50" s="212">
        <f>L50-J50</f>
        <v>711206</v>
      </c>
      <c r="L50" s="212">
        <v>1085606</v>
      </c>
      <c r="M50" s="213">
        <v>1.21E-2</v>
      </c>
      <c r="N50" s="221">
        <v>4.1300000000000003E-2</v>
      </c>
      <c r="P50" s="131"/>
    </row>
    <row r="51" spans="1:16" ht="14.25" customHeight="1" x14ac:dyDescent="0.35">
      <c r="A51" s="164" t="s">
        <v>27</v>
      </c>
      <c r="B51" s="165">
        <v>20</v>
      </c>
      <c r="C51" s="173">
        <v>11918.13</v>
      </c>
      <c r="D51" s="173">
        <f t="shared" si="10"/>
        <v>238362.59999999998</v>
      </c>
      <c r="E51" s="212">
        <f>D51</f>
        <v>238362.59999999998</v>
      </c>
      <c r="F51" s="212" t="str">
        <f>IF(E51&gt;=D51,"Yes","No")</f>
        <v>Yes</v>
      </c>
      <c r="G51" s="212">
        <v>50302</v>
      </c>
      <c r="H51" s="212">
        <f>E51+G51</f>
        <v>288664.59999999998</v>
      </c>
      <c r="I51" s="212">
        <f>1330*12</f>
        <v>15960</v>
      </c>
      <c r="J51" s="212">
        <f t="shared" si="11"/>
        <v>319200</v>
      </c>
      <c r="K51" s="212">
        <v>602620</v>
      </c>
      <c r="L51" s="212">
        <f t="shared" ref="L51:L52" si="12">J51+K51</f>
        <v>921820</v>
      </c>
      <c r="M51" s="213">
        <v>8.0000000000000002E-3</v>
      </c>
      <c r="N51" s="224">
        <v>3.7699999999999997E-2</v>
      </c>
      <c r="P51" s="131"/>
    </row>
    <row r="52" spans="1:16" ht="14.25" customHeight="1" thickBot="1" x14ac:dyDescent="0.4">
      <c r="A52" s="168" t="s">
        <v>54</v>
      </c>
      <c r="B52" s="169">
        <v>20</v>
      </c>
      <c r="C52" s="217">
        <v>11999.9</v>
      </c>
      <c r="D52" s="217">
        <f t="shared" si="10"/>
        <v>239998</v>
      </c>
      <c r="E52" s="217">
        <v>246381</v>
      </c>
      <c r="F52" s="217" t="str">
        <f>IF(E52&gt;=D52,"Yes","No")</f>
        <v>Yes</v>
      </c>
      <c r="G52" s="217">
        <v>32522</v>
      </c>
      <c r="H52" s="217">
        <f>E52+G52</f>
        <v>278903</v>
      </c>
      <c r="I52" s="217">
        <f>1589.78*12</f>
        <v>19077.36</v>
      </c>
      <c r="J52" s="217">
        <f t="shared" si="11"/>
        <v>381547.2</v>
      </c>
      <c r="K52" s="217">
        <v>651226</v>
      </c>
      <c r="L52" s="217">
        <f t="shared" si="12"/>
        <v>1032773.2</v>
      </c>
      <c r="M52" s="218">
        <v>1.2800000000000001E-2</v>
      </c>
      <c r="N52" s="222">
        <v>4.0800000000000003E-2</v>
      </c>
      <c r="P52" s="131"/>
    </row>
    <row r="53" spans="1:16" x14ac:dyDescent="0.35">
      <c r="A53" s="135" t="s">
        <v>49</v>
      </c>
      <c r="C53" s="173"/>
      <c r="D53" s="216"/>
      <c r="E53" s="212"/>
      <c r="F53" s="212"/>
      <c r="G53" s="212"/>
      <c r="H53" s="212"/>
      <c r="I53" s="212"/>
      <c r="J53" s="189"/>
      <c r="K53" s="189"/>
      <c r="L53" s="189"/>
      <c r="M53" s="189"/>
      <c r="N53" s="189"/>
    </row>
    <row r="54" spans="1:16" x14ac:dyDescent="0.35">
      <c r="A54" s="131" t="s">
        <v>70</v>
      </c>
      <c r="C54" s="173"/>
      <c r="D54" s="216"/>
      <c r="E54" s="212"/>
      <c r="F54" s="212"/>
      <c r="G54" s="212"/>
      <c r="H54" s="212"/>
      <c r="I54" s="212"/>
    </row>
    <row r="55" spans="1:16" x14ac:dyDescent="0.35">
      <c r="A55" s="131" t="s">
        <v>97</v>
      </c>
      <c r="C55" s="173"/>
      <c r="D55" s="216"/>
      <c r="E55" s="212"/>
      <c r="F55" s="212"/>
      <c r="G55" s="212"/>
      <c r="H55" s="212"/>
      <c r="I55" s="212"/>
    </row>
    <row r="56" spans="1:16" x14ac:dyDescent="0.35">
      <c r="A56" s="131" t="s">
        <v>98</v>
      </c>
    </row>
  </sheetData>
  <sheetProtection algorithmName="SHA-512" hashValue="O9q2wBr2v8In8KopUUMV921XjN7BxeybDjIJnofci0L9qASbaug1mP41QXysWhUcSloJGS+K/egagVXUoYIu/A==" saltValue="oQH+7Je/WSJksrAU6pgnhA==" spinCount="100000" sheet="1" objects="1" scenarios="1" selectLockedCells="1" autoFilter="0" selectUnlockedCells="1"/>
  <mergeCells count="13">
    <mergeCell ref="P6:P38"/>
    <mergeCell ref="A19:D19"/>
    <mergeCell ref="E19:H19"/>
    <mergeCell ref="I19:N19"/>
    <mergeCell ref="A32:D32"/>
    <mergeCell ref="E32:H32"/>
    <mergeCell ref="I32:N32"/>
    <mergeCell ref="A47:D47"/>
    <mergeCell ref="E47:H47"/>
    <mergeCell ref="I47:N47"/>
    <mergeCell ref="A4:D4"/>
    <mergeCell ref="E4:H4"/>
    <mergeCell ref="I4:N4"/>
  </mergeCells>
  <conditionalFormatting sqref="M6:M10">
    <cfRule type="top10" dxfId="176" priority="10" rank="1"/>
    <cfRule type="top10" dxfId="175" priority="11" rank="2"/>
  </conditionalFormatting>
  <conditionalFormatting sqref="M21:M24">
    <cfRule type="top10" dxfId="174" priority="6" rank="1"/>
    <cfRule type="top10" dxfId="173" priority="7" rank="2"/>
  </conditionalFormatting>
  <conditionalFormatting sqref="M34:M38">
    <cfRule type="top10" dxfId="172" priority="12" rank="1"/>
    <cfRule type="top10" dxfId="171" priority="13" rank="2"/>
  </conditionalFormatting>
  <conditionalFormatting sqref="M49:M52">
    <cfRule type="top10" dxfId="170" priority="2" rank="1"/>
    <cfRule type="top10" dxfId="169" priority="3" rank="2"/>
  </conditionalFormatting>
  <conditionalFormatting sqref="N6:N10">
    <cfRule type="top10" dxfId="168" priority="1" rank="1"/>
  </conditionalFormatting>
  <conditionalFormatting sqref="N21:N24">
    <cfRule type="top10" dxfId="167" priority="8" rank="1"/>
    <cfRule type="top10" dxfId="166" priority="9" rank="2"/>
  </conditionalFormatting>
  <conditionalFormatting sqref="N34:N38">
    <cfRule type="top10" dxfId="165" priority="14" rank="1"/>
    <cfRule type="top10" dxfId="164" priority="15" rank="2"/>
  </conditionalFormatting>
  <conditionalFormatting sqref="N49:N52">
    <cfRule type="top10" dxfId="163" priority="4" rank="1"/>
    <cfRule type="top10" dxfId="162" priority="5"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199C4-2B8D-4B31-9AE5-117DB94B3A49}">
  <sheetPr>
    <pageSetUpPr fitToPage="1"/>
  </sheetPr>
  <dimension ref="A2:S56"/>
  <sheetViews>
    <sheetView showGridLines="0" zoomScale="70" zoomScaleNormal="70" workbookViewId="0">
      <pane xSplit="1" topLeftCell="B1" activePane="topRight" state="frozen"/>
      <selection pane="topRight" activeCell="F43" sqref="F43"/>
    </sheetView>
  </sheetViews>
  <sheetFormatPr defaultColWidth="9.1796875" defaultRowHeight="14.5" x14ac:dyDescent="0.35"/>
  <cols>
    <col min="1" max="1" width="33.453125" style="131" customWidth="1"/>
    <col min="2" max="2" width="12.1796875" style="131" bestFit="1" customWidth="1"/>
    <col min="3" max="3" width="12.36328125" style="131" customWidth="1"/>
    <col min="4" max="4" width="12.54296875" style="131" bestFit="1" customWidth="1"/>
    <col min="5" max="5" width="17.1796875" style="131" hidden="1" customWidth="1"/>
    <col min="6" max="6" width="40.90625" style="131" customWidth="1"/>
    <col min="7" max="7" width="18.1796875" style="131" hidden="1" customWidth="1"/>
    <col min="8" max="8" width="19.81640625" style="131" hidden="1" customWidth="1"/>
    <col min="9" max="9" width="16.81640625" style="131" hidden="1" customWidth="1"/>
    <col min="10" max="10" width="17" style="131" customWidth="1"/>
    <col min="11" max="11" width="14.54296875" style="131" bestFit="1" customWidth="1"/>
    <col min="12" max="12" width="17.54296875" style="131" bestFit="1" customWidth="1"/>
    <col min="13" max="13" width="15.54296875" style="131" customWidth="1"/>
    <col min="14" max="14" width="17.1796875" style="131" customWidth="1"/>
    <col min="15" max="15" width="9.81640625" style="131" customWidth="1"/>
    <col min="16" max="16" width="60.81640625" style="141" customWidth="1"/>
    <col min="17" max="17" width="29.453125" style="131" customWidth="1"/>
    <col min="18" max="18" width="11.81640625" style="131" hidden="1" customWidth="1"/>
    <col min="19" max="19" width="13.1796875" style="131" hidden="1" customWidth="1"/>
    <col min="20" max="20" width="11.54296875" style="131" customWidth="1"/>
    <col min="21" max="21" width="12" style="131" customWidth="1"/>
    <col min="22" max="22" width="10" style="131" bestFit="1" customWidth="1"/>
    <col min="23" max="23" width="11.453125" style="131" customWidth="1"/>
    <col min="24" max="24" width="12.453125" style="131" customWidth="1"/>
    <col min="25" max="25" width="11.453125" style="131" customWidth="1"/>
    <col min="26" max="26" width="10" style="131" bestFit="1" customWidth="1"/>
    <col min="27" max="27" width="20.54296875" style="131" customWidth="1"/>
    <col min="28" max="16384" width="9.1796875" style="131"/>
  </cols>
  <sheetData>
    <row r="2" spans="1:19" ht="15" customHeight="1" x14ac:dyDescent="0.35">
      <c r="A2" s="135" t="s">
        <v>227</v>
      </c>
      <c r="B2" s="135"/>
      <c r="C2" s="136"/>
      <c r="D2" s="136"/>
      <c r="E2" s="136"/>
      <c r="F2" s="136"/>
      <c r="G2" s="136"/>
      <c r="H2" s="136"/>
      <c r="I2" s="136"/>
      <c r="J2" s="138" t="s">
        <v>17</v>
      </c>
      <c r="K2" s="139" t="s">
        <v>18</v>
      </c>
      <c r="L2" s="136"/>
      <c r="M2" s="188"/>
      <c r="N2" s="188"/>
      <c r="O2" s="136"/>
    </row>
    <row r="3" spans="1:19" ht="19.399999999999999" customHeight="1" thickBot="1" x14ac:dyDescent="0.4">
      <c r="A3" s="135" t="s">
        <v>228</v>
      </c>
      <c r="B3" s="135"/>
      <c r="C3" s="136"/>
      <c r="D3" s="136"/>
      <c r="E3" s="136"/>
      <c r="F3" s="136"/>
      <c r="G3" s="136"/>
      <c r="H3" s="136"/>
      <c r="I3" s="136"/>
      <c r="J3" s="135"/>
      <c r="K3" s="135"/>
      <c r="L3" s="136"/>
      <c r="M3" s="188"/>
      <c r="N3" s="188"/>
      <c r="O3" s="136"/>
    </row>
    <row r="4" spans="1:19" ht="15" thickBot="1" x14ac:dyDescent="0.4">
      <c r="A4" s="377"/>
      <c r="B4" s="378"/>
      <c r="C4" s="378"/>
      <c r="D4" s="378"/>
      <c r="E4" s="350" t="s">
        <v>80</v>
      </c>
      <c r="F4" s="351"/>
      <c r="G4" s="351"/>
      <c r="H4" s="352"/>
      <c r="I4" s="353" t="s">
        <v>81</v>
      </c>
      <c r="J4" s="354"/>
      <c r="K4" s="354"/>
      <c r="L4" s="354"/>
      <c r="M4" s="354"/>
      <c r="N4" s="355"/>
      <c r="O4" s="135"/>
    </row>
    <row r="5" spans="1:19" s="132" customFormat="1" ht="44"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O5" s="155"/>
      <c r="P5" s="206" t="s">
        <v>15</v>
      </c>
      <c r="R5" s="132" t="s">
        <v>297</v>
      </c>
      <c r="S5" s="132" t="s">
        <v>298</v>
      </c>
    </row>
    <row r="6" spans="1:19" ht="14.9" customHeight="1" x14ac:dyDescent="0.35">
      <c r="A6" s="156" t="s">
        <v>151</v>
      </c>
      <c r="B6" s="207">
        <v>20</v>
      </c>
      <c r="C6" s="208">
        <v>23962.55</v>
      </c>
      <c r="D6" s="208">
        <f>10*C6</f>
        <v>239625.5</v>
      </c>
      <c r="E6" s="209">
        <v>277965</v>
      </c>
      <c r="F6" s="209" t="s">
        <v>45</v>
      </c>
      <c r="G6" s="209">
        <v>171632</v>
      </c>
      <c r="H6" s="209">
        <f>E6+G6</f>
        <v>449597</v>
      </c>
      <c r="I6" s="209">
        <f>2240*12</f>
        <v>26880</v>
      </c>
      <c r="J6" s="209">
        <f>I6*20</f>
        <v>537600</v>
      </c>
      <c r="K6" s="209">
        <f>209940+645640</f>
        <v>855580</v>
      </c>
      <c r="L6" s="209">
        <f>J6+K6</f>
        <v>1393180</v>
      </c>
      <c r="M6" s="210">
        <v>1.7600000000000001E-2</v>
      </c>
      <c r="N6" s="211">
        <v>3.9E-2</v>
      </c>
      <c r="P6" s="363" t="s">
        <v>132</v>
      </c>
      <c r="R6" s="132" t="str" cm="1">
        <f t="array" ref="R6">INDEX(A6:A10,MATCH(MAX(M6:M10),M6:M10,0),0)</f>
        <v>Singlife Flexi Retirement (II)</v>
      </c>
      <c r="S6" s="132" t="str" cm="1">
        <f t="array" ref="S6">INDEX(A6:A10,MATCH(MAX(N6:N10),N6:N10,0),0)</f>
        <v>Income Gro Retire Flex Pro</v>
      </c>
    </row>
    <row r="7" spans="1:19" ht="14.9" customHeight="1" x14ac:dyDescent="0.35">
      <c r="A7" s="164" t="s">
        <v>64</v>
      </c>
      <c r="B7" s="165">
        <v>20</v>
      </c>
      <c r="C7" s="173">
        <v>23999</v>
      </c>
      <c r="D7" s="173">
        <f t="shared" ref="D7:D10" si="0">10*C7</f>
        <v>239990</v>
      </c>
      <c r="E7" s="212">
        <v>256095</v>
      </c>
      <c r="F7" s="212" t="str">
        <f>IF(E7&gt;=D7,"Yes","No")</f>
        <v>Yes</v>
      </c>
      <c r="G7" s="212">
        <v>59614</v>
      </c>
      <c r="H7" s="212">
        <f>E7+G7</f>
        <v>315709</v>
      </c>
      <c r="I7" s="212">
        <v>15720</v>
      </c>
      <c r="J7" s="212">
        <v>408720</v>
      </c>
      <c r="K7" s="212">
        <f>L7-J7</f>
        <v>1155598</v>
      </c>
      <c r="L7" s="212">
        <v>1564318</v>
      </c>
      <c r="M7" s="213">
        <v>1.1299999999999999E-2</v>
      </c>
      <c r="N7" s="214">
        <v>4.0800000000000003E-2</v>
      </c>
      <c r="P7" s="364"/>
      <c r="R7" s="132" t="str" cm="1">
        <f t="array" ref="R7">INDEX(A21:A24,MATCH(MAX(M21:M24),M21:M24,0),0)</f>
        <v>Singlife Flexi Retirement (II)</v>
      </c>
      <c r="S7" s="132" t="str" cm="1">
        <f t="array" ref="S7">INDEX(A21:A24,MATCH(MAX(N21:N24),N21:N24,0),0)</f>
        <v>China Life Prosperous Retirement</v>
      </c>
    </row>
    <row r="8" spans="1:19" ht="14.9" customHeight="1" x14ac:dyDescent="0.35">
      <c r="A8" s="164" t="s">
        <v>26</v>
      </c>
      <c r="B8" s="165">
        <v>20</v>
      </c>
      <c r="C8" s="173">
        <v>24071.3</v>
      </c>
      <c r="D8" s="173">
        <f t="shared" si="0"/>
        <v>240713</v>
      </c>
      <c r="E8" s="212">
        <f>D8</f>
        <v>240713</v>
      </c>
      <c r="F8" s="212" t="s">
        <v>45</v>
      </c>
      <c r="G8" s="212">
        <v>287985</v>
      </c>
      <c r="H8" s="212">
        <f>E8+G8</f>
        <v>528698</v>
      </c>
      <c r="I8" s="212">
        <f>1750*12</f>
        <v>21000</v>
      </c>
      <c r="J8" s="212">
        <f t="shared" ref="J8:J10" si="1">I8*20</f>
        <v>420000</v>
      </c>
      <c r="K8" s="212">
        <f>L8-J8</f>
        <v>921569.2</v>
      </c>
      <c r="L8" s="212">
        <v>1341569.2</v>
      </c>
      <c r="M8" s="213">
        <v>1.2200000000000001E-2</v>
      </c>
      <c r="N8" s="215">
        <v>3.5000000000000003E-2</v>
      </c>
      <c r="P8" s="364"/>
      <c r="R8" s="132" t="str" cm="1">
        <f t="array" ref="R8">INDEX(A34:A38,MATCH(MAX(M34:M38),M34:M38,0),0)</f>
        <v>Singlife Flexi Retirement (II)</v>
      </c>
      <c r="S8" s="132" t="str" cm="1">
        <f t="array" ref="S8">INDEX(A34:A38,MATCH(MAX(N34:N38),N34:N38,0),0)</f>
        <v>Income Gro Retire Flex Pro</v>
      </c>
    </row>
    <row r="9" spans="1:19" x14ac:dyDescent="0.35">
      <c r="A9" s="164" t="s">
        <v>27</v>
      </c>
      <c r="B9" s="165">
        <v>20</v>
      </c>
      <c r="C9" s="173">
        <v>23885.279999999999</v>
      </c>
      <c r="D9" s="216">
        <f t="shared" si="0"/>
        <v>238852.8</v>
      </c>
      <c r="E9" s="212">
        <v>238852.8</v>
      </c>
      <c r="F9" s="212" t="s">
        <v>45</v>
      </c>
      <c r="G9" s="212">
        <v>70187</v>
      </c>
      <c r="H9" s="212">
        <f>E9+G9</f>
        <v>309039.8</v>
      </c>
      <c r="I9" s="212">
        <f>1520*12</f>
        <v>18240</v>
      </c>
      <c r="J9" s="212">
        <f t="shared" si="1"/>
        <v>364800</v>
      </c>
      <c r="K9" s="212">
        <v>1044664</v>
      </c>
      <c r="L9" s="212">
        <f t="shared" ref="L9:L10" si="2">J9+K9</f>
        <v>1409464</v>
      </c>
      <c r="M9" s="213">
        <v>9.1000000000000004E-3</v>
      </c>
      <c r="N9" s="215">
        <v>3.9199999999999999E-2</v>
      </c>
      <c r="P9" s="364"/>
      <c r="R9" s="132" t="str" cm="1">
        <f t="array" ref="R9">INDEX(A49:A52,MATCH(MAX(M49:M52),M49:M52,0),0)</f>
        <v>Singlife Flexi Retirement (II)</v>
      </c>
      <c r="S9" s="132" t="str" cm="1">
        <f t="array" ref="S9">INDEX(A49:A52,MATCH(MAX(N49:N52),N49:N52,0),0)</f>
        <v>China Life Prosperous Retirement</v>
      </c>
    </row>
    <row r="10" spans="1:19" ht="15" thickBot="1" x14ac:dyDescent="0.4">
      <c r="A10" s="168" t="s">
        <v>54</v>
      </c>
      <c r="B10" s="169">
        <v>20</v>
      </c>
      <c r="C10" s="217">
        <v>23390.25</v>
      </c>
      <c r="D10" s="217">
        <f t="shared" si="0"/>
        <v>233902.5</v>
      </c>
      <c r="E10" s="217">
        <v>246065</v>
      </c>
      <c r="F10" s="217" t="s">
        <v>45</v>
      </c>
      <c r="G10" s="217">
        <v>68652</v>
      </c>
      <c r="H10" s="217">
        <f>E10+G10</f>
        <v>314717</v>
      </c>
      <c r="I10" s="217">
        <f>1835.1*12</f>
        <v>22021.199999999997</v>
      </c>
      <c r="J10" s="217">
        <f t="shared" si="1"/>
        <v>440423.99999999994</v>
      </c>
      <c r="K10" s="217">
        <v>1127969</v>
      </c>
      <c r="L10" s="217">
        <f t="shared" si="2"/>
        <v>1568393</v>
      </c>
      <c r="M10" s="218">
        <v>1.32E-2</v>
      </c>
      <c r="N10" s="219">
        <v>4.1700000000000001E-2</v>
      </c>
      <c r="P10" s="364"/>
    </row>
    <row r="11" spans="1:19" x14ac:dyDescent="0.35">
      <c r="A11" s="135" t="s">
        <v>88</v>
      </c>
      <c r="C11" s="173"/>
      <c r="D11" s="216"/>
      <c r="E11" s="173"/>
      <c r="F11" s="173"/>
      <c r="G11" s="173"/>
      <c r="H11" s="173"/>
      <c r="I11" s="173"/>
      <c r="J11" s="173"/>
      <c r="K11" s="173"/>
      <c r="L11" s="173"/>
      <c r="M11" s="174"/>
      <c r="N11" s="174"/>
      <c r="P11" s="364"/>
    </row>
    <row r="12" spans="1:19" x14ac:dyDescent="0.35">
      <c r="A12" s="131" t="s">
        <v>90</v>
      </c>
      <c r="C12" s="173"/>
      <c r="D12" s="216"/>
      <c r="E12" s="173"/>
      <c r="F12" s="173"/>
      <c r="G12" s="173"/>
      <c r="H12" s="173"/>
      <c r="I12" s="173"/>
      <c r="J12" s="173"/>
      <c r="K12" s="173"/>
      <c r="L12" s="173"/>
      <c r="M12" s="174"/>
      <c r="N12" s="174"/>
      <c r="P12" s="364"/>
    </row>
    <row r="13" spans="1:19" x14ac:dyDescent="0.35">
      <c r="A13" s="131" t="s">
        <v>97</v>
      </c>
      <c r="C13" s="173"/>
      <c r="D13" s="216"/>
      <c r="E13" s="173"/>
      <c r="F13" s="173"/>
      <c r="G13" s="173"/>
      <c r="H13" s="173"/>
      <c r="I13" s="173"/>
      <c r="J13" s="173"/>
      <c r="K13" s="173"/>
      <c r="L13" s="173"/>
      <c r="M13" s="174"/>
      <c r="N13" s="174"/>
      <c r="P13" s="364"/>
    </row>
    <row r="14" spans="1:19" x14ac:dyDescent="0.35">
      <c r="A14" s="131" t="s">
        <v>98</v>
      </c>
      <c r="C14" s="173"/>
      <c r="D14" s="216"/>
      <c r="E14" s="173"/>
      <c r="F14" s="173"/>
      <c r="G14" s="173"/>
      <c r="H14" s="173"/>
      <c r="I14" s="173"/>
      <c r="J14" s="173"/>
      <c r="K14" s="173"/>
      <c r="L14" s="173"/>
      <c r="M14" s="174"/>
      <c r="N14" s="174"/>
      <c r="P14" s="364"/>
    </row>
    <row r="15" spans="1:19" x14ac:dyDescent="0.35">
      <c r="A15" s="131" t="s">
        <v>129</v>
      </c>
      <c r="C15" s="173"/>
      <c r="D15" s="216"/>
      <c r="E15" s="173"/>
      <c r="F15" s="173"/>
      <c r="G15" s="173"/>
      <c r="H15" s="173"/>
      <c r="I15" s="173"/>
      <c r="J15" s="173"/>
      <c r="K15" s="173"/>
      <c r="L15" s="173"/>
      <c r="M15" s="174"/>
      <c r="N15" s="174"/>
      <c r="P15" s="364"/>
    </row>
    <row r="16" spans="1:19" x14ac:dyDescent="0.35">
      <c r="C16" s="173"/>
      <c r="D16" s="216"/>
      <c r="E16" s="173"/>
      <c r="F16" s="173"/>
      <c r="G16" s="173"/>
      <c r="H16" s="173"/>
      <c r="I16" s="173"/>
      <c r="J16" s="173"/>
      <c r="K16" s="173"/>
      <c r="L16" s="173"/>
      <c r="M16" s="174"/>
      <c r="N16" s="174"/>
      <c r="P16" s="364"/>
    </row>
    <row r="17" spans="1:16" ht="25.4" customHeight="1" x14ac:dyDescent="0.35">
      <c r="A17" s="135" t="s">
        <v>229</v>
      </c>
      <c r="B17" s="135"/>
      <c r="C17" s="136"/>
      <c r="D17" s="136"/>
      <c r="E17" s="136"/>
      <c r="F17" s="136"/>
      <c r="G17" s="136"/>
      <c r="H17" s="136"/>
      <c r="I17" s="136"/>
      <c r="J17" s="138" t="s">
        <v>17</v>
      </c>
      <c r="K17" s="139" t="s">
        <v>18</v>
      </c>
      <c r="L17" s="136"/>
      <c r="M17" s="188"/>
      <c r="N17" s="188"/>
      <c r="O17" s="136"/>
      <c r="P17" s="364"/>
    </row>
    <row r="18" spans="1:16" ht="16.5" customHeight="1" thickBot="1" x14ac:dyDescent="0.4">
      <c r="A18" s="135" t="s">
        <v>230</v>
      </c>
      <c r="B18" s="135"/>
      <c r="C18" s="136"/>
      <c r="D18" s="136"/>
      <c r="E18" s="136"/>
      <c r="F18" s="136"/>
      <c r="G18" s="136"/>
      <c r="H18" s="136"/>
      <c r="I18" s="136"/>
      <c r="J18" s="135"/>
      <c r="K18" s="135"/>
      <c r="L18" s="136"/>
      <c r="M18" s="188"/>
      <c r="N18" s="188"/>
      <c r="O18" s="136"/>
      <c r="P18" s="364"/>
    </row>
    <row r="19" spans="1:16" ht="15" thickBot="1" x14ac:dyDescent="0.4">
      <c r="A19" s="377"/>
      <c r="B19" s="378"/>
      <c r="C19" s="378"/>
      <c r="D19" s="378"/>
      <c r="E19" s="350" t="s">
        <v>80</v>
      </c>
      <c r="F19" s="351"/>
      <c r="G19" s="351"/>
      <c r="H19" s="352"/>
      <c r="I19" s="353" t="s">
        <v>81</v>
      </c>
      <c r="J19" s="354"/>
      <c r="K19" s="354"/>
      <c r="L19" s="354"/>
      <c r="M19" s="354"/>
      <c r="N19" s="355"/>
      <c r="O19" s="135"/>
      <c r="P19" s="364"/>
    </row>
    <row r="20" spans="1:16" s="132" customFormat="1"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O20" s="155"/>
      <c r="P20" s="364"/>
    </row>
    <row r="21" spans="1:16" ht="14.9" customHeight="1" x14ac:dyDescent="0.35">
      <c r="A21" s="156" t="s">
        <v>151</v>
      </c>
      <c r="B21" s="207">
        <v>20</v>
      </c>
      <c r="C21" s="208">
        <v>24000.2</v>
      </c>
      <c r="D21" s="208">
        <f t="shared" ref="D21:D24" si="3">20*C21</f>
        <v>480004</v>
      </c>
      <c r="E21" s="209">
        <v>556804</v>
      </c>
      <c r="F21" s="209" t="s">
        <v>45</v>
      </c>
      <c r="G21" s="209">
        <v>287155</v>
      </c>
      <c r="H21" s="209">
        <f>E21+G21</f>
        <v>843959</v>
      </c>
      <c r="I21" s="209">
        <f>3940*12</f>
        <v>47280</v>
      </c>
      <c r="J21" s="209">
        <f t="shared" ref="J21:J24" si="4">I21*20</f>
        <v>945600</v>
      </c>
      <c r="K21" s="209">
        <f>351260+999480</f>
        <v>1350740</v>
      </c>
      <c r="L21" s="209">
        <f t="shared" ref="L21:L24" si="5">J21+K21</f>
        <v>2296340</v>
      </c>
      <c r="M21" s="210">
        <v>1.6500000000000001E-2</v>
      </c>
      <c r="N21" s="220">
        <v>3.8399999999999997E-2</v>
      </c>
      <c r="P21" s="364"/>
    </row>
    <row r="22" spans="1:16" ht="14.9" customHeight="1" x14ac:dyDescent="0.35">
      <c r="A22" s="164" t="s">
        <v>64</v>
      </c>
      <c r="B22" s="165">
        <v>20</v>
      </c>
      <c r="C22" s="173">
        <v>23976</v>
      </c>
      <c r="D22" s="173">
        <f t="shared" si="3"/>
        <v>479520</v>
      </c>
      <c r="E22" s="212">
        <v>499084</v>
      </c>
      <c r="F22" s="212" t="str">
        <f>IF(E22&gt;=D22,"Yes","No")</f>
        <v>Yes</v>
      </c>
      <c r="G22" s="212">
        <v>119112</v>
      </c>
      <c r="H22" s="212">
        <f>E22+G22</f>
        <v>618196</v>
      </c>
      <c r="I22" s="212">
        <v>26640</v>
      </c>
      <c r="J22" s="212">
        <v>692640</v>
      </c>
      <c r="K22" s="212">
        <f>L22-J22</f>
        <v>1975089</v>
      </c>
      <c r="L22" s="212">
        <v>2667729</v>
      </c>
      <c r="M22" s="213">
        <v>8.6999999999999994E-3</v>
      </c>
      <c r="N22" s="221">
        <v>4.1300000000000003E-2</v>
      </c>
      <c r="P22" s="364"/>
    </row>
    <row r="23" spans="1:16" x14ac:dyDescent="0.35">
      <c r="A23" s="164" t="s">
        <v>27</v>
      </c>
      <c r="B23" s="165">
        <v>20</v>
      </c>
      <c r="C23" s="173">
        <v>23929.62</v>
      </c>
      <c r="D23" s="216">
        <f t="shared" si="3"/>
        <v>478592.39999999997</v>
      </c>
      <c r="E23" s="212">
        <v>478592.39999999997</v>
      </c>
      <c r="F23" s="212" t="s">
        <v>45</v>
      </c>
      <c r="G23" s="212">
        <v>120814</v>
      </c>
      <c r="H23" s="212">
        <f>E23+G23</f>
        <v>599406.39999999991</v>
      </c>
      <c r="I23" s="212">
        <f>2860*12</f>
        <v>34320</v>
      </c>
      <c r="J23" s="212">
        <f t="shared" si="4"/>
        <v>686400</v>
      </c>
      <c r="K23" s="212">
        <v>1670409</v>
      </c>
      <c r="L23" s="212">
        <f t="shared" si="5"/>
        <v>2356809</v>
      </c>
      <c r="M23" s="213">
        <v>8.6999999999999994E-3</v>
      </c>
      <c r="N23" s="214">
        <v>3.9100000000000003E-2</v>
      </c>
      <c r="P23" s="364"/>
    </row>
    <row r="24" spans="1:16" ht="15" thickBot="1" x14ac:dyDescent="0.4">
      <c r="A24" s="168" t="s">
        <v>54</v>
      </c>
      <c r="B24" s="169">
        <v>20</v>
      </c>
      <c r="C24" s="217">
        <v>24000</v>
      </c>
      <c r="D24" s="217">
        <f t="shared" si="3"/>
        <v>480000</v>
      </c>
      <c r="E24" s="217">
        <v>493686</v>
      </c>
      <c r="F24" s="217" t="s">
        <v>45</v>
      </c>
      <c r="G24" s="217">
        <v>88370</v>
      </c>
      <c r="H24" s="217">
        <f>E24+G24</f>
        <v>582056</v>
      </c>
      <c r="I24" s="217">
        <f>3491.83*12</f>
        <v>41901.96</v>
      </c>
      <c r="J24" s="217">
        <f t="shared" si="4"/>
        <v>838039.2</v>
      </c>
      <c r="K24" s="217">
        <v>1735411</v>
      </c>
      <c r="L24" s="217">
        <f t="shared" si="5"/>
        <v>2573450.2000000002</v>
      </c>
      <c r="M24" s="218">
        <v>1.35E-2</v>
      </c>
      <c r="N24" s="222">
        <v>4.1300000000000003E-2</v>
      </c>
      <c r="P24" s="364"/>
    </row>
    <row r="25" spans="1:16" ht="16.5" customHeight="1" x14ac:dyDescent="0.35">
      <c r="A25" s="135" t="s">
        <v>49</v>
      </c>
      <c r="C25" s="173"/>
      <c r="D25" s="216"/>
      <c r="E25" s="212"/>
      <c r="F25" s="212"/>
      <c r="G25" s="212"/>
      <c r="H25" s="212"/>
      <c r="I25" s="212"/>
      <c r="J25" s="212"/>
      <c r="K25" s="212"/>
      <c r="L25" s="212"/>
      <c r="M25" s="174"/>
      <c r="N25" s="174"/>
      <c r="P25" s="364"/>
    </row>
    <row r="26" spans="1:16" x14ac:dyDescent="0.35">
      <c r="A26" s="131" t="s">
        <v>70</v>
      </c>
      <c r="C26" s="173"/>
      <c r="D26" s="216"/>
      <c r="E26" s="212"/>
      <c r="F26" s="212"/>
      <c r="G26" s="212"/>
      <c r="H26" s="212"/>
      <c r="I26" s="212"/>
      <c r="J26" s="212"/>
      <c r="K26" s="212"/>
      <c r="L26" s="212"/>
      <c r="M26" s="174"/>
      <c r="N26" s="174"/>
      <c r="P26" s="364"/>
    </row>
    <row r="27" spans="1:16" x14ac:dyDescent="0.35">
      <c r="A27" s="131" t="s">
        <v>97</v>
      </c>
      <c r="C27" s="173"/>
      <c r="D27" s="216"/>
      <c r="E27" s="212"/>
      <c r="F27" s="212"/>
      <c r="G27" s="212"/>
      <c r="H27" s="212"/>
      <c r="I27" s="212"/>
      <c r="J27" s="212"/>
      <c r="K27" s="212"/>
      <c r="L27" s="212"/>
      <c r="M27" s="174"/>
      <c r="N27" s="174"/>
      <c r="P27" s="364"/>
    </row>
    <row r="28" spans="1:16" x14ac:dyDescent="0.35">
      <c r="A28" s="131" t="s">
        <v>98</v>
      </c>
      <c r="C28" s="173"/>
      <c r="D28" s="216"/>
      <c r="E28" s="212"/>
      <c r="F28" s="212"/>
      <c r="G28" s="212"/>
      <c r="H28" s="212"/>
      <c r="I28" s="212"/>
      <c r="J28" s="212"/>
      <c r="K28" s="212"/>
      <c r="L28" s="212"/>
      <c r="M28" s="174"/>
      <c r="N28" s="174"/>
      <c r="P28" s="364"/>
    </row>
    <row r="29" spans="1:16" x14ac:dyDescent="0.35">
      <c r="C29" s="173"/>
      <c r="D29" s="216"/>
      <c r="E29" s="212"/>
      <c r="F29" s="212"/>
      <c r="G29" s="212"/>
      <c r="H29" s="212"/>
      <c r="I29" s="212"/>
      <c r="J29" s="212"/>
      <c r="K29" s="212"/>
      <c r="L29" s="212"/>
      <c r="M29" s="174"/>
      <c r="N29" s="174"/>
      <c r="P29" s="364"/>
    </row>
    <row r="30" spans="1:16" ht="30" customHeight="1" x14ac:dyDescent="0.35">
      <c r="A30" s="135" t="s">
        <v>231</v>
      </c>
      <c r="B30" s="135"/>
      <c r="C30" s="136"/>
      <c r="D30" s="136"/>
      <c r="E30" s="136"/>
      <c r="F30" s="136"/>
      <c r="G30" s="136"/>
      <c r="H30" s="136"/>
      <c r="I30" s="136"/>
      <c r="J30" s="138" t="s">
        <v>17</v>
      </c>
      <c r="K30" s="139" t="s">
        <v>18</v>
      </c>
      <c r="L30" s="136"/>
      <c r="M30" s="188"/>
      <c r="N30" s="188"/>
      <c r="O30" s="136"/>
      <c r="P30" s="364"/>
    </row>
    <row r="31" spans="1:16" ht="19.399999999999999" customHeight="1" thickBot="1" x14ac:dyDescent="0.4">
      <c r="A31" s="135" t="s">
        <v>232</v>
      </c>
      <c r="B31" s="135"/>
      <c r="C31" s="136"/>
      <c r="D31" s="136"/>
      <c r="E31" s="136"/>
      <c r="F31" s="136"/>
      <c r="G31" s="136"/>
      <c r="H31" s="136"/>
      <c r="I31" s="136"/>
      <c r="J31" s="135"/>
      <c r="K31" s="135"/>
      <c r="L31" s="136"/>
      <c r="M31" s="188"/>
      <c r="N31" s="188"/>
      <c r="O31" s="136"/>
      <c r="P31" s="364"/>
    </row>
    <row r="32" spans="1:16" ht="15" thickBot="1" x14ac:dyDescent="0.4">
      <c r="A32" s="377"/>
      <c r="B32" s="378"/>
      <c r="C32" s="378"/>
      <c r="D32" s="378"/>
      <c r="E32" s="350" t="s">
        <v>80</v>
      </c>
      <c r="F32" s="351"/>
      <c r="G32" s="351"/>
      <c r="H32" s="352"/>
      <c r="I32" s="353" t="s">
        <v>81</v>
      </c>
      <c r="J32" s="354"/>
      <c r="K32" s="354"/>
      <c r="L32" s="354"/>
      <c r="M32" s="354"/>
      <c r="N32" s="355"/>
      <c r="O32" s="135"/>
      <c r="P32" s="364"/>
    </row>
    <row r="33" spans="1:16" s="132" customFormat="1" ht="44" thickBot="1" x14ac:dyDescent="0.4">
      <c r="A33" s="144" t="s">
        <v>7</v>
      </c>
      <c r="B33" s="175" t="s">
        <v>10</v>
      </c>
      <c r="C33" s="203" t="s">
        <v>8</v>
      </c>
      <c r="D33" s="204" t="s">
        <v>9</v>
      </c>
      <c r="E33" s="177" t="s">
        <v>77</v>
      </c>
      <c r="F33" s="178" t="s">
        <v>82</v>
      </c>
      <c r="G33" s="178" t="s">
        <v>78</v>
      </c>
      <c r="H33" s="205" t="s">
        <v>83</v>
      </c>
      <c r="I33" s="180" t="s">
        <v>11</v>
      </c>
      <c r="J33" s="181" t="s">
        <v>12</v>
      </c>
      <c r="K33" s="181" t="s">
        <v>13</v>
      </c>
      <c r="L33" s="182" t="s">
        <v>14</v>
      </c>
      <c r="M33" s="180" t="s">
        <v>84</v>
      </c>
      <c r="N33" s="182" t="s">
        <v>85</v>
      </c>
      <c r="O33" s="155"/>
      <c r="P33" s="364"/>
    </row>
    <row r="34" spans="1:16" ht="14.9" customHeight="1" x14ac:dyDescent="0.35">
      <c r="A34" s="156" t="s">
        <v>151</v>
      </c>
      <c r="B34" s="207">
        <v>20</v>
      </c>
      <c r="C34" s="208">
        <v>24039.05</v>
      </c>
      <c r="D34" s="208">
        <f t="shared" ref="D34:D38" si="6">10*C34</f>
        <v>240390.5</v>
      </c>
      <c r="E34" s="208">
        <v>272843</v>
      </c>
      <c r="F34" s="209" t="s">
        <v>45</v>
      </c>
      <c r="G34" s="208">
        <v>142754</v>
      </c>
      <c r="H34" s="208">
        <f t="shared" ref="H34:H38" si="7">E34+G34</f>
        <v>415597</v>
      </c>
      <c r="I34" s="208">
        <f>2020*12</f>
        <v>24240</v>
      </c>
      <c r="J34" s="208">
        <f t="shared" ref="J34:J38" si="8">I34*20</f>
        <v>484800</v>
      </c>
      <c r="K34" s="208">
        <f>174620+474600</f>
        <v>649220</v>
      </c>
      <c r="L34" s="208">
        <f t="shared" ref="L34:L38" si="9">J34+K34</f>
        <v>1134020</v>
      </c>
      <c r="M34" s="210">
        <v>1.7100000000000001E-2</v>
      </c>
      <c r="N34" s="220">
        <v>3.85E-2</v>
      </c>
      <c r="P34" s="364"/>
    </row>
    <row r="35" spans="1:16" ht="14.9" customHeight="1" x14ac:dyDescent="0.35">
      <c r="A35" s="164" t="s">
        <v>64</v>
      </c>
      <c r="B35" s="165">
        <v>20</v>
      </c>
      <c r="C35" s="173">
        <v>23966</v>
      </c>
      <c r="D35" s="173">
        <f t="shared" si="6"/>
        <v>239660</v>
      </c>
      <c r="E35" s="173">
        <v>252562</v>
      </c>
      <c r="F35" s="212" t="str">
        <f>IF(E35&gt;=D35,"Yes","No")</f>
        <v>Yes</v>
      </c>
      <c r="G35" s="173">
        <v>53062</v>
      </c>
      <c r="H35" s="173">
        <f t="shared" si="7"/>
        <v>305624</v>
      </c>
      <c r="I35" s="173">
        <v>17160</v>
      </c>
      <c r="J35" s="173">
        <v>446160</v>
      </c>
      <c r="K35" s="212">
        <f>L35-J35</f>
        <v>838491</v>
      </c>
      <c r="L35" s="173">
        <v>1284651</v>
      </c>
      <c r="M35" s="223">
        <v>1.4800000000000001E-2</v>
      </c>
      <c r="N35" s="221">
        <v>4.0800000000000003E-2</v>
      </c>
      <c r="P35" s="364"/>
    </row>
    <row r="36" spans="1:16" x14ac:dyDescent="0.35">
      <c r="A36" s="164" t="s">
        <v>26</v>
      </c>
      <c r="B36" s="165">
        <v>20</v>
      </c>
      <c r="C36" s="173">
        <v>24241.200000000001</v>
      </c>
      <c r="D36" s="173">
        <f t="shared" si="6"/>
        <v>242412</v>
      </c>
      <c r="E36" s="173">
        <v>242415</v>
      </c>
      <c r="F36" s="212" t="s">
        <v>45</v>
      </c>
      <c r="G36" s="173">
        <v>208329</v>
      </c>
      <c r="H36" s="173">
        <f t="shared" si="7"/>
        <v>450744</v>
      </c>
      <c r="I36" s="173">
        <f>1500*12</f>
        <v>18000</v>
      </c>
      <c r="J36" s="173">
        <f t="shared" si="8"/>
        <v>360000</v>
      </c>
      <c r="K36" s="212">
        <f>L36-J36</f>
        <v>784610</v>
      </c>
      <c r="L36" s="173">
        <v>1144610</v>
      </c>
      <c r="M36" s="213">
        <v>9.7000000000000003E-3</v>
      </c>
      <c r="N36" s="224">
        <v>3.49E-2</v>
      </c>
      <c r="P36" s="364"/>
    </row>
    <row r="37" spans="1:16" x14ac:dyDescent="0.35">
      <c r="A37" s="164" t="s">
        <v>27</v>
      </c>
      <c r="B37" s="165">
        <v>20</v>
      </c>
      <c r="C37" s="173">
        <v>23868.45</v>
      </c>
      <c r="D37" s="216">
        <f t="shared" si="6"/>
        <v>238684.5</v>
      </c>
      <c r="E37" s="173">
        <f>D37</f>
        <v>238684.5</v>
      </c>
      <c r="F37" s="173" t="s">
        <v>45</v>
      </c>
      <c r="G37" s="173">
        <v>60070</v>
      </c>
      <c r="H37" s="173">
        <f t="shared" si="7"/>
        <v>298754.5</v>
      </c>
      <c r="I37" s="173">
        <f>1450*12</f>
        <v>17400</v>
      </c>
      <c r="J37" s="173">
        <f t="shared" si="8"/>
        <v>348000</v>
      </c>
      <c r="K37" s="173">
        <v>788421</v>
      </c>
      <c r="L37" s="173">
        <f t="shared" si="9"/>
        <v>1136421</v>
      </c>
      <c r="M37" s="213">
        <v>9.1000000000000004E-3</v>
      </c>
      <c r="N37" s="224">
        <v>3.8699999999999998E-2</v>
      </c>
      <c r="P37" s="364"/>
    </row>
    <row r="38" spans="1:16" ht="15" thickBot="1" x14ac:dyDescent="0.4">
      <c r="A38" s="168" t="s">
        <v>54</v>
      </c>
      <c r="B38" s="169">
        <v>20</v>
      </c>
      <c r="C38" s="217">
        <v>24000.05</v>
      </c>
      <c r="D38" s="217">
        <f t="shared" si="6"/>
        <v>240000.5</v>
      </c>
      <c r="E38" s="217">
        <v>245809</v>
      </c>
      <c r="F38" s="217" t="s">
        <v>45</v>
      </c>
      <c r="G38" s="217">
        <v>50882</v>
      </c>
      <c r="H38" s="217">
        <f t="shared" si="7"/>
        <v>296691</v>
      </c>
      <c r="I38" s="217">
        <v>19988</v>
      </c>
      <c r="J38" s="217">
        <f t="shared" si="8"/>
        <v>399760</v>
      </c>
      <c r="K38" s="217">
        <v>861166</v>
      </c>
      <c r="L38" s="217">
        <f t="shared" si="9"/>
        <v>1260926</v>
      </c>
      <c r="M38" s="225">
        <v>1.24E-2</v>
      </c>
      <c r="N38" s="226">
        <v>4.1300000000000003E-2</v>
      </c>
      <c r="P38" s="365"/>
    </row>
    <row r="39" spans="1:16" ht="19.5" customHeight="1" x14ac:dyDescent="0.35">
      <c r="A39" s="135" t="s">
        <v>49</v>
      </c>
      <c r="D39" s="186"/>
      <c r="E39" s="186"/>
      <c r="F39" s="186"/>
      <c r="K39" s="186"/>
      <c r="P39" s="140"/>
    </row>
    <row r="40" spans="1:16" x14ac:dyDescent="0.35">
      <c r="A40" s="131" t="s">
        <v>90</v>
      </c>
      <c r="D40" s="186"/>
      <c r="E40" s="186"/>
      <c r="F40" s="186"/>
      <c r="K40" s="186"/>
      <c r="P40" s="140"/>
    </row>
    <row r="41" spans="1:16" x14ac:dyDescent="0.35">
      <c r="A41" s="131" t="s">
        <v>95</v>
      </c>
      <c r="D41" s="186"/>
      <c r="E41" s="186"/>
      <c r="F41" s="186"/>
      <c r="K41" s="186"/>
      <c r="P41" s="140"/>
    </row>
    <row r="42" spans="1:16" ht="12.5" customHeight="1" x14ac:dyDescent="0.35">
      <c r="A42" s="131" t="s">
        <v>96</v>
      </c>
      <c r="D42" s="186"/>
      <c r="E42" s="186"/>
      <c r="F42" s="186"/>
      <c r="K42" s="186"/>
      <c r="P42" s="140"/>
    </row>
    <row r="43" spans="1:16" ht="12.5" customHeight="1" x14ac:dyDescent="0.35">
      <c r="A43" s="131" t="s">
        <v>129</v>
      </c>
      <c r="P43" s="131"/>
    </row>
    <row r="44" spans="1:16" ht="19.5" customHeight="1" x14ac:dyDescent="0.35">
      <c r="D44" s="186"/>
      <c r="E44" s="186"/>
      <c r="F44" s="186"/>
      <c r="K44" s="186"/>
      <c r="P44" s="140"/>
    </row>
    <row r="45" spans="1:16" ht="18" customHeight="1" x14ac:dyDescent="0.35">
      <c r="A45" s="135" t="s">
        <v>233</v>
      </c>
      <c r="B45" s="135"/>
      <c r="C45" s="136"/>
      <c r="D45" s="136"/>
      <c r="E45" s="136"/>
      <c r="F45" s="136"/>
      <c r="G45" s="136"/>
      <c r="H45" s="136"/>
      <c r="I45" s="136"/>
      <c r="J45" s="138" t="s">
        <v>17</v>
      </c>
      <c r="K45" s="139" t="s">
        <v>18</v>
      </c>
      <c r="L45" s="136"/>
      <c r="M45" s="188"/>
      <c r="N45" s="188"/>
      <c r="P45" s="140"/>
    </row>
    <row r="46" spans="1:16" ht="18" customHeight="1" thickBot="1" x14ac:dyDescent="0.4">
      <c r="A46" s="135" t="s">
        <v>234</v>
      </c>
      <c r="B46" s="135"/>
      <c r="C46" s="136"/>
      <c r="D46" s="136"/>
      <c r="E46" s="136"/>
      <c r="F46" s="136"/>
      <c r="G46" s="136"/>
      <c r="H46" s="136"/>
      <c r="I46" s="136"/>
      <c r="J46" s="135"/>
      <c r="K46" s="135"/>
      <c r="L46" s="136"/>
      <c r="M46" s="188"/>
      <c r="N46" s="188"/>
      <c r="P46" s="140"/>
    </row>
    <row r="47" spans="1:16" ht="15.75" customHeight="1" thickBot="1" x14ac:dyDescent="0.4">
      <c r="A47" s="377"/>
      <c r="B47" s="378"/>
      <c r="C47" s="378"/>
      <c r="D47" s="378"/>
      <c r="E47" s="350" t="s">
        <v>80</v>
      </c>
      <c r="F47" s="351"/>
      <c r="G47" s="351"/>
      <c r="H47" s="352"/>
      <c r="I47" s="353" t="s">
        <v>81</v>
      </c>
      <c r="J47" s="354"/>
      <c r="K47" s="354"/>
      <c r="L47" s="354"/>
      <c r="M47" s="354"/>
      <c r="N47" s="355"/>
      <c r="P47" s="227"/>
    </row>
    <row r="48" spans="1:16" ht="44" thickBot="1" x14ac:dyDescent="0.4">
      <c r="A48" s="144" t="s">
        <v>7</v>
      </c>
      <c r="B48" s="175" t="s">
        <v>10</v>
      </c>
      <c r="C48" s="203" t="s">
        <v>8</v>
      </c>
      <c r="D48" s="204" t="s">
        <v>9</v>
      </c>
      <c r="E48" s="177" t="s">
        <v>77</v>
      </c>
      <c r="F48" s="178" t="s">
        <v>82</v>
      </c>
      <c r="G48" s="178" t="s">
        <v>78</v>
      </c>
      <c r="H48" s="205" t="s">
        <v>83</v>
      </c>
      <c r="I48" s="180" t="s">
        <v>11</v>
      </c>
      <c r="J48" s="181" t="s">
        <v>12</v>
      </c>
      <c r="K48" s="181" t="s">
        <v>13</v>
      </c>
      <c r="L48" s="182" t="s">
        <v>14</v>
      </c>
      <c r="M48" s="180" t="s">
        <v>84</v>
      </c>
      <c r="N48" s="182" t="s">
        <v>85</v>
      </c>
      <c r="O48" s="189"/>
      <c r="P48" s="131"/>
    </row>
    <row r="49" spans="1:16" x14ac:dyDescent="0.35">
      <c r="A49" s="156" t="s">
        <v>151</v>
      </c>
      <c r="B49" s="207">
        <v>20</v>
      </c>
      <c r="C49" s="208">
        <v>23968.45</v>
      </c>
      <c r="D49" s="208">
        <f>20*C49</f>
        <v>479369</v>
      </c>
      <c r="E49" s="209">
        <v>544083</v>
      </c>
      <c r="F49" s="209" t="s">
        <v>45</v>
      </c>
      <c r="G49" s="209">
        <v>232157</v>
      </c>
      <c r="H49" s="209">
        <f>E49+G49</f>
        <v>776240</v>
      </c>
      <c r="I49" s="209">
        <f>3570*12</f>
        <v>42840</v>
      </c>
      <c r="J49" s="209">
        <f t="shared" ref="J49:J52" si="10">I49*20</f>
        <v>856800</v>
      </c>
      <c r="K49" s="209">
        <f>283980+697420</f>
        <v>981400</v>
      </c>
      <c r="L49" s="209">
        <f t="shared" ref="L49:L52" si="11">J49+K49</f>
        <v>1838200</v>
      </c>
      <c r="M49" s="210">
        <v>1.6E-2</v>
      </c>
      <c r="N49" s="220">
        <v>3.7499999999999999E-2</v>
      </c>
      <c r="O49" s="228"/>
      <c r="P49" s="131"/>
    </row>
    <row r="50" spans="1:16" x14ac:dyDescent="0.35">
      <c r="A50" s="164" t="s">
        <v>64</v>
      </c>
      <c r="B50" s="165">
        <v>20</v>
      </c>
      <c r="C50" s="173">
        <v>23907</v>
      </c>
      <c r="D50" s="173">
        <f t="shared" ref="D50:D52" si="12">20*C50</f>
        <v>478140</v>
      </c>
      <c r="E50" s="212">
        <v>491436</v>
      </c>
      <c r="F50" s="212" t="str">
        <f>IF(E50&gt;=D50,"Yes","No")</f>
        <v>Yes</v>
      </c>
      <c r="G50" s="212">
        <v>105861</v>
      </c>
      <c r="H50" s="212">
        <f>E50+G50</f>
        <v>597297</v>
      </c>
      <c r="I50" s="212">
        <v>28920</v>
      </c>
      <c r="J50" s="212">
        <v>751920</v>
      </c>
      <c r="K50" s="212">
        <f>L50-J50</f>
        <v>1428339</v>
      </c>
      <c r="L50" s="212">
        <v>2180259</v>
      </c>
      <c r="M50" s="213">
        <v>1.21E-2</v>
      </c>
      <c r="N50" s="221">
        <v>4.1300000000000003E-2</v>
      </c>
      <c r="P50" s="131"/>
    </row>
    <row r="51" spans="1:16" ht="14.25" customHeight="1" x14ac:dyDescent="0.35">
      <c r="A51" s="164" t="s">
        <v>27</v>
      </c>
      <c r="B51" s="165">
        <v>20</v>
      </c>
      <c r="C51" s="173">
        <v>23925.87</v>
      </c>
      <c r="D51" s="173">
        <f t="shared" si="12"/>
        <v>478517.39999999997</v>
      </c>
      <c r="E51" s="212">
        <f>D51</f>
        <v>478517.39999999997</v>
      </c>
      <c r="F51" s="212" t="s">
        <v>45</v>
      </c>
      <c r="G51" s="212">
        <v>100983</v>
      </c>
      <c r="H51" s="212">
        <f>E51+G51</f>
        <v>579500.39999999991</v>
      </c>
      <c r="I51" s="212">
        <f>2670*12</f>
        <v>32040</v>
      </c>
      <c r="J51" s="212">
        <f t="shared" si="10"/>
        <v>640800</v>
      </c>
      <c r="K51" s="212">
        <v>1209775</v>
      </c>
      <c r="L51" s="212">
        <f t="shared" si="11"/>
        <v>1850575</v>
      </c>
      <c r="M51" s="213">
        <v>8.0000000000000002E-3</v>
      </c>
      <c r="N51" s="224">
        <v>3.7699999999999997E-2</v>
      </c>
      <c r="P51" s="131"/>
    </row>
    <row r="52" spans="1:16" ht="14.25" customHeight="1" thickBot="1" x14ac:dyDescent="0.4">
      <c r="A52" s="168" t="s">
        <v>54</v>
      </c>
      <c r="B52" s="169">
        <v>20</v>
      </c>
      <c r="C52" s="217">
        <v>24000</v>
      </c>
      <c r="D52" s="217">
        <f t="shared" si="12"/>
        <v>480000</v>
      </c>
      <c r="E52" s="217">
        <v>492764</v>
      </c>
      <c r="F52" s="217" t="s">
        <v>45</v>
      </c>
      <c r="G52" s="217">
        <v>65045</v>
      </c>
      <c r="H52" s="217">
        <f>E52+G52</f>
        <v>557809</v>
      </c>
      <c r="I52" s="217">
        <f>3179.58*12</f>
        <v>38154.959999999999</v>
      </c>
      <c r="J52" s="217">
        <f t="shared" si="10"/>
        <v>763099.2</v>
      </c>
      <c r="K52" s="217">
        <v>1302458</v>
      </c>
      <c r="L52" s="217">
        <f t="shared" si="11"/>
        <v>2065557.2</v>
      </c>
      <c r="M52" s="218">
        <v>1.2800000000000001E-2</v>
      </c>
      <c r="N52" s="222">
        <v>4.0800000000000003E-2</v>
      </c>
      <c r="P52" s="131"/>
    </row>
    <row r="53" spans="1:16" x14ac:dyDescent="0.35">
      <c r="A53" s="135" t="s">
        <v>49</v>
      </c>
      <c r="C53" s="173"/>
      <c r="D53" s="216"/>
      <c r="E53" s="212"/>
      <c r="F53" s="212"/>
      <c r="G53" s="212"/>
      <c r="H53" s="212"/>
      <c r="I53" s="212"/>
      <c r="J53" s="189"/>
      <c r="K53" s="189"/>
      <c r="L53" s="189"/>
      <c r="M53" s="189"/>
      <c r="N53" s="189"/>
    </row>
    <row r="54" spans="1:16" x14ac:dyDescent="0.35">
      <c r="A54" s="131" t="s">
        <v>70</v>
      </c>
      <c r="C54" s="173"/>
      <c r="D54" s="216"/>
      <c r="E54" s="212"/>
      <c r="F54" s="212"/>
      <c r="G54" s="212"/>
      <c r="H54" s="212"/>
      <c r="I54" s="212"/>
    </row>
    <row r="55" spans="1:16" x14ac:dyDescent="0.35">
      <c r="A55" s="131" t="s">
        <v>97</v>
      </c>
      <c r="C55" s="173"/>
      <c r="D55" s="216"/>
      <c r="E55" s="212"/>
      <c r="F55" s="212"/>
      <c r="G55" s="212"/>
      <c r="H55" s="212"/>
      <c r="I55" s="212"/>
    </row>
    <row r="56" spans="1:16" x14ac:dyDescent="0.35">
      <c r="A56" s="131" t="s">
        <v>98</v>
      </c>
    </row>
  </sheetData>
  <sheetProtection algorithmName="SHA-512" hashValue="4Zf60Y9Wk3QhM300HqpGaLcNQ9Y0XsSa3SL4iEeh2wZ/4/mMx/+5bMCeq/O3fEtWsEcT4Iap6afZaN+vlPML4A==" saltValue="xgNtCFOfeu8pLM/kgSFuAg==" spinCount="100000" sheet="1" objects="1" scenarios="1" selectLockedCells="1" autoFilter="0" selectUnlockedCells="1"/>
  <mergeCells count="13">
    <mergeCell ref="P6:P38"/>
    <mergeCell ref="A19:D19"/>
    <mergeCell ref="E19:H19"/>
    <mergeCell ref="I19:N19"/>
    <mergeCell ref="A32:D32"/>
    <mergeCell ref="E32:H32"/>
    <mergeCell ref="I32:N32"/>
    <mergeCell ref="A47:D47"/>
    <mergeCell ref="E47:H47"/>
    <mergeCell ref="I47:N47"/>
    <mergeCell ref="A4:D4"/>
    <mergeCell ref="E4:H4"/>
    <mergeCell ref="I4:N4"/>
  </mergeCells>
  <conditionalFormatting sqref="M6:M10">
    <cfRule type="top10" dxfId="161" priority="10" rank="1"/>
    <cfRule type="top10" dxfId="160" priority="11" rank="2"/>
  </conditionalFormatting>
  <conditionalFormatting sqref="M21:M24">
    <cfRule type="top10" dxfId="159" priority="6" rank="1"/>
    <cfRule type="top10" dxfId="158" priority="7" rank="2"/>
  </conditionalFormatting>
  <conditionalFormatting sqref="M34:M38">
    <cfRule type="top10" dxfId="157" priority="12" rank="1"/>
    <cfRule type="top10" dxfId="156" priority="13" rank="2"/>
  </conditionalFormatting>
  <conditionalFormatting sqref="M49:M52">
    <cfRule type="top10" dxfId="155" priority="2" rank="1"/>
    <cfRule type="top10" dxfId="154" priority="3" rank="2"/>
  </conditionalFormatting>
  <conditionalFormatting sqref="N6:N10">
    <cfRule type="top10" dxfId="153" priority="1" rank="1"/>
  </conditionalFormatting>
  <conditionalFormatting sqref="N21:N24">
    <cfRule type="top10" dxfId="152" priority="8" rank="1"/>
    <cfRule type="top10" dxfId="151" priority="9" rank="2"/>
  </conditionalFormatting>
  <conditionalFormatting sqref="N34:N38">
    <cfRule type="top10" dxfId="150" priority="14" rank="1"/>
    <cfRule type="top10" dxfId="149" priority="15" rank="2"/>
  </conditionalFormatting>
  <conditionalFormatting sqref="N49:N52">
    <cfRule type="top10" dxfId="148" priority="4" rank="1"/>
    <cfRule type="top10" dxfId="147" priority="5" rank="2"/>
  </conditionalFormatting>
  <printOptions horizontalCentered="1" verticalCentered="1"/>
  <pageMargins left="0" right="0" top="0" bottom="0" header="0" footer="0"/>
  <pageSetup paperSize="9" scale="44" orientation="landscape" r:id="rId1"/>
  <headerFooter>
    <oddFooter>&amp;L_x000D_&amp;1#&amp;"Calibri"&amp;8&amp;K0000FF 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P54"/>
  <sheetViews>
    <sheetView showGridLines="0" zoomScale="70" zoomScaleNormal="70" workbookViewId="0">
      <selection activeCell="P6" sqref="P6:P37"/>
    </sheetView>
  </sheetViews>
  <sheetFormatPr defaultColWidth="9.1796875" defaultRowHeight="14.5" x14ac:dyDescent="0.35"/>
  <cols>
    <col min="1" max="1" width="33.453125" style="1" customWidth="1"/>
    <col min="2" max="2" width="12.1796875" style="1" bestFit="1" customWidth="1"/>
    <col min="3" max="3" width="12.36328125" style="1" customWidth="1"/>
    <col min="4" max="4" width="12.54296875" style="1" bestFit="1" customWidth="1"/>
    <col min="5" max="5" width="17.1796875" style="1" customWidth="1"/>
    <col min="6" max="6" width="24.81640625" style="1" bestFit="1" customWidth="1"/>
    <col min="7" max="7" width="18.1796875" style="1" customWidth="1"/>
    <col min="8" max="8" width="19.81640625" style="1" customWidth="1"/>
    <col min="9" max="9" width="16.81640625" style="1" customWidth="1"/>
    <col min="10" max="10" width="17" style="1" customWidth="1"/>
    <col min="11" max="11" width="14.54296875" style="1" bestFit="1" customWidth="1"/>
    <col min="12" max="12" width="17.54296875" style="1" bestFit="1" customWidth="1"/>
    <col min="13" max="13" width="15.54296875" style="1" customWidth="1"/>
    <col min="14" max="14" width="17.1796875" style="1" customWidth="1"/>
    <col min="15" max="15" width="9.81640625" style="1" customWidth="1"/>
    <col min="16" max="16" width="60.81640625" style="6" customWidth="1"/>
    <col min="17" max="17" width="29.453125" style="1" customWidth="1"/>
    <col min="18" max="18" width="11.81640625" style="1" bestFit="1" customWidth="1"/>
    <col min="19" max="19" width="13.1796875" style="1" bestFit="1" customWidth="1"/>
    <col min="20" max="20" width="11.54296875" style="1" customWidth="1"/>
    <col min="21" max="21" width="12" style="1" customWidth="1"/>
    <col min="22" max="22" width="10" style="1" bestFit="1" customWidth="1"/>
    <col min="23" max="23" width="11.453125" style="1" customWidth="1"/>
    <col min="24" max="24" width="12.453125" style="1" customWidth="1"/>
    <col min="25" max="25" width="11.453125" style="1" customWidth="1"/>
    <col min="26" max="26" width="10" style="1" bestFit="1" customWidth="1"/>
    <col min="27" max="27" width="20.54296875" style="1" customWidth="1"/>
    <col min="28" max="16384" width="9.1796875" style="1"/>
  </cols>
  <sheetData>
    <row r="2" spans="1:16" ht="15" customHeight="1" x14ac:dyDescent="0.35">
      <c r="A2" s="4" t="s">
        <v>40</v>
      </c>
      <c r="B2" s="4"/>
      <c r="C2" s="5"/>
      <c r="D2" s="5"/>
      <c r="E2" s="5"/>
      <c r="F2" s="5"/>
      <c r="G2" s="5"/>
      <c r="H2" s="5"/>
      <c r="I2" s="5"/>
      <c r="J2" s="28" t="s">
        <v>17</v>
      </c>
      <c r="K2" s="29" t="s">
        <v>18</v>
      </c>
      <c r="L2" s="5"/>
      <c r="M2" s="95"/>
      <c r="N2" s="95"/>
      <c r="O2" s="5"/>
    </row>
    <row r="3" spans="1:16" ht="19.399999999999999" customHeight="1" thickBot="1" x14ac:dyDescent="0.4">
      <c r="A3" s="4" t="s">
        <v>110</v>
      </c>
      <c r="B3" s="4"/>
      <c r="C3" s="5"/>
      <c r="D3" s="5"/>
      <c r="E3" s="5"/>
      <c r="F3" s="5"/>
      <c r="G3" s="5"/>
      <c r="H3" s="5"/>
      <c r="I3" s="5"/>
      <c r="J3" s="4"/>
      <c r="K3" s="4"/>
      <c r="L3" s="5"/>
      <c r="M3" s="95"/>
      <c r="N3" s="95"/>
      <c r="O3" s="5"/>
    </row>
    <row r="4" spans="1:16" ht="15" thickBot="1" x14ac:dyDescent="0.4">
      <c r="A4" s="379"/>
      <c r="B4" s="380"/>
      <c r="C4" s="380"/>
      <c r="D4" s="380"/>
      <c r="E4" s="369" t="s">
        <v>80</v>
      </c>
      <c r="F4" s="370"/>
      <c r="G4" s="370"/>
      <c r="H4" s="371"/>
      <c r="I4" s="372" t="s">
        <v>81</v>
      </c>
      <c r="J4" s="373"/>
      <c r="K4" s="373"/>
      <c r="L4" s="373"/>
      <c r="M4" s="373"/>
      <c r="N4" s="374"/>
      <c r="O4" s="4"/>
    </row>
    <row r="5" spans="1:16" s="8" customFormat="1" ht="44" thickBot="1" x14ac:dyDescent="0.4">
      <c r="A5" s="38" t="s">
        <v>7</v>
      </c>
      <c r="B5" s="39" t="s">
        <v>10</v>
      </c>
      <c r="C5" s="84" t="s">
        <v>8</v>
      </c>
      <c r="D5" s="94" t="s">
        <v>9</v>
      </c>
      <c r="E5" s="90" t="s">
        <v>77</v>
      </c>
      <c r="F5" s="87" t="s">
        <v>82</v>
      </c>
      <c r="G5" s="87" t="s">
        <v>78</v>
      </c>
      <c r="H5" s="91" t="s">
        <v>83</v>
      </c>
      <c r="I5" s="92" t="s">
        <v>11</v>
      </c>
      <c r="J5" s="31" t="s">
        <v>12</v>
      </c>
      <c r="K5" s="31" t="s">
        <v>13</v>
      </c>
      <c r="L5" s="93" t="s">
        <v>14</v>
      </c>
      <c r="M5" s="92" t="s">
        <v>84</v>
      </c>
      <c r="N5" s="93" t="s">
        <v>85</v>
      </c>
      <c r="O5" s="7"/>
      <c r="P5" s="22" t="s">
        <v>15</v>
      </c>
    </row>
    <row r="6" spans="1:16" ht="14.9" customHeight="1" x14ac:dyDescent="0.35">
      <c r="A6" s="13" t="s">
        <v>71</v>
      </c>
      <c r="B6" s="15">
        <v>20</v>
      </c>
      <c r="C6" s="14">
        <v>10697.6</v>
      </c>
      <c r="D6" s="14">
        <f>10*C6</f>
        <v>106976</v>
      </c>
      <c r="E6" s="32">
        <v>124092</v>
      </c>
      <c r="F6" s="32" t="s">
        <v>45</v>
      </c>
      <c r="G6" s="32">
        <v>76621</v>
      </c>
      <c r="H6" s="32">
        <f>E6+G6</f>
        <v>200713</v>
      </c>
      <c r="I6" s="32">
        <v>12000</v>
      </c>
      <c r="J6" s="32">
        <f>I6*20</f>
        <v>240000</v>
      </c>
      <c r="K6" s="32">
        <f>93720+288240</f>
        <v>381960</v>
      </c>
      <c r="L6" s="32">
        <f>J6+K6</f>
        <v>621960</v>
      </c>
      <c r="M6" s="60">
        <v>1.7600000000000001E-2</v>
      </c>
      <c r="N6" s="71">
        <v>3.9E-2</v>
      </c>
      <c r="P6" s="366" t="s">
        <v>135</v>
      </c>
    </row>
    <row r="7" spans="1:16" ht="14.9" customHeight="1" x14ac:dyDescent="0.35">
      <c r="A7" s="9" t="s">
        <v>64</v>
      </c>
      <c r="B7" s="11">
        <v>20</v>
      </c>
      <c r="C7" s="10">
        <v>18320</v>
      </c>
      <c r="D7" s="10">
        <f t="shared" ref="D7:D10" si="0">10*C7</f>
        <v>183200</v>
      </c>
      <c r="E7" s="23">
        <v>195492</v>
      </c>
      <c r="F7" s="23" t="str">
        <f>IF(E7&gt;=D7,"Yes","No")</f>
        <v>Yes</v>
      </c>
      <c r="G7" s="23">
        <v>45506</v>
      </c>
      <c r="H7" s="23">
        <v>240998</v>
      </c>
      <c r="I7" s="23">
        <v>12000</v>
      </c>
      <c r="J7" s="23">
        <v>312000</v>
      </c>
      <c r="K7" s="23">
        <f>L7-J7</f>
        <v>882136</v>
      </c>
      <c r="L7" s="23">
        <v>1194136</v>
      </c>
      <c r="M7" s="56">
        <v>1.1299999999999999E-2</v>
      </c>
      <c r="N7" s="73">
        <v>4.0800000000000003E-2</v>
      </c>
      <c r="P7" s="367"/>
    </row>
    <row r="8" spans="1:16" ht="14.9" customHeight="1" x14ac:dyDescent="0.35">
      <c r="A8" s="9" t="s">
        <v>26</v>
      </c>
      <c r="B8" s="11">
        <v>20</v>
      </c>
      <c r="C8" s="10">
        <v>13755</v>
      </c>
      <c r="D8" s="10">
        <f t="shared" si="0"/>
        <v>137550</v>
      </c>
      <c r="E8" s="23">
        <v>137550</v>
      </c>
      <c r="F8" s="23" t="s">
        <v>45</v>
      </c>
      <c r="G8" s="23">
        <v>164563</v>
      </c>
      <c r="H8" s="23">
        <f>E8+G8</f>
        <v>302113</v>
      </c>
      <c r="I8" s="23">
        <v>12000</v>
      </c>
      <c r="J8" s="23">
        <f t="shared" ref="J8:J10" si="1">I8*20</f>
        <v>240000</v>
      </c>
      <c r="K8" s="23">
        <f>161112+365497</f>
        <v>526609</v>
      </c>
      <c r="L8" s="23">
        <f t="shared" ref="L8:L10" si="2">J8+K8</f>
        <v>766609</v>
      </c>
      <c r="M8" s="56">
        <v>1.2200000000000001E-2</v>
      </c>
      <c r="N8" s="72">
        <v>3.5000000000000003E-2</v>
      </c>
      <c r="P8" s="367"/>
    </row>
    <row r="9" spans="1:16" x14ac:dyDescent="0.35">
      <c r="A9" s="9" t="s">
        <v>27</v>
      </c>
      <c r="B9" s="11">
        <v>20</v>
      </c>
      <c r="C9" s="10">
        <v>15714</v>
      </c>
      <c r="D9" s="36">
        <f t="shared" si="0"/>
        <v>157140</v>
      </c>
      <c r="E9" s="23">
        <v>157140</v>
      </c>
      <c r="F9" s="23" t="s">
        <v>45</v>
      </c>
      <c r="G9" s="23">
        <v>46176</v>
      </c>
      <c r="H9" s="23">
        <f>E9+G9</f>
        <v>203316</v>
      </c>
      <c r="I9" s="23">
        <v>12000</v>
      </c>
      <c r="J9" s="23">
        <f t="shared" si="1"/>
        <v>240000</v>
      </c>
      <c r="K9" s="23">
        <v>687278</v>
      </c>
      <c r="L9" s="23">
        <f t="shared" si="2"/>
        <v>927278</v>
      </c>
      <c r="M9" s="56">
        <v>9.1000000000000004E-3</v>
      </c>
      <c r="N9" s="72">
        <v>3.9199999999999999E-2</v>
      </c>
      <c r="P9" s="367"/>
    </row>
    <row r="10" spans="1:16" ht="15" thickBot="1" x14ac:dyDescent="0.4">
      <c r="A10" s="20" t="s">
        <v>54</v>
      </c>
      <c r="B10" s="24">
        <v>20</v>
      </c>
      <c r="C10" s="21">
        <v>13078.35</v>
      </c>
      <c r="D10" s="21">
        <f t="shared" si="0"/>
        <v>130783.5</v>
      </c>
      <c r="E10" s="21">
        <v>134088</v>
      </c>
      <c r="F10" s="21" t="s">
        <v>45</v>
      </c>
      <c r="G10" s="21">
        <v>37411</v>
      </c>
      <c r="H10" s="21">
        <f>E10+G10</f>
        <v>171499</v>
      </c>
      <c r="I10" s="21">
        <v>12000</v>
      </c>
      <c r="J10" s="21">
        <f t="shared" si="1"/>
        <v>240000</v>
      </c>
      <c r="K10" s="21">
        <v>614664</v>
      </c>
      <c r="L10" s="21">
        <f t="shared" si="2"/>
        <v>854664</v>
      </c>
      <c r="M10" s="58">
        <v>1.32E-2</v>
      </c>
      <c r="N10" s="70">
        <v>4.1700000000000001E-2</v>
      </c>
      <c r="P10" s="367"/>
    </row>
    <row r="11" spans="1:16" x14ac:dyDescent="0.35">
      <c r="A11" s="4" t="s">
        <v>88</v>
      </c>
      <c r="C11" s="10"/>
      <c r="D11" s="36"/>
      <c r="E11" s="10"/>
      <c r="F11" s="10"/>
      <c r="G11" s="10"/>
      <c r="H11" s="10"/>
      <c r="I11" s="10"/>
      <c r="J11" s="10"/>
      <c r="K11" s="10"/>
      <c r="L11" s="10"/>
      <c r="M11" s="12"/>
      <c r="N11" s="12"/>
      <c r="P11" s="367"/>
    </row>
    <row r="12" spans="1:16" x14ac:dyDescent="0.35">
      <c r="A12" s="1" t="s">
        <v>90</v>
      </c>
      <c r="C12" s="10"/>
      <c r="D12" s="36"/>
      <c r="E12" s="10"/>
      <c r="F12" s="10"/>
      <c r="G12" s="10"/>
      <c r="H12" s="10"/>
      <c r="I12" s="10"/>
      <c r="J12" s="10"/>
      <c r="K12" s="10"/>
      <c r="L12" s="10"/>
      <c r="M12" s="12"/>
      <c r="N12" s="12"/>
      <c r="P12" s="367"/>
    </row>
    <row r="13" spans="1:16" x14ac:dyDescent="0.35">
      <c r="A13" s="1" t="s">
        <v>97</v>
      </c>
      <c r="C13" s="10"/>
      <c r="D13" s="36"/>
      <c r="E13" s="10"/>
      <c r="F13" s="10"/>
      <c r="G13" s="10"/>
      <c r="H13" s="10"/>
      <c r="I13" s="10"/>
      <c r="J13" s="10"/>
      <c r="K13" s="10"/>
      <c r="L13" s="10"/>
      <c r="M13" s="12"/>
      <c r="N13" s="12"/>
      <c r="P13" s="367"/>
    </row>
    <row r="14" spans="1:16" x14ac:dyDescent="0.35">
      <c r="A14" s="1" t="s">
        <v>98</v>
      </c>
      <c r="C14" s="10"/>
      <c r="D14" s="36"/>
      <c r="E14" s="10"/>
      <c r="F14" s="10"/>
      <c r="G14" s="10"/>
      <c r="H14" s="10"/>
      <c r="I14" s="10"/>
      <c r="J14" s="10"/>
      <c r="K14" s="10"/>
      <c r="L14" s="10"/>
      <c r="M14" s="12"/>
      <c r="N14" s="12"/>
      <c r="P14" s="367"/>
    </row>
    <row r="15" spans="1:16" x14ac:dyDescent="0.35">
      <c r="C15" s="10"/>
      <c r="D15" s="36"/>
      <c r="E15" s="10"/>
      <c r="F15" s="10"/>
      <c r="G15" s="10"/>
      <c r="H15" s="10"/>
      <c r="I15" s="10"/>
      <c r="J15" s="10"/>
      <c r="K15" s="10"/>
      <c r="L15" s="10"/>
      <c r="M15" s="12"/>
      <c r="N15" s="12"/>
      <c r="P15" s="367"/>
    </row>
    <row r="16" spans="1:16" ht="25.4" customHeight="1" x14ac:dyDescent="0.35">
      <c r="A16" s="4" t="s">
        <v>41</v>
      </c>
      <c r="B16" s="4"/>
      <c r="C16" s="5"/>
      <c r="D16" s="5"/>
      <c r="E16" s="5"/>
      <c r="F16" s="5"/>
      <c r="G16" s="5"/>
      <c r="H16" s="5"/>
      <c r="I16" s="5"/>
      <c r="J16" s="28" t="s">
        <v>17</v>
      </c>
      <c r="K16" s="29" t="s">
        <v>18</v>
      </c>
      <c r="L16" s="5"/>
      <c r="M16" s="95"/>
      <c r="N16" s="95"/>
      <c r="O16" s="5"/>
      <c r="P16" s="367"/>
    </row>
    <row r="17" spans="1:16" ht="16.5" customHeight="1" thickBot="1" x14ac:dyDescent="0.4">
      <c r="A17" s="4" t="s">
        <v>124</v>
      </c>
      <c r="B17" s="4"/>
      <c r="C17" s="5"/>
      <c r="D17" s="5"/>
      <c r="E17" s="5"/>
      <c r="F17" s="5"/>
      <c r="G17" s="5"/>
      <c r="H17" s="5"/>
      <c r="I17" s="5"/>
      <c r="J17" s="4"/>
      <c r="K17" s="4"/>
      <c r="L17" s="5"/>
      <c r="M17" s="95"/>
      <c r="N17" s="95"/>
      <c r="O17" s="5"/>
      <c r="P17" s="367"/>
    </row>
    <row r="18" spans="1:16" ht="15" thickBot="1" x14ac:dyDescent="0.4">
      <c r="A18" s="379"/>
      <c r="B18" s="380"/>
      <c r="C18" s="380"/>
      <c r="D18" s="380"/>
      <c r="E18" s="369" t="s">
        <v>80</v>
      </c>
      <c r="F18" s="370"/>
      <c r="G18" s="370"/>
      <c r="H18" s="371"/>
      <c r="I18" s="372" t="s">
        <v>81</v>
      </c>
      <c r="J18" s="373"/>
      <c r="K18" s="373"/>
      <c r="L18" s="373"/>
      <c r="M18" s="373"/>
      <c r="N18" s="374"/>
      <c r="O18" s="4"/>
      <c r="P18" s="367"/>
    </row>
    <row r="19" spans="1:16" s="8" customFormat="1" ht="44" thickBot="1" x14ac:dyDescent="0.4">
      <c r="A19" s="38" t="s">
        <v>7</v>
      </c>
      <c r="B19" s="39" t="s">
        <v>10</v>
      </c>
      <c r="C19" s="84" t="s">
        <v>8</v>
      </c>
      <c r="D19" s="94" t="s">
        <v>9</v>
      </c>
      <c r="E19" s="90" t="s">
        <v>77</v>
      </c>
      <c r="F19" s="87" t="s">
        <v>82</v>
      </c>
      <c r="G19" s="87" t="s">
        <v>78</v>
      </c>
      <c r="H19" s="91" t="s">
        <v>83</v>
      </c>
      <c r="I19" s="92" t="s">
        <v>11</v>
      </c>
      <c r="J19" s="31" t="s">
        <v>12</v>
      </c>
      <c r="K19" s="31" t="s">
        <v>13</v>
      </c>
      <c r="L19" s="93" t="s">
        <v>14</v>
      </c>
      <c r="M19" s="92" t="s">
        <v>84</v>
      </c>
      <c r="N19" s="93" t="s">
        <v>85</v>
      </c>
      <c r="O19" s="7"/>
      <c r="P19" s="367"/>
    </row>
    <row r="20" spans="1:16" ht="14.9" customHeight="1" x14ac:dyDescent="0.35">
      <c r="A20" s="13" t="s">
        <v>71</v>
      </c>
      <c r="B20" s="15">
        <v>20</v>
      </c>
      <c r="C20" s="14">
        <v>6091.45</v>
      </c>
      <c r="D20" s="14">
        <f>20*C20</f>
        <v>121829</v>
      </c>
      <c r="E20" s="32">
        <v>141321</v>
      </c>
      <c r="F20" s="32" t="s">
        <v>45</v>
      </c>
      <c r="G20" s="32">
        <v>72882</v>
      </c>
      <c r="H20" s="32">
        <f>E20+G20</f>
        <v>214203</v>
      </c>
      <c r="I20" s="32">
        <v>12000</v>
      </c>
      <c r="J20" s="32">
        <f t="shared" ref="J20:J23" si="3">I20*20</f>
        <v>240000</v>
      </c>
      <c r="K20" s="32">
        <f>89140+253680</f>
        <v>342820</v>
      </c>
      <c r="L20" s="32">
        <f t="shared" ref="L20:L23" si="4">J20+K20</f>
        <v>582820</v>
      </c>
      <c r="M20" s="60">
        <v>1.6500000000000001E-2</v>
      </c>
      <c r="N20" s="52">
        <v>3.8399999999999997E-2</v>
      </c>
      <c r="P20" s="367"/>
    </row>
    <row r="21" spans="1:16" ht="14.9" customHeight="1" x14ac:dyDescent="0.35">
      <c r="A21" s="9" t="s">
        <v>64</v>
      </c>
      <c r="B21" s="11">
        <v>20</v>
      </c>
      <c r="C21" s="10">
        <v>10800</v>
      </c>
      <c r="D21" s="10">
        <v>216000</v>
      </c>
      <c r="E21" s="23">
        <v>224812</v>
      </c>
      <c r="F21" s="23" t="str">
        <f>IF(E21&gt;=D21,"Yes","No")</f>
        <v>Yes</v>
      </c>
      <c r="G21" s="23">
        <v>53654</v>
      </c>
      <c r="H21" s="23">
        <f>E21+G21</f>
        <v>278466</v>
      </c>
      <c r="I21" s="23">
        <v>12000</v>
      </c>
      <c r="J21" s="23">
        <v>312000</v>
      </c>
      <c r="K21" s="23">
        <f>L21-J21</f>
        <v>889680</v>
      </c>
      <c r="L21" s="23">
        <v>1201680</v>
      </c>
      <c r="M21" s="56">
        <v>8.6999999999999994E-3</v>
      </c>
      <c r="N21" s="63">
        <v>4.1300000000000003E-2</v>
      </c>
      <c r="P21" s="367"/>
    </row>
    <row r="22" spans="1:16" x14ac:dyDescent="0.35">
      <c r="A22" s="9" t="s">
        <v>27</v>
      </c>
      <c r="B22" s="11">
        <v>20</v>
      </c>
      <c r="C22" s="10">
        <v>8367</v>
      </c>
      <c r="D22" s="36">
        <f>20*C22</f>
        <v>167340</v>
      </c>
      <c r="E22" s="23">
        <v>167340</v>
      </c>
      <c r="F22" s="23" t="s">
        <v>45</v>
      </c>
      <c r="G22" s="23">
        <v>42243</v>
      </c>
      <c r="H22" s="23">
        <f>E22+G22</f>
        <v>209583</v>
      </c>
      <c r="I22" s="23">
        <v>12000</v>
      </c>
      <c r="J22" s="23">
        <f t="shared" si="3"/>
        <v>240000</v>
      </c>
      <c r="K22" s="23">
        <v>584059.19999999995</v>
      </c>
      <c r="L22" s="23">
        <f t="shared" si="4"/>
        <v>824059.2</v>
      </c>
      <c r="M22" s="56">
        <v>8.6999999999999994E-3</v>
      </c>
      <c r="N22" s="73">
        <v>3.9100000000000003E-2</v>
      </c>
      <c r="P22" s="367"/>
    </row>
    <row r="23" spans="1:16" ht="15" thickBot="1" x14ac:dyDescent="0.4">
      <c r="A23" s="20" t="s">
        <v>54</v>
      </c>
      <c r="B23" s="24">
        <v>20</v>
      </c>
      <c r="C23" s="21">
        <v>6873.2</v>
      </c>
      <c r="D23" s="21">
        <f>20*C23</f>
        <v>137464</v>
      </c>
      <c r="E23" s="21">
        <v>141384</v>
      </c>
      <c r="F23" s="21" t="s">
        <v>45</v>
      </c>
      <c r="G23" s="21">
        <v>25308</v>
      </c>
      <c r="H23" s="21">
        <f>E23+G23</f>
        <v>166692</v>
      </c>
      <c r="I23" s="21">
        <v>12000</v>
      </c>
      <c r="J23" s="21">
        <f t="shared" si="3"/>
        <v>240000</v>
      </c>
      <c r="K23" s="21">
        <v>496992</v>
      </c>
      <c r="L23" s="21">
        <f t="shared" si="4"/>
        <v>736992</v>
      </c>
      <c r="M23" s="58">
        <v>1.35E-2</v>
      </c>
      <c r="N23" s="59">
        <v>4.1300000000000003E-2</v>
      </c>
      <c r="P23" s="367"/>
    </row>
    <row r="24" spans="1:16" ht="16.5" customHeight="1" x14ac:dyDescent="0.35">
      <c r="A24" s="4" t="s">
        <v>49</v>
      </c>
      <c r="C24" s="10"/>
      <c r="D24" s="36"/>
      <c r="E24" s="23"/>
      <c r="F24" s="23"/>
      <c r="G24" s="23"/>
      <c r="H24" s="23"/>
      <c r="I24" s="23"/>
      <c r="J24" s="23"/>
      <c r="K24" s="23"/>
      <c r="L24" s="23"/>
      <c r="M24" s="12"/>
      <c r="N24" s="12"/>
      <c r="P24" s="367"/>
    </row>
    <row r="25" spans="1:16" x14ac:dyDescent="0.35">
      <c r="A25" s="1" t="s">
        <v>70</v>
      </c>
      <c r="C25" s="10"/>
      <c r="D25" s="36"/>
      <c r="E25" s="23"/>
      <c r="F25" s="23"/>
      <c r="G25" s="23"/>
      <c r="H25" s="23"/>
      <c r="I25" s="23"/>
      <c r="J25" s="23"/>
      <c r="K25" s="23"/>
      <c r="L25" s="23"/>
      <c r="M25" s="12"/>
      <c r="N25" s="12"/>
      <c r="P25" s="367"/>
    </row>
    <row r="26" spans="1:16" x14ac:dyDescent="0.35">
      <c r="A26" s="1" t="s">
        <v>97</v>
      </c>
      <c r="C26" s="10"/>
      <c r="D26" s="36"/>
      <c r="E26" s="23"/>
      <c r="F26" s="23"/>
      <c r="G26" s="23"/>
      <c r="H26" s="23"/>
      <c r="I26" s="23"/>
      <c r="J26" s="23"/>
      <c r="K26" s="23"/>
      <c r="L26" s="23"/>
      <c r="M26" s="12"/>
      <c r="N26" s="12"/>
      <c r="P26" s="367"/>
    </row>
    <row r="27" spans="1:16" x14ac:dyDescent="0.35">
      <c r="A27" s="1" t="s">
        <v>98</v>
      </c>
      <c r="C27" s="10"/>
      <c r="D27" s="36"/>
      <c r="E27" s="23"/>
      <c r="F27" s="23"/>
      <c r="G27" s="23"/>
      <c r="H27" s="23"/>
      <c r="I27" s="23"/>
      <c r="J27" s="23"/>
      <c r="K27" s="23"/>
      <c r="L27" s="23"/>
      <c r="M27" s="12"/>
      <c r="N27" s="12"/>
      <c r="P27" s="367"/>
    </row>
    <row r="28" spans="1:16" x14ac:dyDescent="0.35">
      <c r="C28" s="10"/>
      <c r="D28" s="36"/>
      <c r="E28" s="23"/>
      <c r="F28" s="23"/>
      <c r="G28" s="23"/>
      <c r="H28" s="23"/>
      <c r="I28" s="23"/>
      <c r="J28" s="23"/>
      <c r="K28" s="23"/>
      <c r="L28" s="23"/>
      <c r="M28" s="12"/>
      <c r="N28" s="12"/>
      <c r="P28" s="367"/>
    </row>
    <row r="29" spans="1:16" ht="30" customHeight="1" x14ac:dyDescent="0.35">
      <c r="A29" s="4" t="s">
        <v>42</v>
      </c>
      <c r="B29" s="4"/>
      <c r="C29" s="5"/>
      <c r="D29" s="5"/>
      <c r="E29" s="5"/>
      <c r="F29" s="5"/>
      <c r="G29" s="5"/>
      <c r="H29" s="5"/>
      <c r="I29" s="5"/>
      <c r="J29" s="28" t="s">
        <v>17</v>
      </c>
      <c r="K29" s="29" t="s">
        <v>18</v>
      </c>
      <c r="L29" s="5"/>
      <c r="M29" s="95"/>
      <c r="N29" s="95"/>
      <c r="O29" s="5"/>
      <c r="P29" s="367"/>
    </row>
    <row r="30" spans="1:16" ht="19.399999999999999" customHeight="1" thickBot="1" x14ac:dyDescent="0.4">
      <c r="A30" s="4" t="s">
        <v>109</v>
      </c>
      <c r="B30" s="4"/>
      <c r="C30" s="5"/>
      <c r="D30" s="5"/>
      <c r="E30" s="5"/>
      <c r="F30" s="5"/>
      <c r="G30" s="5"/>
      <c r="H30" s="5"/>
      <c r="I30" s="5"/>
      <c r="J30" s="4"/>
      <c r="K30" s="4"/>
      <c r="L30" s="5"/>
      <c r="M30" s="95"/>
      <c r="N30" s="95"/>
      <c r="O30" s="5"/>
      <c r="P30" s="367"/>
    </row>
    <row r="31" spans="1:16" ht="15" thickBot="1" x14ac:dyDescent="0.4">
      <c r="A31" s="379"/>
      <c r="B31" s="380"/>
      <c r="C31" s="380"/>
      <c r="D31" s="380"/>
      <c r="E31" s="369" t="s">
        <v>80</v>
      </c>
      <c r="F31" s="370"/>
      <c r="G31" s="370"/>
      <c r="H31" s="371"/>
      <c r="I31" s="372" t="s">
        <v>81</v>
      </c>
      <c r="J31" s="373"/>
      <c r="K31" s="373"/>
      <c r="L31" s="373"/>
      <c r="M31" s="373"/>
      <c r="N31" s="374"/>
      <c r="O31" s="4"/>
      <c r="P31" s="367"/>
    </row>
    <row r="32" spans="1:16" s="8" customFormat="1" ht="44" thickBot="1" x14ac:dyDescent="0.4">
      <c r="A32" s="38" t="s">
        <v>7</v>
      </c>
      <c r="B32" s="39" t="s">
        <v>10</v>
      </c>
      <c r="C32" s="84" t="s">
        <v>8</v>
      </c>
      <c r="D32" s="94" t="s">
        <v>9</v>
      </c>
      <c r="E32" s="90" t="s">
        <v>77</v>
      </c>
      <c r="F32" s="87" t="s">
        <v>82</v>
      </c>
      <c r="G32" s="87" t="s">
        <v>78</v>
      </c>
      <c r="H32" s="91" t="s">
        <v>83</v>
      </c>
      <c r="I32" s="92" t="s">
        <v>11</v>
      </c>
      <c r="J32" s="31" t="s">
        <v>12</v>
      </c>
      <c r="K32" s="31" t="s">
        <v>13</v>
      </c>
      <c r="L32" s="93" t="s">
        <v>14</v>
      </c>
      <c r="M32" s="92" t="s">
        <v>84</v>
      </c>
      <c r="N32" s="93" t="s">
        <v>85</v>
      </c>
      <c r="O32" s="7"/>
      <c r="P32" s="367"/>
    </row>
    <row r="33" spans="1:16" ht="14.9" customHeight="1" x14ac:dyDescent="0.35">
      <c r="A33" s="13" t="s">
        <v>71</v>
      </c>
      <c r="B33" s="15">
        <v>20</v>
      </c>
      <c r="C33" s="14">
        <v>11900.5</v>
      </c>
      <c r="D33" s="14">
        <f t="shared" ref="D33:D37" si="5">10*C33</f>
        <v>119005</v>
      </c>
      <c r="E33" s="14">
        <v>135070</v>
      </c>
      <c r="F33" s="32" t="s">
        <v>45</v>
      </c>
      <c r="G33" s="14">
        <v>70671</v>
      </c>
      <c r="H33" s="14">
        <f t="shared" ref="H33:H37" si="6">E33+G33</f>
        <v>205741</v>
      </c>
      <c r="I33" s="14">
        <v>12000</v>
      </c>
      <c r="J33" s="14">
        <f t="shared" ref="J33:J37" si="7">I33*20</f>
        <v>240000</v>
      </c>
      <c r="K33" s="14">
        <f>86440+234960</f>
        <v>321400</v>
      </c>
      <c r="L33" s="14">
        <f t="shared" ref="L33:L37" si="8">J33+K33</f>
        <v>561400</v>
      </c>
      <c r="M33" s="60">
        <v>1.7100000000000001E-2</v>
      </c>
      <c r="N33" s="52">
        <v>3.85E-2</v>
      </c>
      <c r="P33" s="367"/>
    </row>
    <row r="34" spans="1:16" ht="14.9" customHeight="1" x14ac:dyDescent="0.35">
      <c r="A34" s="9" t="s">
        <v>64</v>
      </c>
      <c r="B34" s="11">
        <v>20</v>
      </c>
      <c r="C34" s="10">
        <v>16760</v>
      </c>
      <c r="D34" s="10">
        <v>167600</v>
      </c>
      <c r="E34" s="10">
        <v>176616</v>
      </c>
      <c r="F34" s="23" t="str">
        <f>IF(E34&gt;=D34,"Yes","No")</f>
        <v>Yes</v>
      </c>
      <c r="G34" s="10">
        <v>37106</v>
      </c>
      <c r="H34" s="10">
        <f t="shared" si="6"/>
        <v>213722</v>
      </c>
      <c r="I34" s="10">
        <v>12000</v>
      </c>
      <c r="J34" s="10">
        <v>312000</v>
      </c>
      <c r="K34" s="10">
        <f>L34-J34</f>
        <v>586358</v>
      </c>
      <c r="L34" s="10">
        <v>898358</v>
      </c>
      <c r="M34" s="62">
        <v>1.4800000000000001E-2</v>
      </c>
      <c r="N34" s="63">
        <v>4.0800000000000003E-2</v>
      </c>
      <c r="P34" s="367"/>
    </row>
    <row r="35" spans="1:16" x14ac:dyDescent="0.35">
      <c r="A35" s="9" t="s">
        <v>26</v>
      </c>
      <c r="B35" s="11">
        <v>20</v>
      </c>
      <c r="C35" s="10">
        <v>16160.8</v>
      </c>
      <c r="D35" s="10">
        <f t="shared" si="5"/>
        <v>161608</v>
      </c>
      <c r="E35" s="10">
        <v>161610</v>
      </c>
      <c r="F35" s="23" t="s">
        <v>45</v>
      </c>
      <c r="G35" s="10">
        <v>138886</v>
      </c>
      <c r="H35" s="10">
        <f t="shared" si="6"/>
        <v>300496</v>
      </c>
      <c r="I35" s="10">
        <v>12000</v>
      </c>
      <c r="J35" s="10">
        <f t="shared" si="7"/>
        <v>240000</v>
      </c>
      <c r="K35" s="10">
        <f>137592+385481</f>
        <v>523073</v>
      </c>
      <c r="L35" s="10">
        <f t="shared" si="8"/>
        <v>763073</v>
      </c>
      <c r="M35" s="56">
        <v>9.7000000000000003E-3</v>
      </c>
      <c r="N35" s="53">
        <v>3.49E-2</v>
      </c>
      <c r="P35" s="367"/>
    </row>
    <row r="36" spans="1:16" x14ac:dyDescent="0.35">
      <c r="A36" s="9" t="s">
        <v>27</v>
      </c>
      <c r="B36" s="11">
        <v>20</v>
      </c>
      <c r="C36" s="10">
        <v>16461.009999999998</v>
      </c>
      <c r="D36" s="36">
        <f t="shared" si="5"/>
        <v>164610.09999999998</v>
      </c>
      <c r="E36" s="10">
        <v>164610</v>
      </c>
      <c r="F36" s="10" t="s">
        <v>45</v>
      </c>
      <c r="G36" s="10">
        <v>41428</v>
      </c>
      <c r="H36" s="10">
        <f t="shared" si="6"/>
        <v>206038</v>
      </c>
      <c r="I36" s="10">
        <v>12000</v>
      </c>
      <c r="J36" s="10">
        <f t="shared" si="7"/>
        <v>240000</v>
      </c>
      <c r="K36" s="10">
        <v>543739</v>
      </c>
      <c r="L36" s="10">
        <f t="shared" si="8"/>
        <v>783739</v>
      </c>
      <c r="M36" s="56">
        <v>9.1000000000000004E-3</v>
      </c>
      <c r="N36" s="53">
        <v>3.8699999999999998E-2</v>
      </c>
      <c r="P36" s="367"/>
    </row>
    <row r="37" spans="1:16" ht="15" thickBot="1" x14ac:dyDescent="0.4">
      <c r="A37" s="20" t="s">
        <v>54</v>
      </c>
      <c r="B37" s="24">
        <v>20</v>
      </c>
      <c r="C37" s="21">
        <v>14408.65</v>
      </c>
      <c r="D37" s="21">
        <f t="shared" si="5"/>
        <v>144086.5</v>
      </c>
      <c r="E37" s="21">
        <v>147574</v>
      </c>
      <c r="F37" s="21" t="s">
        <v>45</v>
      </c>
      <c r="G37" s="21">
        <v>30548</v>
      </c>
      <c r="H37" s="21">
        <f t="shared" si="6"/>
        <v>178122</v>
      </c>
      <c r="I37" s="21">
        <v>12000</v>
      </c>
      <c r="J37" s="21">
        <f t="shared" si="7"/>
        <v>240000</v>
      </c>
      <c r="K37" s="21">
        <v>517008</v>
      </c>
      <c r="L37" s="21">
        <f t="shared" si="8"/>
        <v>757008</v>
      </c>
      <c r="M37" s="57">
        <v>1.24E-2</v>
      </c>
      <c r="N37" s="61">
        <v>4.1300000000000003E-2</v>
      </c>
      <c r="P37" s="368"/>
    </row>
    <row r="38" spans="1:16" ht="19.5" customHeight="1" x14ac:dyDescent="0.35">
      <c r="A38" s="4" t="s">
        <v>49</v>
      </c>
      <c r="D38" s="2"/>
      <c r="E38" s="2"/>
      <c r="F38" s="2"/>
      <c r="K38" s="2"/>
      <c r="P38" s="35"/>
    </row>
    <row r="39" spans="1:16" x14ac:dyDescent="0.35">
      <c r="A39" s="1" t="s">
        <v>90</v>
      </c>
      <c r="D39" s="2"/>
      <c r="E39" s="2"/>
      <c r="F39" s="2"/>
      <c r="K39" s="2"/>
      <c r="P39" s="35"/>
    </row>
    <row r="40" spans="1:16" x14ac:dyDescent="0.35">
      <c r="A40" s="1" t="s">
        <v>95</v>
      </c>
      <c r="D40" s="2"/>
      <c r="E40" s="2"/>
      <c r="F40" s="2"/>
      <c r="K40" s="2"/>
      <c r="P40" s="35"/>
    </row>
    <row r="41" spans="1:16" ht="12.5" customHeight="1" x14ac:dyDescent="0.35">
      <c r="A41" s="1" t="s">
        <v>96</v>
      </c>
      <c r="D41" s="2"/>
      <c r="E41" s="2"/>
      <c r="F41" s="2"/>
      <c r="K41" s="2"/>
      <c r="P41" s="35"/>
    </row>
    <row r="42" spans="1:16" ht="19.5" customHeight="1" x14ac:dyDescent="0.35">
      <c r="D42" s="2"/>
      <c r="E42" s="2"/>
      <c r="F42" s="2"/>
      <c r="K42" s="2"/>
      <c r="P42" s="35"/>
    </row>
    <row r="43" spans="1:16" ht="18" customHeight="1" x14ac:dyDescent="0.35">
      <c r="A43" s="4" t="s">
        <v>43</v>
      </c>
      <c r="B43" s="4"/>
      <c r="C43" s="5"/>
      <c r="D43" s="5"/>
      <c r="E43" s="5"/>
      <c r="F43" s="5"/>
      <c r="G43" s="5"/>
      <c r="H43" s="5"/>
      <c r="I43" s="5"/>
      <c r="J43" s="28" t="s">
        <v>17</v>
      </c>
      <c r="K43" s="29" t="s">
        <v>18</v>
      </c>
      <c r="L43" s="5"/>
      <c r="M43" s="95"/>
      <c r="N43" s="95"/>
      <c r="P43" s="35"/>
    </row>
    <row r="44" spans="1:16" ht="18" customHeight="1" thickBot="1" x14ac:dyDescent="0.4">
      <c r="A44" s="4" t="s">
        <v>108</v>
      </c>
      <c r="B44" s="4"/>
      <c r="C44" s="5"/>
      <c r="D44" s="5"/>
      <c r="E44" s="5"/>
      <c r="F44" s="5"/>
      <c r="G44" s="5"/>
      <c r="H44" s="5"/>
      <c r="I44" s="5"/>
      <c r="J44" s="4"/>
      <c r="K44" s="4"/>
      <c r="L44" s="5"/>
      <c r="M44" s="95"/>
      <c r="N44" s="95"/>
      <c r="P44" s="35"/>
    </row>
    <row r="45" spans="1:16" ht="15.75" customHeight="1" thickBot="1" x14ac:dyDescent="0.4">
      <c r="A45" s="379"/>
      <c r="B45" s="380"/>
      <c r="C45" s="380"/>
      <c r="D45" s="380"/>
      <c r="E45" s="369" t="s">
        <v>80</v>
      </c>
      <c r="F45" s="370"/>
      <c r="G45" s="370"/>
      <c r="H45" s="371"/>
      <c r="I45" s="372" t="s">
        <v>81</v>
      </c>
      <c r="J45" s="373"/>
      <c r="K45" s="373"/>
      <c r="L45" s="373"/>
      <c r="M45" s="373"/>
      <c r="N45" s="374"/>
      <c r="P45" s="16"/>
    </row>
    <row r="46" spans="1:16" ht="44" thickBot="1" x14ac:dyDescent="0.4">
      <c r="A46" s="38" t="s">
        <v>7</v>
      </c>
      <c r="B46" s="39" t="s">
        <v>10</v>
      </c>
      <c r="C46" s="84" t="s">
        <v>8</v>
      </c>
      <c r="D46" s="94" t="s">
        <v>9</v>
      </c>
      <c r="E46" s="90" t="s">
        <v>77</v>
      </c>
      <c r="F46" s="87" t="s">
        <v>82</v>
      </c>
      <c r="G46" s="87" t="s">
        <v>78</v>
      </c>
      <c r="H46" s="91" t="s">
        <v>83</v>
      </c>
      <c r="I46" s="92" t="s">
        <v>11</v>
      </c>
      <c r="J46" s="31" t="s">
        <v>12</v>
      </c>
      <c r="K46" s="31" t="s">
        <v>13</v>
      </c>
      <c r="L46" s="93" t="s">
        <v>14</v>
      </c>
      <c r="M46" s="92" t="s">
        <v>84</v>
      </c>
      <c r="N46" s="93" t="s">
        <v>85</v>
      </c>
      <c r="O46" s="34"/>
      <c r="P46" s="1"/>
    </row>
    <row r="47" spans="1:16" x14ac:dyDescent="0.35">
      <c r="A47" s="13" t="s">
        <v>71</v>
      </c>
      <c r="B47" s="15">
        <v>20</v>
      </c>
      <c r="C47" s="14">
        <v>6713.85</v>
      </c>
      <c r="D47" s="14">
        <f>20*C47</f>
        <v>134277</v>
      </c>
      <c r="E47" s="32">
        <v>152404</v>
      </c>
      <c r="F47" s="32" t="s">
        <v>45</v>
      </c>
      <c r="G47" s="32">
        <v>65030</v>
      </c>
      <c r="H47" s="32">
        <f>E47+G47</f>
        <v>217434</v>
      </c>
      <c r="I47" s="32">
        <v>12000</v>
      </c>
      <c r="J47" s="32">
        <f t="shared" ref="J47:J50" si="9">I47*20</f>
        <v>240000</v>
      </c>
      <c r="K47" s="32">
        <f>79540+195360</f>
        <v>274900</v>
      </c>
      <c r="L47" s="32">
        <f t="shared" ref="L47:L50" si="10">J47+K47</f>
        <v>514900</v>
      </c>
      <c r="M47" s="60">
        <v>1.6E-2</v>
      </c>
      <c r="N47" s="52">
        <v>3.7499999999999999E-2</v>
      </c>
      <c r="O47" s="25"/>
      <c r="P47" s="1"/>
    </row>
    <row r="48" spans="1:16" x14ac:dyDescent="0.35">
      <c r="A48" s="9" t="s">
        <v>64</v>
      </c>
      <c r="B48" s="11">
        <v>20</v>
      </c>
      <c r="C48" s="10">
        <v>9920</v>
      </c>
      <c r="D48" s="10">
        <v>198400</v>
      </c>
      <c r="E48" s="23">
        <v>203915</v>
      </c>
      <c r="F48" s="23" t="str">
        <f>IF(E48&gt;=D48,"Yes","No")</f>
        <v>Yes</v>
      </c>
      <c r="G48" s="23">
        <v>43925</v>
      </c>
      <c r="H48" s="23">
        <f>E48+G48</f>
        <v>247840</v>
      </c>
      <c r="I48" s="23">
        <v>12000</v>
      </c>
      <c r="J48" s="23">
        <v>312000</v>
      </c>
      <c r="K48" s="23">
        <f>L48-J48</f>
        <v>592672</v>
      </c>
      <c r="L48" s="23">
        <v>904672</v>
      </c>
      <c r="M48" s="56">
        <v>1.21E-2</v>
      </c>
      <c r="N48" s="63">
        <v>4.1300000000000003E-2</v>
      </c>
      <c r="P48" s="1"/>
    </row>
    <row r="49" spans="1:16" ht="14.25" customHeight="1" x14ac:dyDescent="0.35">
      <c r="A49" s="9" t="s">
        <v>27</v>
      </c>
      <c r="B49" s="11">
        <v>20</v>
      </c>
      <c r="C49" s="10">
        <v>8961</v>
      </c>
      <c r="D49" s="10">
        <f>20*C49</f>
        <v>179220</v>
      </c>
      <c r="E49" s="23">
        <v>179220</v>
      </c>
      <c r="F49" s="23" t="s">
        <v>45</v>
      </c>
      <c r="G49" s="23">
        <v>37821</v>
      </c>
      <c r="H49" s="23">
        <f>E49+G49</f>
        <v>217041</v>
      </c>
      <c r="I49" s="23">
        <v>12000</v>
      </c>
      <c r="J49" s="23">
        <f t="shared" si="9"/>
        <v>240000</v>
      </c>
      <c r="K49" s="23">
        <v>453098</v>
      </c>
      <c r="L49" s="23">
        <f t="shared" si="10"/>
        <v>693098</v>
      </c>
      <c r="M49" s="56">
        <v>8.0000000000000002E-3</v>
      </c>
      <c r="N49" s="53">
        <v>3.7699999999999997E-2</v>
      </c>
      <c r="P49" s="1"/>
    </row>
    <row r="50" spans="1:16" ht="14.25" customHeight="1" thickBot="1" x14ac:dyDescent="0.4">
      <c r="A50" s="20" t="s">
        <v>54</v>
      </c>
      <c r="B50" s="24">
        <v>20</v>
      </c>
      <c r="C50" s="21">
        <v>7548.15</v>
      </c>
      <c r="D50" s="21">
        <f>20*C50</f>
        <v>150963</v>
      </c>
      <c r="E50" s="21">
        <v>154977</v>
      </c>
      <c r="F50" s="21" t="s">
        <v>45</v>
      </c>
      <c r="G50" s="21">
        <v>20457</v>
      </c>
      <c r="H50" s="21">
        <f>E50+G50</f>
        <v>175434</v>
      </c>
      <c r="I50" s="21">
        <v>12000</v>
      </c>
      <c r="J50" s="21">
        <f t="shared" si="9"/>
        <v>240000</v>
      </c>
      <c r="K50" s="21">
        <v>409632</v>
      </c>
      <c r="L50" s="21">
        <f t="shared" si="10"/>
        <v>649632</v>
      </c>
      <c r="M50" s="58">
        <v>1.2800000000000001E-2</v>
      </c>
      <c r="N50" s="59">
        <v>4.0800000000000003E-2</v>
      </c>
      <c r="P50" s="1"/>
    </row>
    <row r="51" spans="1:16" x14ac:dyDescent="0.35">
      <c r="A51" s="4" t="s">
        <v>49</v>
      </c>
      <c r="C51" s="10"/>
      <c r="D51" s="36"/>
      <c r="E51" s="23"/>
      <c r="F51" s="23"/>
      <c r="G51" s="23"/>
      <c r="H51" s="23"/>
      <c r="I51" s="23"/>
      <c r="J51" s="34"/>
      <c r="K51" s="34"/>
      <c r="L51" s="34"/>
      <c r="M51" s="34"/>
      <c r="N51" s="34"/>
    </row>
    <row r="52" spans="1:16" x14ac:dyDescent="0.35">
      <c r="A52" s="1" t="s">
        <v>70</v>
      </c>
      <c r="C52" s="10"/>
      <c r="D52" s="36"/>
      <c r="E52" s="23"/>
      <c r="F52" s="23"/>
      <c r="G52" s="23"/>
      <c r="H52" s="23"/>
      <c r="I52" s="23"/>
    </row>
    <row r="53" spans="1:16" x14ac:dyDescent="0.35">
      <c r="A53" s="1" t="s">
        <v>97</v>
      </c>
      <c r="C53" s="10"/>
      <c r="D53" s="36"/>
      <c r="E53" s="23"/>
      <c r="F53" s="23"/>
      <c r="G53" s="23"/>
      <c r="H53" s="23"/>
      <c r="I53" s="23"/>
    </row>
    <row r="54" spans="1:16" x14ac:dyDescent="0.35">
      <c r="A54" s="1" t="s">
        <v>98</v>
      </c>
    </row>
  </sheetData>
  <sheetProtection algorithmName="SHA-512" hashValue="5+QpZJhfGCON2XK5l/ATtXOmyvUgVoxFZNwhcWMuxZ63Eej/yJQJzeNpHHjIPJS6v4mT6pFYVKY99YF+Rfkl9A==" saltValue="sL61HBxLRjuAc38FAfXQlw==" spinCount="100000" sheet="1" objects="1" scenarios="1"/>
  <mergeCells count="13">
    <mergeCell ref="A45:D45"/>
    <mergeCell ref="E45:H45"/>
    <mergeCell ref="I45:N45"/>
    <mergeCell ref="P6:P37"/>
    <mergeCell ref="A4:D4"/>
    <mergeCell ref="E4:H4"/>
    <mergeCell ref="I4:N4"/>
    <mergeCell ref="A18:D18"/>
    <mergeCell ref="E18:H18"/>
    <mergeCell ref="I18:N18"/>
    <mergeCell ref="A31:D31"/>
    <mergeCell ref="E31:H31"/>
    <mergeCell ref="I31:N31"/>
  </mergeCells>
  <conditionalFormatting sqref="M6:M10">
    <cfRule type="top10" dxfId="146" priority="14" rank="1"/>
    <cfRule type="top10" dxfId="145" priority="15" rank="2"/>
  </conditionalFormatting>
  <conditionalFormatting sqref="M20:M23">
    <cfRule type="top10" dxfId="144" priority="10" rank="1"/>
    <cfRule type="top10" dxfId="143" priority="11" rank="2"/>
  </conditionalFormatting>
  <conditionalFormatting sqref="M33:M37">
    <cfRule type="top10" dxfId="142" priority="21" rank="1"/>
    <cfRule type="top10" dxfId="141" priority="22" rank="2"/>
  </conditionalFormatting>
  <conditionalFormatting sqref="M47:M50">
    <cfRule type="top10" dxfId="140" priority="2" rank="1"/>
    <cfRule type="top10" dxfId="139" priority="3" rank="2"/>
  </conditionalFormatting>
  <conditionalFormatting sqref="N6:N10">
    <cfRule type="top10" dxfId="138" priority="1" rank="1"/>
  </conditionalFormatting>
  <conditionalFormatting sqref="N20:N23">
    <cfRule type="top10" dxfId="137" priority="12" rank="1"/>
    <cfRule type="top10" dxfId="136" priority="13" rank="2"/>
  </conditionalFormatting>
  <conditionalFormatting sqref="N33:N37">
    <cfRule type="top10" dxfId="135" priority="25" rank="1"/>
    <cfRule type="top10" dxfId="134" priority="26" rank="2"/>
  </conditionalFormatting>
  <conditionalFormatting sqref="N47:N50">
    <cfRule type="top10" dxfId="133" priority="4" rank="1"/>
    <cfRule type="top10" dxfId="132" priority="5"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47C8-5127-4B3B-A250-076373D81481}">
  <sheetPr>
    <pageSetUpPr fitToPage="1"/>
  </sheetPr>
  <dimension ref="A1:T71"/>
  <sheetViews>
    <sheetView showGridLines="0" zoomScale="70" zoomScaleNormal="70" workbookViewId="0">
      <pane xSplit="1" topLeftCell="B1" activePane="topRight" state="frozen"/>
      <selection pane="topRight" activeCell="F5" sqref="F5"/>
    </sheetView>
  </sheetViews>
  <sheetFormatPr defaultColWidth="9.1796875" defaultRowHeight="14.5" x14ac:dyDescent="0.35"/>
  <cols>
    <col min="1" max="1" width="35.81640625" style="131" customWidth="1"/>
    <col min="2" max="2" width="12.1796875" style="131" bestFit="1" customWidth="1"/>
    <col min="3" max="3" width="10.1796875" style="131" customWidth="1"/>
    <col min="4" max="4" width="12.54296875" style="131" bestFit="1" customWidth="1"/>
    <col min="5" max="5" width="16.453125" style="131" hidden="1" customWidth="1"/>
    <col min="6" max="6" width="42.90625" style="131" customWidth="1"/>
    <col min="7" max="7" width="18.1796875" style="131" hidden="1" customWidth="1"/>
    <col min="8" max="8" width="13.453125" style="131" hidden="1" customWidth="1"/>
    <col min="9" max="9" width="17.81640625" style="131" hidden="1" customWidth="1"/>
    <col min="10" max="11" width="14.54296875" style="131" bestFit="1" customWidth="1"/>
    <col min="12" max="12" width="17.54296875" style="131" bestFit="1" customWidth="1"/>
    <col min="13" max="13" width="15.54296875" style="131" customWidth="1"/>
    <col min="14" max="14" width="17.1796875" style="131" customWidth="1"/>
    <col min="15" max="15" width="9.81640625" style="131" customWidth="1"/>
    <col min="16" max="16" width="60.81640625" style="141" customWidth="1"/>
    <col min="17" max="17" width="29.453125" style="131" customWidth="1"/>
    <col min="18" max="18" width="11.81640625" style="131" hidden="1" customWidth="1"/>
    <col min="19" max="19" width="13.1796875" style="131" hidden="1" customWidth="1"/>
    <col min="20" max="20" width="11.54296875" style="131" customWidth="1"/>
    <col min="21" max="21" width="12" style="131" customWidth="1"/>
    <col min="22" max="22" width="10" style="131" bestFit="1" customWidth="1"/>
    <col min="23" max="23" width="11.453125" style="131" customWidth="1"/>
    <col min="24" max="24" width="12.453125" style="131" customWidth="1"/>
    <col min="25" max="25" width="11.453125" style="131" customWidth="1"/>
    <col min="26" max="26" width="10" style="131" bestFit="1" customWidth="1"/>
    <col min="27" max="27" width="20.54296875" style="131" customWidth="1"/>
    <col min="28" max="16384" width="9.1796875" style="131"/>
  </cols>
  <sheetData>
    <row r="1" spans="1:20" x14ac:dyDescent="0.35">
      <c r="D1" s="186"/>
      <c r="E1" s="186"/>
      <c r="F1" s="186"/>
      <c r="K1" s="186"/>
      <c r="P1" s="229"/>
    </row>
    <row r="2" spans="1:20" ht="25.5" customHeight="1" x14ac:dyDescent="0.35">
      <c r="A2" s="135" t="s">
        <v>235</v>
      </c>
      <c r="B2" s="135"/>
      <c r="C2" s="136"/>
      <c r="D2" s="136"/>
      <c r="E2" s="136"/>
      <c r="F2" s="136"/>
      <c r="G2" s="136"/>
      <c r="H2" s="136"/>
      <c r="I2" s="136"/>
      <c r="J2" s="138" t="s">
        <v>17</v>
      </c>
      <c r="K2" s="139" t="s">
        <v>18</v>
      </c>
      <c r="L2" s="136"/>
      <c r="M2" s="188"/>
      <c r="N2" s="188"/>
      <c r="O2" s="136"/>
      <c r="P2" s="230"/>
    </row>
    <row r="3" spans="1:20" ht="15.5" customHeight="1" thickBot="1" x14ac:dyDescent="0.4">
      <c r="A3" s="135" t="s">
        <v>236</v>
      </c>
      <c r="B3" s="135"/>
      <c r="C3" s="136"/>
      <c r="D3" s="136"/>
      <c r="E3" s="136"/>
      <c r="F3" s="136"/>
      <c r="G3" s="136"/>
      <c r="H3" s="136"/>
      <c r="I3" s="136"/>
      <c r="J3" s="135"/>
      <c r="K3" s="135"/>
      <c r="L3" s="136"/>
      <c r="M3" s="188"/>
      <c r="N3" s="188"/>
      <c r="O3" s="136"/>
      <c r="P3" s="230"/>
    </row>
    <row r="4" spans="1:20" ht="15" thickBot="1" x14ac:dyDescent="0.4">
      <c r="A4" s="377"/>
      <c r="B4" s="378"/>
      <c r="C4" s="378"/>
      <c r="D4" s="378"/>
      <c r="E4" s="350" t="s">
        <v>80</v>
      </c>
      <c r="F4" s="351"/>
      <c r="G4" s="351"/>
      <c r="H4" s="352"/>
      <c r="I4" s="353" t="s">
        <v>81</v>
      </c>
      <c r="J4" s="354"/>
      <c r="K4" s="354"/>
      <c r="L4" s="354"/>
      <c r="M4" s="354"/>
      <c r="N4" s="355"/>
      <c r="O4" s="135"/>
      <c r="P4" s="230"/>
    </row>
    <row r="5" spans="1:20" s="132" customFormat="1" ht="44"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O5" s="155"/>
      <c r="P5" s="206" t="s">
        <v>15</v>
      </c>
      <c r="Q5" s="131"/>
      <c r="R5" s="132" t="s">
        <v>297</v>
      </c>
      <c r="S5" s="132" t="s">
        <v>298</v>
      </c>
      <c r="T5" s="131"/>
    </row>
    <row r="6" spans="1:20" ht="14.9" customHeight="1" x14ac:dyDescent="0.35">
      <c r="A6" s="156" t="s">
        <v>151</v>
      </c>
      <c r="B6" s="207">
        <v>20</v>
      </c>
      <c r="C6" s="208">
        <v>11998.35</v>
      </c>
      <c r="D6" s="208">
        <f>10*C6</f>
        <v>119983.5</v>
      </c>
      <c r="E6" s="208">
        <v>133181</v>
      </c>
      <c r="F6" s="212" t="str">
        <f>IF(E6&gt;=D6,"Yes","No")</f>
        <v>Yes</v>
      </c>
      <c r="G6" s="208">
        <v>57619</v>
      </c>
      <c r="H6" s="208">
        <f t="shared" ref="H6:H11" si="0">E6+G6</f>
        <v>190800</v>
      </c>
      <c r="I6" s="209">
        <v>10920</v>
      </c>
      <c r="J6" s="209">
        <f>I6*20</f>
        <v>218400</v>
      </c>
      <c r="K6" s="208">
        <f>70480+177340</f>
        <v>247820</v>
      </c>
      <c r="L6" s="208">
        <f t="shared" ref="L6:L11" si="1">J6+K6</f>
        <v>466220</v>
      </c>
      <c r="M6" s="210">
        <v>1.66E-2</v>
      </c>
      <c r="N6" s="220">
        <v>3.8300000000000001E-2</v>
      </c>
      <c r="P6" s="363" t="s">
        <v>133</v>
      </c>
      <c r="R6" s="132" t="str" cm="1">
        <f t="array" ref="R6">INDEX(A6:A11,MATCH(MAX(M6:M11),M6:M11,0),0)</f>
        <v>Singlife Flexi Retirement (II)</v>
      </c>
      <c r="S6" s="132" t="str" cm="1">
        <f t="array" ref="S6">INDEX(A6:A11,MATCH(MAX(N6:N11),N6:N11,0),0)</f>
        <v>China Taiping i-Retire (II)</v>
      </c>
    </row>
    <row r="7" spans="1:20" ht="14.9" customHeight="1" x14ac:dyDescent="0.35">
      <c r="A7" s="164" t="s">
        <v>64</v>
      </c>
      <c r="B7" s="165">
        <v>20</v>
      </c>
      <c r="C7" s="173">
        <v>11928.8</v>
      </c>
      <c r="D7" s="173">
        <f t="shared" ref="D7:D11" si="2">10*C7</f>
        <v>119288</v>
      </c>
      <c r="E7" s="173">
        <v>124154</v>
      </c>
      <c r="F7" s="212" t="str">
        <f>IF(E7&gt;=D7,"Yes","No")</f>
        <v>Yes</v>
      </c>
      <c r="G7" s="173">
        <v>23189</v>
      </c>
      <c r="H7" s="212">
        <f t="shared" si="0"/>
        <v>147343</v>
      </c>
      <c r="I7" s="212">
        <v>7440</v>
      </c>
      <c r="J7" s="212">
        <v>193440</v>
      </c>
      <c r="K7" s="212">
        <f>L7-J7</f>
        <v>319071</v>
      </c>
      <c r="L7" s="173">
        <v>512511</v>
      </c>
      <c r="M7" s="213">
        <v>1.2999999999999999E-2</v>
      </c>
      <c r="N7" s="224">
        <v>4.02E-2</v>
      </c>
      <c r="P7" s="364"/>
      <c r="R7" s="132" t="str" cm="1">
        <f t="array" ref="R7">INDEX(A21:A24,MATCH(MAX(M21:M24),M21:M24,0),0)</f>
        <v>Singlife Flexi Retirement (II)</v>
      </c>
      <c r="S7" s="132" t="str" cm="1">
        <f t="array" ref="S7">INDEX(A21:A24,MATCH(MAX(N21:N24),N21:N24,0),0)</f>
        <v>China Life Prosperous Retirement</v>
      </c>
    </row>
    <row r="8" spans="1:20" ht="14.9" customHeight="1" x14ac:dyDescent="0.35">
      <c r="A8" s="164" t="s">
        <v>67</v>
      </c>
      <c r="B8" s="165">
        <v>20</v>
      </c>
      <c r="C8" s="212">
        <v>12000</v>
      </c>
      <c r="D8" s="212">
        <f t="shared" si="2"/>
        <v>120000</v>
      </c>
      <c r="E8" s="212">
        <v>120000</v>
      </c>
      <c r="F8" s="212" t="str">
        <f>IF(E8&gt;=D8,"Yes","No")</f>
        <v>Yes</v>
      </c>
      <c r="G8" s="173">
        <v>27600</v>
      </c>
      <c r="H8" s="212">
        <f t="shared" si="0"/>
        <v>147600</v>
      </c>
      <c r="I8" s="212">
        <f>882.84*12</f>
        <v>10594.08</v>
      </c>
      <c r="J8" s="212">
        <f t="shared" ref="J8:J11" si="3">I8*20</f>
        <v>211881.60000000001</v>
      </c>
      <c r="K8" s="173">
        <v>321897</v>
      </c>
      <c r="L8" s="173">
        <f t="shared" si="1"/>
        <v>533778.6</v>
      </c>
      <c r="M8" s="223">
        <v>1.5800000000000002E-2</v>
      </c>
      <c r="N8" s="221">
        <v>4.24E-2</v>
      </c>
      <c r="P8" s="364"/>
      <c r="R8" s="132" t="str" cm="1">
        <f t="array" ref="R8">INDEX(A34:A39,MATCH(MAX(M34:M39),M34:M39,0),0)</f>
        <v>China Life Prosperous Retirement</v>
      </c>
      <c r="S8" s="132" t="str" cm="1">
        <f t="array" ref="S8">INDEX(A34:A39,MATCH(MAX(N34:N39),N34:N39,0),0)</f>
        <v>China Taiping i-Retire (II)</v>
      </c>
    </row>
    <row r="9" spans="1:20" ht="14.9" customHeight="1" x14ac:dyDescent="0.35">
      <c r="A9" s="164" t="s">
        <v>26</v>
      </c>
      <c r="B9" s="165">
        <v>20</v>
      </c>
      <c r="C9" s="173">
        <v>12012.1</v>
      </c>
      <c r="D9" s="173">
        <f t="shared" si="2"/>
        <v>120121</v>
      </c>
      <c r="E9" s="173">
        <v>120127</v>
      </c>
      <c r="F9" s="212" t="str">
        <f t="shared" ref="F9:F11" si="4">IF(E9&gt;=D9,"Yes","No")</f>
        <v>Yes</v>
      </c>
      <c r="G9" s="173">
        <v>72296</v>
      </c>
      <c r="H9" s="173">
        <f t="shared" si="0"/>
        <v>192423</v>
      </c>
      <c r="I9" s="212">
        <v>8400</v>
      </c>
      <c r="J9" s="212">
        <f t="shared" si="3"/>
        <v>168000</v>
      </c>
      <c r="K9" s="173">
        <f>L9-J9</f>
        <v>298094.2</v>
      </c>
      <c r="L9" s="173">
        <v>466094.2</v>
      </c>
      <c r="M9" s="213">
        <v>9.4000000000000004E-3</v>
      </c>
      <c r="N9" s="224">
        <v>3.49E-2</v>
      </c>
      <c r="P9" s="364"/>
      <c r="R9" s="132" t="str" cm="1">
        <f t="array" ref="R9">INDEX(A49:A54,MATCH(MAX(M49:M54),M49:M54,0),0)</f>
        <v>China Life Prosperous Retirement</v>
      </c>
      <c r="S9" s="132" t="str" cm="1">
        <f t="array" ref="S9">INDEX(A49:A54,MATCH(MAX(N49:N54),N49:N54,0),0)</f>
        <v>China Taiping i-Retire (II)</v>
      </c>
    </row>
    <row r="10" spans="1:20" x14ac:dyDescent="0.35">
      <c r="A10" s="164" t="s">
        <v>27</v>
      </c>
      <c r="B10" s="165">
        <v>20</v>
      </c>
      <c r="C10" s="173">
        <v>11898.36</v>
      </c>
      <c r="D10" s="173">
        <f t="shared" si="2"/>
        <v>118983.6</v>
      </c>
      <c r="E10" s="173">
        <f>D10</f>
        <v>118983.6</v>
      </c>
      <c r="F10" s="212" t="str">
        <f t="shared" si="4"/>
        <v>Yes</v>
      </c>
      <c r="G10" s="173">
        <v>25033</v>
      </c>
      <c r="H10" s="173">
        <f t="shared" si="0"/>
        <v>144016.6</v>
      </c>
      <c r="I10" s="173">
        <f>690*12</f>
        <v>8280</v>
      </c>
      <c r="J10" s="173">
        <f t="shared" si="3"/>
        <v>165600</v>
      </c>
      <c r="K10" s="173">
        <v>299582</v>
      </c>
      <c r="L10" s="173">
        <f t="shared" si="1"/>
        <v>465182</v>
      </c>
      <c r="M10" s="213">
        <v>9.1000000000000004E-3</v>
      </c>
      <c r="N10" s="224">
        <v>3.85E-2</v>
      </c>
      <c r="P10" s="364"/>
      <c r="R10" s="132" t="str" cm="1">
        <f t="array" ref="R10">INDEX(A64:A67,MATCH(MAX(M64:M67),M64:M67,0),0)</f>
        <v>Singlife Flexi Retirement (II)</v>
      </c>
      <c r="S10" s="132" t="str" cm="1">
        <f t="array" ref="S10">INDEX(A64:A67,MATCH(MAX(N64:N67),N64:N67,0),0)</f>
        <v>China Life Prosperous Retirement</v>
      </c>
    </row>
    <row r="11" spans="1:20" ht="15" thickBot="1" x14ac:dyDescent="0.4">
      <c r="A11" s="168" t="s">
        <v>54</v>
      </c>
      <c r="B11" s="169">
        <v>20</v>
      </c>
      <c r="C11" s="217">
        <v>12000.05</v>
      </c>
      <c r="D11" s="217">
        <f t="shared" si="2"/>
        <v>120000.5</v>
      </c>
      <c r="E11" s="217">
        <v>122736</v>
      </c>
      <c r="F11" s="231" t="str">
        <f t="shared" si="4"/>
        <v>Yes</v>
      </c>
      <c r="G11" s="217">
        <v>18042</v>
      </c>
      <c r="H11" s="217">
        <f t="shared" si="0"/>
        <v>140778</v>
      </c>
      <c r="I11" s="217">
        <f>759.88*12</f>
        <v>9118.56</v>
      </c>
      <c r="J11" s="217">
        <f t="shared" si="3"/>
        <v>182371.19999999998</v>
      </c>
      <c r="K11" s="217">
        <v>328560</v>
      </c>
      <c r="L11" s="217">
        <f t="shared" si="1"/>
        <v>510931.19999999995</v>
      </c>
      <c r="M11" s="225">
        <v>1.1599999999999999E-2</v>
      </c>
      <c r="N11" s="226">
        <v>4.1099999999999998E-2</v>
      </c>
      <c r="P11" s="364"/>
    </row>
    <row r="12" spans="1:20" x14ac:dyDescent="0.35">
      <c r="A12" s="135" t="s">
        <v>49</v>
      </c>
      <c r="C12" s="173"/>
      <c r="D12" s="173"/>
      <c r="E12" s="173"/>
      <c r="F12" s="173"/>
      <c r="G12" s="173"/>
      <c r="H12" s="173"/>
      <c r="I12" s="173"/>
      <c r="J12" s="173"/>
      <c r="K12" s="173"/>
      <c r="L12" s="173"/>
      <c r="M12" s="174"/>
      <c r="N12" s="174"/>
      <c r="P12" s="364"/>
    </row>
    <row r="13" spans="1:20" x14ac:dyDescent="0.35">
      <c r="A13" s="131" t="s">
        <v>95</v>
      </c>
      <c r="C13" s="173"/>
      <c r="D13" s="173"/>
      <c r="E13" s="173"/>
      <c r="F13" s="173"/>
      <c r="G13" s="173"/>
      <c r="H13" s="173"/>
      <c r="I13" s="173"/>
      <c r="J13" s="173"/>
      <c r="K13" s="173"/>
      <c r="L13" s="173"/>
      <c r="M13" s="174"/>
      <c r="N13" s="174"/>
      <c r="P13" s="364"/>
    </row>
    <row r="14" spans="1:20" x14ac:dyDescent="0.35">
      <c r="A14" s="131" t="s">
        <v>96</v>
      </c>
      <c r="C14" s="173"/>
      <c r="D14" s="173"/>
      <c r="E14" s="173"/>
      <c r="F14" s="173"/>
      <c r="G14" s="173"/>
      <c r="H14" s="173"/>
      <c r="I14" s="173"/>
      <c r="J14" s="173"/>
      <c r="K14" s="173"/>
      <c r="L14" s="173"/>
      <c r="M14" s="174"/>
      <c r="N14" s="174"/>
      <c r="P14" s="364"/>
    </row>
    <row r="15" spans="1:20" x14ac:dyDescent="0.35">
      <c r="A15" s="131" t="s">
        <v>130</v>
      </c>
      <c r="C15" s="173"/>
      <c r="D15" s="173"/>
      <c r="E15" s="173"/>
      <c r="F15" s="173"/>
      <c r="G15" s="173"/>
      <c r="H15" s="173"/>
      <c r="I15" s="173"/>
      <c r="J15" s="173"/>
      <c r="K15" s="173"/>
      <c r="L15" s="173"/>
      <c r="M15" s="174"/>
      <c r="N15" s="174"/>
      <c r="P15" s="364"/>
    </row>
    <row r="16" spans="1:20" x14ac:dyDescent="0.35">
      <c r="C16" s="173"/>
      <c r="D16" s="173"/>
      <c r="E16" s="173"/>
      <c r="F16" s="173"/>
      <c r="G16" s="173"/>
      <c r="H16" s="173"/>
      <c r="I16" s="173"/>
      <c r="J16" s="173"/>
      <c r="K16" s="173"/>
      <c r="L16" s="173"/>
      <c r="M16" s="174"/>
      <c r="N16" s="174"/>
      <c r="P16" s="364"/>
    </row>
    <row r="17" spans="1:19" ht="25.4" customHeight="1" x14ac:dyDescent="0.35">
      <c r="A17" s="135" t="s">
        <v>237</v>
      </c>
      <c r="B17" s="135"/>
      <c r="C17" s="136"/>
      <c r="D17" s="136"/>
      <c r="E17" s="136"/>
      <c r="F17" s="136"/>
      <c r="G17" s="136"/>
      <c r="H17" s="136"/>
      <c r="I17" s="136"/>
      <c r="J17" s="138" t="s">
        <v>17</v>
      </c>
      <c r="K17" s="139" t="s">
        <v>18</v>
      </c>
      <c r="L17" s="136"/>
      <c r="M17" s="188"/>
      <c r="N17" s="188"/>
      <c r="P17" s="364"/>
    </row>
    <row r="18" spans="1:19" ht="18" customHeight="1" thickBot="1" x14ac:dyDescent="0.4">
      <c r="A18" s="135" t="s">
        <v>238</v>
      </c>
      <c r="B18" s="135"/>
      <c r="C18" s="136"/>
      <c r="D18" s="136"/>
      <c r="E18" s="136"/>
      <c r="F18" s="136"/>
      <c r="G18" s="136"/>
      <c r="H18" s="136"/>
      <c r="I18" s="136"/>
      <c r="J18" s="135"/>
      <c r="K18" s="135"/>
      <c r="L18" s="136"/>
      <c r="M18" s="188"/>
      <c r="N18" s="188"/>
      <c r="P18" s="364"/>
    </row>
    <row r="19" spans="1:19" ht="15" thickBot="1" x14ac:dyDescent="0.4">
      <c r="A19" s="377"/>
      <c r="B19" s="378"/>
      <c r="C19" s="378"/>
      <c r="D19" s="378"/>
      <c r="E19" s="350" t="s">
        <v>80</v>
      </c>
      <c r="F19" s="351"/>
      <c r="G19" s="351"/>
      <c r="H19" s="352"/>
      <c r="I19" s="353" t="s">
        <v>81</v>
      </c>
      <c r="J19" s="354"/>
      <c r="K19" s="354"/>
      <c r="L19" s="354"/>
      <c r="M19" s="354"/>
      <c r="N19" s="355"/>
      <c r="O19" s="135"/>
      <c r="P19" s="364"/>
    </row>
    <row r="20" spans="1:19"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P20" s="364"/>
      <c r="R20" s="132"/>
      <c r="S20" s="132"/>
    </row>
    <row r="21" spans="1:19" ht="15.75" customHeight="1" x14ac:dyDescent="0.35">
      <c r="A21" s="156" t="s">
        <v>151</v>
      </c>
      <c r="B21" s="207">
        <v>20</v>
      </c>
      <c r="C21" s="208">
        <v>11793.8</v>
      </c>
      <c r="D21" s="208">
        <f>C21*20</f>
        <v>235876</v>
      </c>
      <c r="E21" s="208">
        <v>261822</v>
      </c>
      <c r="F21" s="212" t="str">
        <f>IF(E21&gt;=D21,"Yes","No")</f>
        <v>Yes</v>
      </c>
      <c r="G21" s="208">
        <v>89286</v>
      </c>
      <c r="H21" s="208">
        <f>E21+G21</f>
        <v>351108</v>
      </c>
      <c r="I21" s="208">
        <v>19200</v>
      </c>
      <c r="J21" s="208">
        <f t="shared" ref="J21:J24" si="5">I21*20</f>
        <v>384000</v>
      </c>
      <c r="K21" s="208">
        <f>89286+351108</f>
        <v>440394</v>
      </c>
      <c r="L21" s="208">
        <f>J21+K21</f>
        <v>824394</v>
      </c>
      <c r="M21" s="210">
        <v>1.5599999999999999E-2</v>
      </c>
      <c r="N21" s="220">
        <v>3.6900000000000002E-2</v>
      </c>
      <c r="P21" s="364"/>
    </row>
    <row r="22" spans="1:19" ht="15.75" customHeight="1" x14ac:dyDescent="0.35">
      <c r="A22" s="164" t="s">
        <v>64</v>
      </c>
      <c r="B22" s="165">
        <v>20</v>
      </c>
      <c r="C22" s="173">
        <v>11980.8</v>
      </c>
      <c r="D22" s="173">
        <f t="shared" ref="D22:D24" si="6">C22*20</f>
        <v>239616</v>
      </c>
      <c r="E22" s="173">
        <v>243234</v>
      </c>
      <c r="F22" s="212" t="str">
        <f>IF(E22&gt;=D22,"Yes","No")</f>
        <v>Yes</v>
      </c>
      <c r="G22" s="173">
        <v>46581</v>
      </c>
      <c r="H22" s="212">
        <f>E22+G22</f>
        <v>289815</v>
      </c>
      <c r="I22" s="173">
        <v>12480</v>
      </c>
      <c r="J22" s="173">
        <v>324480</v>
      </c>
      <c r="K22" s="212">
        <f>L22-J22</f>
        <v>542330</v>
      </c>
      <c r="L22" s="173">
        <v>866810</v>
      </c>
      <c r="M22" s="213">
        <v>9.2999999999999992E-3</v>
      </c>
      <c r="N22" s="221">
        <v>4.0300000000000002E-2</v>
      </c>
      <c r="P22" s="364"/>
    </row>
    <row r="23" spans="1:19" x14ac:dyDescent="0.35">
      <c r="A23" s="164" t="s">
        <v>27</v>
      </c>
      <c r="B23" s="165">
        <v>20</v>
      </c>
      <c r="C23" s="173">
        <v>11913.31</v>
      </c>
      <c r="D23" s="173">
        <f t="shared" si="6"/>
        <v>238266.19999999998</v>
      </c>
      <c r="E23" s="173">
        <f>D23</f>
        <v>238266.19999999998</v>
      </c>
      <c r="F23" s="173" t="s">
        <v>45</v>
      </c>
      <c r="G23" s="173">
        <v>40385</v>
      </c>
      <c r="H23" s="173">
        <f>E23+G23</f>
        <v>278651.19999999995</v>
      </c>
      <c r="I23" s="173">
        <f>1220*12</f>
        <v>14640</v>
      </c>
      <c r="J23" s="173">
        <f t="shared" si="5"/>
        <v>292800</v>
      </c>
      <c r="K23" s="173">
        <v>460159</v>
      </c>
      <c r="L23" s="173">
        <f t="shared" ref="L23:L24" si="7">J23+K23</f>
        <v>752959</v>
      </c>
      <c r="M23" s="213">
        <v>6.4999999999999997E-3</v>
      </c>
      <c r="N23" s="224">
        <v>3.7100000000000001E-2</v>
      </c>
      <c r="P23" s="364"/>
    </row>
    <row r="24" spans="1:19" ht="15" thickBot="1" x14ac:dyDescent="0.4">
      <c r="A24" s="168" t="s">
        <v>54</v>
      </c>
      <c r="B24" s="169">
        <v>20</v>
      </c>
      <c r="C24" s="217">
        <v>12614.6</v>
      </c>
      <c r="D24" s="217">
        <f t="shared" si="6"/>
        <v>252292</v>
      </c>
      <c r="E24" s="217">
        <v>258512</v>
      </c>
      <c r="F24" s="217" t="s">
        <v>45</v>
      </c>
      <c r="G24" s="217">
        <v>24559</v>
      </c>
      <c r="H24" s="217">
        <f>E24+G24</f>
        <v>283071</v>
      </c>
      <c r="I24" s="217">
        <f>1519.75*12</f>
        <v>18237</v>
      </c>
      <c r="J24" s="217">
        <f t="shared" si="5"/>
        <v>364740</v>
      </c>
      <c r="K24" s="217">
        <v>507206</v>
      </c>
      <c r="L24" s="217">
        <f t="shared" si="7"/>
        <v>871946</v>
      </c>
      <c r="M24" s="218">
        <v>1.18E-2</v>
      </c>
      <c r="N24" s="222">
        <v>4.02E-2</v>
      </c>
      <c r="P24" s="364"/>
    </row>
    <row r="25" spans="1:19" x14ac:dyDescent="0.35">
      <c r="A25" s="135" t="s">
        <v>49</v>
      </c>
      <c r="C25" s="173"/>
      <c r="D25" s="216"/>
      <c r="E25" s="212"/>
      <c r="F25" s="212"/>
      <c r="G25" s="212"/>
      <c r="H25" s="212"/>
      <c r="I25" s="173"/>
      <c r="J25" s="173"/>
      <c r="K25" s="173"/>
      <c r="L25" s="173"/>
      <c r="M25" s="232"/>
      <c r="N25" s="233"/>
      <c r="P25" s="364"/>
    </row>
    <row r="26" spans="1:19" x14ac:dyDescent="0.35">
      <c r="A26" s="131" t="s">
        <v>70</v>
      </c>
      <c r="C26" s="173"/>
      <c r="D26" s="216"/>
      <c r="E26" s="212"/>
      <c r="F26" s="212"/>
      <c r="G26" s="212"/>
      <c r="H26" s="212"/>
      <c r="I26" s="186"/>
      <c r="J26" s="186"/>
      <c r="K26" s="186"/>
      <c r="L26" s="186"/>
      <c r="M26" s="174"/>
      <c r="N26" s="174"/>
      <c r="P26" s="364"/>
    </row>
    <row r="27" spans="1:19" x14ac:dyDescent="0.35">
      <c r="A27" s="131" t="s">
        <v>97</v>
      </c>
      <c r="C27" s="173"/>
      <c r="D27" s="216"/>
      <c r="E27" s="212"/>
      <c r="F27" s="212"/>
      <c r="G27" s="212"/>
      <c r="H27" s="212"/>
      <c r="I27" s="186"/>
      <c r="J27" s="186"/>
      <c r="K27" s="186"/>
      <c r="L27" s="186"/>
      <c r="M27" s="174"/>
      <c r="N27" s="174"/>
      <c r="P27" s="364"/>
    </row>
    <row r="28" spans="1:19" x14ac:dyDescent="0.35">
      <c r="A28" s="131" t="s">
        <v>98</v>
      </c>
      <c r="C28" s="173"/>
      <c r="D28" s="216"/>
      <c r="E28" s="212"/>
      <c r="F28" s="212"/>
      <c r="G28" s="212"/>
      <c r="H28" s="212"/>
      <c r="I28" s="186"/>
      <c r="J28" s="186"/>
      <c r="K28" s="186"/>
      <c r="L28" s="186"/>
      <c r="M28" s="174"/>
      <c r="N28" s="174"/>
      <c r="P28" s="364"/>
    </row>
    <row r="29" spans="1:19" x14ac:dyDescent="0.35">
      <c r="C29" s="173"/>
      <c r="D29" s="216"/>
      <c r="E29" s="212"/>
      <c r="F29" s="212"/>
      <c r="G29" s="212"/>
      <c r="H29" s="212"/>
      <c r="I29" s="186"/>
      <c r="J29" s="186"/>
      <c r="K29" s="186"/>
      <c r="L29" s="186"/>
      <c r="M29" s="174"/>
      <c r="N29" s="174"/>
      <c r="P29" s="364"/>
    </row>
    <row r="30" spans="1:19" ht="23" customHeight="1" x14ac:dyDescent="0.35">
      <c r="A30" s="135" t="s">
        <v>239</v>
      </c>
      <c r="B30" s="135"/>
      <c r="C30" s="136"/>
      <c r="D30" s="136"/>
      <c r="E30" s="136"/>
      <c r="F30" s="136"/>
      <c r="G30" s="136"/>
      <c r="H30" s="136"/>
      <c r="I30" s="136"/>
      <c r="J30" s="138" t="s">
        <v>17</v>
      </c>
      <c r="K30" s="139" t="s">
        <v>18</v>
      </c>
      <c r="L30" s="136"/>
      <c r="M30" s="188"/>
      <c r="N30" s="188"/>
      <c r="P30" s="364"/>
    </row>
    <row r="31" spans="1:19" ht="17.149999999999999" customHeight="1" thickBot="1" x14ac:dyDescent="0.4">
      <c r="A31" s="135" t="s">
        <v>240</v>
      </c>
      <c r="B31" s="135"/>
      <c r="C31" s="136"/>
      <c r="D31" s="136"/>
      <c r="E31" s="136"/>
      <c r="F31" s="136"/>
      <c r="G31" s="136"/>
      <c r="H31" s="136"/>
      <c r="I31" s="136"/>
      <c r="J31" s="135"/>
      <c r="K31" s="135"/>
      <c r="L31" s="136"/>
      <c r="M31" s="188"/>
      <c r="N31" s="188"/>
      <c r="P31" s="364"/>
    </row>
    <row r="32" spans="1:19" ht="15" thickBot="1" x14ac:dyDescent="0.4">
      <c r="A32" s="377"/>
      <c r="B32" s="378"/>
      <c r="C32" s="378"/>
      <c r="D32" s="378"/>
      <c r="E32" s="350" t="s">
        <v>80</v>
      </c>
      <c r="F32" s="351"/>
      <c r="G32" s="351"/>
      <c r="H32" s="352"/>
      <c r="I32" s="353" t="s">
        <v>81</v>
      </c>
      <c r="J32" s="354"/>
      <c r="K32" s="354"/>
      <c r="L32" s="354"/>
      <c r="M32" s="354"/>
      <c r="N32" s="355"/>
      <c r="O32" s="135"/>
      <c r="P32" s="364"/>
    </row>
    <row r="33" spans="1:19" ht="44" thickBot="1" x14ac:dyDescent="0.4">
      <c r="A33" s="144" t="s">
        <v>7</v>
      </c>
      <c r="B33" s="175" t="s">
        <v>10</v>
      </c>
      <c r="C33" s="203" t="s">
        <v>8</v>
      </c>
      <c r="D33" s="204" t="s">
        <v>9</v>
      </c>
      <c r="E33" s="177" t="s">
        <v>77</v>
      </c>
      <c r="F33" s="178" t="s">
        <v>82</v>
      </c>
      <c r="G33" s="178" t="s">
        <v>78</v>
      </c>
      <c r="H33" s="205" t="s">
        <v>83</v>
      </c>
      <c r="I33" s="180" t="s">
        <v>11</v>
      </c>
      <c r="J33" s="181" t="s">
        <v>12</v>
      </c>
      <c r="K33" s="181" t="s">
        <v>13</v>
      </c>
      <c r="L33" s="182" t="s">
        <v>14</v>
      </c>
      <c r="M33" s="180" t="s">
        <v>84</v>
      </c>
      <c r="N33" s="182" t="s">
        <v>85</v>
      </c>
      <c r="P33" s="364"/>
      <c r="R33" s="132"/>
      <c r="S33" s="132"/>
    </row>
    <row r="34" spans="1:19" ht="15.75" customHeight="1" x14ac:dyDescent="0.35">
      <c r="A34" s="156" t="s">
        <v>151</v>
      </c>
      <c r="B34" s="207">
        <v>20</v>
      </c>
      <c r="C34" s="208">
        <v>12015.3</v>
      </c>
      <c r="D34" s="208">
        <f>C34*5</f>
        <v>60076.5</v>
      </c>
      <c r="E34" s="208">
        <v>65183</v>
      </c>
      <c r="F34" s="212" t="str">
        <f>IF(E34&gt;=D34,"Yes","No")</f>
        <v>Yes</v>
      </c>
      <c r="G34" s="208">
        <v>25563</v>
      </c>
      <c r="H34" s="208">
        <f t="shared" ref="H34:H39" si="8">E34+G34</f>
        <v>90746</v>
      </c>
      <c r="I34" s="208">
        <v>4920</v>
      </c>
      <c r="J34" s="208">
        <f t="shared" ref="J34:J39" si="9">I34*20</f>
        <v>98400</v>
      </c>
      <c r="K34" s="208">
        <f>31260+76840</f>
        <v>108100</v>
      </c>
      <c r="L34" s="208">
        <f t="shared" ref="L34:L39" si="10">J34+K34</f>
        <v>206500</v>
      </c>
      <c r="M34" s="234">
        <v>1.47E-2</v>
      </c>
      <c r="N34" s="220">
        <v>3.7600000000000001E-2</v>
      </c>
      <c r="P34" s="364"/>
    </row>
    <row r="35" spans="1:19" ht="15.75" customHeight="1" x14ac:dyDescent="0.35">
      <c r="A35" s="164" t="s">
        <v>64</v>
      </c>
      <c r="B35" s="165">
        <v>20</v>
      </c>
      <c r="C35" s="173">
        <v>11746</v>
      </c>
      <c r="D35" s="173">
        <f t="shared" ref="D35:D39" si="11">C35*5</f>
        <v>58730</v>
      </c>
      <c r="E35" s="173">
        <v>63610</v>
      </c>
      <c r="F35" s="212" t="str">
        <f>IF(E35&gt;=D35,"Yes","No")</f>
        <v>Yes</v>
      </c>
      <c r="G35" s="173">
        <v>9859</v>
      </c>
      <c r="H35" s="212">
        <f t="shared" si="8"/>
        <v>73469</v>
      </c>
      <c r="I35" s="173">
        <v>4200</v>
      </c>
      <c r="J35" s="173">
        <v>107100</v>
      </c>
      <c r="K35" s="212">
        <f>L35-J35</f>
        <v>123343</v>
      </c>
      <c r="L35" s="173">
        <v>230443</v>
      </c>
      <c r="M35" s="223">
        <v>1.7500000000000002E-2</v>
      </c>
      <c r="N35" s="224">
        <v>4.07E-2</v>
      </c>
      <c r="P35" s="364"/>
    </row>
    <row r="36" spans="1:19" ht="15.75" customHeight="1" x14ac:dyDescent="0.35">
      <c r="A36" s="164" t="s">
        <v>67</v>
      </c>
      <c r="B36" s="165">
        <v>20</v>
      </c>
      <c r="C36" s="173">
        <v>12000</v>
      </c>
      <c r="D36" s="173">
        <f t="shared" si="11"/>
        <v>60000</v>
      </c>
      <c r="E36" s="173">
        <v>60000</v>
      </c>
      <c r="F36" s="173" t="str">
        <f>IF(E36&gt;=D36,"Yes","No")</f>
        <v>Yes</v>
      </c>
      <c r="G36" s="173">
        <v>16800</v>
      </c>
      <c r="H36" s="212">
        <f t="shared" si="8"/>
        <v>76800</v>
      </c>
      <c r="I36" s="173">
        <f>428.34*12</f>
        <v>5140.08</v>
      </c>
      <c r="J36" s="212">
        <f t="shared" si="9"/>
        <v>102801.60000000001</v>
      </c>
      <c r="K36" s="173">
        <v>136483</v>
      </c>
      <c r="L36" s="173">
        <f t="shared" si="10"/>
        <v>239284.6</v>
      </c>
      <c r="M36" s="223">
        <v>1.61E-2</v>
      </c>
      <c r="N36" s="221">
        <v>4.24E-2</v>
      </c>
      <c r="P36" s="364"/>
    </row>
    <row r="37" spans="1:19" x14ac:dyDescent="0.35">
      <c r="A37" s="164" t="s">
        <v>26</v>
      </c>
      <c r="B37" s="165">
        <v>20</v>
      </c>
      <c r="C37" s="173">
        <v>12381.4</v>
      </c>
      <c r="D37" s="173">
        <f t="shared" si="11"/>
        <v>61907</v>
      </c>
      <c r="E37" s="173">
        <v>61908</v>
      </c>
      <c r="F37" s="173" t="s">
        <v>45</v>
      </c>
      <c r="G37" s="173">
        <v>30422</v>
      </c>
      <c r="H37" s="173">
        <f t="shared" si="8"/>
        <v>92330</v>
      </c>
      <c r="I37" s="173">
        <v>4200</v>
      </c>
      <c r="J37" s="173">
        <f t="shared" si="9"/>
        <v>84000</v>
      </c>
      <c r="K37" s="173">
        <f>L37-J37</f>
        <v>131941.20000000001</v>
      </c>
      <c r="L37" s="173">
        <v>215941.2</v>
      </c>
      <c r="M37" s="213">
        <v>9.1999999999999998E-3</v>
      </c>
      <c r="N37" s="224">
        <v>3.49E-2</v>
      </c>
      <c r="P37" s="364"/>
    </row>
    <row r="38" spans="1:19" x14ac:dyDescent="0.35">
      <c r="A38" s="164" t="s">
        <v>27</v>
      </c>
      <c r="B38" s="165">
        <v>20</v>
      </c>
      <c r="C38" s="173">
        <v>11844.03</v>
      </c>
      <c r="D38" s="173">
        <f t="shared" si="11"/>
        <v>59220.15</v>
      </c>
      <c r="E38" s="173">
        <f>D38</f>
        <v>59220.15</v>
      </c>
      <c r="F38" s="173" t="s">
        <v>45</v>
      </c>
      <c r="G38" s="173">
        <v>7835</v>
      </c>
      <c r="H38" s="173">
        <f t="shared" si="8"/>
        <v>67055.149999999994</v>
      </c>
      <c r="I38" s="173">
        <f>330*12</f>
        <v>3960</v>
      </c>
      <c r="J38" s="173">
        <f t="shared" si="9"/>
        <v>79200</v>
      </c>
      <c r="K38" s="173">
        <v>131834</v>
      </c>
      <c r="L38" s="173">
        <f t="shared" si="10"/>
        <v>211034</v>
      </c>
      <c r="M38" s="213">
        <v>8.6E-3</v>
      </c>
      <c r="N38" s="224">
        <v>3.8699999999999998E-2</v>
      </c>
      <c r="P38" s="364"/>
    </row>
    <row r="39" spans="1:19" ht="15" thickBot="1" x14ac:dyDescent="0.4">
      <c r="A39" s="168" t="s">
        <v>54</v>
      </c>
      <c r="B39" s="169">
        <v>20</v>
      </c>
      <c r="C39" s="231">
        <v>11999.85</v>
      </c>
      <c r="D39" s="231">
        <f t="shared" si="11"/>
        <v>59999.25</v>
      </c>
      <c r="E39" s="231">
        <v>60109</v>
      </c>
      <c r="F39" s="217" t="s">
        <v>45</v>
      </c>
      <c r="G39" s="231">
        <v>6973</v>
      </c>
      <c r="H39" s="231">
        <f t="shared" si="8"/>
        <v>67082</v>
      </c>
      <c r="I39" s="231">
        <f>376.59*12</f>
        <v>4519.08</v>
      </c>
      <c r="J39" s="231">
        <f t="shared" si="9"/>
        <v>90381.6</v>
      </c>
      <c r="K39" s="231">
        <v>142831</v>
      </c>
      <c r="L39" s="231">
        <f t="shared" si="10"/>
        <v>233212.6</v>
      </c>
      <c r="M39" s="225">
        <v>1.2200000000000001E-2</v>
      </c>
      <c r="N39" s="226">
        <v>4.1599999999999998E-2</v>
      </c>
      <c r="P39" s="365"/>
    </row>
    <row r="40" spans="1:19" x14ac:dyDescent="0.35">
      <c r="A40" s="135" t="s">
        <v>49</v>
      </c>
      <c r="C40" s="173"/>
      <c r="D40" s="173"/>
      <c r="E40" s="173"/>
      <c r="F40" s="173"/>
      <c r="G40" s="173"/>
      <c r="H40" s="173"/>
      <c r="I40" s="173"/>
      <c r="J40" s="173"/>
      <c r="K40" s="173"/>
      <c r="L40" s="173"/>
      <c r="M40" s="233"/>
      <c r="N40" s="233"/>
      <c r="P40" s="229"/>
    </row>
    <row r="41" spans="1:19" x14ac:dyDescent="0.35">
      <c r="A41" s="131" t="s">
        <v>95</v>
      </c>
      <c r="C41" s="173"/>
      <c r="D41" s="173"/>
      <c r="E41" s="173"/>
      <c r="F41" s="173"/>
      <c r="G41" s="173"/>
      <c r="H41" s="173"/>
      <c r="I41" s="173"/>
      <c r="J41" s="173"/>
      <c r="K41" s="173"/>
      <c r="L41" s="173"/>
      <c r="M41" s="233"/>
      <c r="N41" s="233"/>
      <c r="P41" s="229"/>
    </row>
    <row r="42" spans="1:19" x14ac:dyDescent="0.35">
      <c r="A42" s="131" t="s">
        <v>96</v>
      </c>
      <c r="C42" s="173"/>
      <c r="D42" s="173"/>
      <c r="E42" s="173"/>
      <c r="F42" s="173"/>
      <c r="G42" s="173"/>
      <c r="H42" s="173"/>
      <c r="I42" s="173"/>
      <c r="J42" s="173"/>
      <c r="K42" s="173"/>
      <c r="L42" s="173"/>
      <c r="M42" s="233"/>
      <c r="N42" s="233"/>
      <c r="P42" s="229"/>
    </row>
    <row r="43" spans="1:19" x14ac:dyDescent="0.35">
      <c r="A43" s="131" t="s">
        <v>130</v>
      </c>
      <c r="C43" s="173"/>
      <c r="D43" s="173"/>
      <c r="E43" s="173"/>
      <c r="F43" s="173"/>
      <c r="G43" s="173"/>
      <c r="H43" s="173"/>
      <c r="I43" s="173"/>
      <c r="J43" s="173"/>
      <c r="K43" s="173"/>
      <c r="L43" s="173"/>
      <c r="M43" s="233"/>
      <c r="N43" s="233"/>
      <c r="P43" s="229"/>
    </row>
    <row r="44" spans="1:19" x14ac:dyDescent="0.35">
      <c r="C44" s="173"/>
      <c r="D44" s="173"/>
      <c r="E44" s="173"/>
      <c r="F44" s="173"/>
      <c r="G44" s="173"/>
      <c r="H44" s="173"/>
      <c r="I44" s="173"/>
      <c r="J44" s="173"/>
      <c r="K44" s="173"/>
      <c r="L44" s="173"/>
      <c r="M44" s="233"/>
      <c r="N44" s="233"/>
      <c r="P44" s="229"/>
    </row>
    <row r="45" spans="1:19" ht="20.149999999999999" customHeight="1" x14ac:dyDescent="0.35">
      <c r="A45" s="135" t="s">
        <v>241</v>
      </c>
      <c r="B45" s="135"/>
      <c r="J45" s="138" t="s">
        <v>17</v>
      </c>
      <c r="K45" s="139" t="s">
        <v>18</v>
      </c>
      <c r="M45" s="188"/>
      <c r="N45" s="188"/>
      <c r="P45" s="227"/>
    </row>
    <row r="46" spans="1:19" ht="17.149999999999999" customHeight="1" thickBot="1" x14ac:dyDescent="0.4">
      <c r="A46" s="135" t="s">
        <v>242</v>
      </c>
      <c r="B46" s="135"/>
      <c r="J46" s="135"/>
      <c r="K46" s="135"/>
      <c r="M46" s="188"/>
      <c r="N46" s="188"/>
      <c r="P46" s="227"/>
    </row>
    <row r="47" spans="1:19" ht="15" thickBot="1" x14ac:dyDescent="0.4">
      <c r="A47" s="377"/>
      <c r="B47" s="378"/>
      <c r="C47" s="378"/>
      <c r="D47" s="378"/>
      <c r="E47" s="350" t="s">
        <v>80</v>
      </c>
      <c r="F47" s="351"/>
      <c r="G47" s="351"/>
      <c r="H47" s="352"/>
      <c r="I47" s="353" t="s">
        <v>81</v>
      </c>
      <c r="J47" s="354"/>
      <c r="K47" s="354"/>
      <c r="L47" s="354"/>
      <c r="M47" s="354"/>
      <c r="N47" s="355"/>
      <c r="O47" s="155"/>
      <c r="P47" s="227"/>
    </row>
    <row r="48" spans="1:19" ht="44" thickBot="1" x14ac:dyDescent="0.4">
      <c r="A48" s="144" t="s">
        <v>7</v>
      </c>
      <c r="B48" s="175" t="s">
        <v>10</v>
      </c>
      <c r="C48" s="203" t="s">
        <v>8</v>
      </c>
      <c r="D48" s="204" t="s">
        <v>9</v>
      </c>
      <c r="E48" s="177" t="s">
        <v>77</v>
      </c>
      <c r="F48" s="178" t="s">
        <v>82</v>
      </c>
      <c r="G48" s="178" t="s">
        <v>78</v>
      </c>
      <c r="H48" s="205" t="s">
        <v>83</v>
      </c>
      <c r="I48" s="180" t="s">
        <v>11</v>
      </c>
      <c r="J48" s="181" t="s">
        <v>12</v>
      </c>
      <c r="K48" s="181" t="s">
        <v>13</v>
      </c>
      <c r="L48" s="182" t="s">
        <v>14</v>
      </c>
      <c r="M48" s="180" t="s">
        <v>84</v>
      </c>
      <c r="N48" s="182" t="s">
        <v>85</v>
      </c>
      <c r="O48" s="135"/>
      <c r="P48" s="235"/>
    </row>
    <row r="49" spans="1:16" ht="15" customHeight="1" x14ac:dyDescent="0.35">
      <c r="A49" s="156" t="s">
        <v>151</v>
      </c>
      <c r="B49" s="207">
        <v>20</v>
      </c>
      <c r="C49" s="208">
        <v>12005.8</v>
      </c>
      <c r="D49" s="208">
        <f>C49*10</f>
        <v>120058</v>
      </c>
      <c r="E49" s="208">
        <v>130262</v>
      </c>
      <c r="F49" s="173" t="str">
        <f>IF(E49&gt;=D49,"Yes","No")</f>
        <v>Yes</v>
      </c>
      <c r="G49" s="208">
        <v>44992</v>
      </c>
      <c r="H49" s="208">
        <f>E49+G49</f>
        <v>175254</v>
      </c>
      <c r="I49" s="208">
        <v>9480</v>
      </c>
      <c r="J49" s="208">
        <f t="shared" ref="J49:J54" si="12">I49*20</f>
        <v>189600</v>
      </c>
      <c r="K49" s="208">
        <f>55020+114880</f>
        <v>169900</v>
      </c>
      <c r="L49" s="208">
        <f t="shared" ref="L49:L54" si="13">J49+K49</f>
        <v>359500</v>
      </c>
      <c r="M49" s="234">
        <v>1.47E-2</v>
      </c>
      <c r="N49" s="220">
        <v>3.5900000000000001E-2</v>
      </c>
      <c r="P49" s="381"/>
    </row>
    <row r="50" spans="1:16" ht="15" customHeight="1" x14ac:dyDescent="0.35">
      <c r="A50" s="164" t="s">
        <v>64</v>
      </c>
      <c r="B50" s="165">
        <v>20</v>
      </c>
      <c r="C50" s="173">
        <v>11980</v>
      </c>
      <c r="D50" s="173">
        <f t="shared" ref="D50:D54" si="14">C50*10</f>
        <v>119800</v>
      </c>
      <c r="E50" s="173">
        <v>126565</v>
      </c>
      <c r="F50" s="212" t="str">
        <f>IF(E50&gt;=D50,"Yes","No")</f>
        <v>Yes</v>
      </c>
      <c r="G50" s="173">
        <v>20055</v>
      </c>
      <c r="H50" s="212">
        <f>E50+G50</f>
        <v>146620</v>
      </c>
      <c r="I50" s="173">
        <v>7680</v>
      </c>
      <c r="J50" s="173">
        <v>195840</v>
      </c>
      <c r="K50" s="212">
        <f>L50-J50</f>
        <v>227450</v>
      </c>
      <c r="L50" s="173">
        <v>423290</v>
      </c>
      <c r="M50" s="223">
        <v>1.54E-2</v>
      </c>
      <c r="N50" s="224">
        <v>4.0300000000000002E-2</v>
      </c>
      <c r="P50" s="381"/>
    </row>
    <row r="51" spans="1:16" ht="15" customHeight="1" x14ac:dyDescent="0.35">
      <c r="A51" s="164" t="s">
        <v>67</v>
      </c>
      <c r="B51" s="165">
        <v>20</v>
      </c>
      <c r="C51" s="173">
        <v>12000</v>
      </c>
      <c r="D51" s="173">
        <f t="shared" si="14"/>
        <v>120000</v>
      </c>
      <c r="E51" s="173">
        <f>D51</f>
        <v>120000</v>
      </c>
      <c r="F51" s="173" t="str">
        <f>IF(E51&gt;=D51,"Yes","No")</f>
        <v>Yes</v>
      </c>
      <c r="G51" s="173">
        <v>21600</v>
      </c>
      <c r="H51" s="173">
        <f>SUM(E51,G51)</f>
        <v>141600</v>
      </c>
      <c r="I51" s="173">
        <f>796.56*12</f>
        <v>9558.7199999999993</v>
      </c>
      <c r="J51" s="212">
        <f t="shared" si="12"/>
        <v>191174.39999999999</v>
      </c>
      <c r="K51" s="173">
        <v>238752</v>
      </c>
      <c r="L51" s="173">
        <f t="shared" si="13"/>
        <v>429926.40000000002</v>
      </c>
      <c r="M51" s="223">
        <v>1.4999999999999999E-2</v>
      </c>
      <c r="N51" s="221">
        <v>4.2099999999999999E-2</v>
      </c>
      <c r="P51" s="381"/>
    </row>
    <row r="52" spans="1:16" ht="15" customHeight="1" x14ac:dyDescent="0.35">
      <c r="A52" s="164" t="s">
        <v>26</v>
      </c>
      <c r="B52" s="165">
        <v>20</v>
      </c>
      <c r="C52" s="173">
        <v>11708</v>
      </c>
      <c r="D52" s="173">
        <f t="shared" si="14"/>
        <v>117080</v>
      </c>
      <c r="E52" s="173">
        <v>117085</v>
      </c>
      <c r="F52" s="173" t="s">
        <v>45</v>
      </c>
      <c r="G52" s="173">
        <v>50712</v>
      </c>
      <c r="H52" s="173">
        <f>E52+G52</f>
        <v>167797</v>
      </c>
      <c r="I52" s="173">
        <v>7800</v>
      </c>
      <c r="J52" s="173">
        <f t="shared" si="12"/>
        <v>156000</v>
      </c>
      <c r="K52" s="173">
        <f>L52-J52</f>
        <v>214111.8</v>
      </c>
      <c r="L52" s="173">
        <v>370111.8</v>
      </c>
      <c r="M52" s="213">
        <v>9.2999999999999992E-3</v>
      </c>
      <c r="N52" s="224">
        <v>3.4799999999999998E-2</v>
      </c>
      <c r="P52" s="381"/>
    </row>
    <row r="53" spans="1:16" x14ac:dyDescent="0.35">
      <c r="A53" s="164" t="s">
        <v>27</v>
      </c>
      <c r="B53" s="165">
        <v>20</v>
      </c>
      <c r="C53" s="173">
        <v>11909.95</v>
      </c>
      <c r="D53" s="173">
        <f t="shared" si="14"/>
        <v>119099.5</v>
      </c>
      <c r="E53" s="173">
        <f>D53</f>
        <v>119099.5</v>
      </c>
      <c r="F53" s="173" t="s">
        <v>45</v>
      </c>
      <c r="G53" s="173">
        <v>20143</v>
      </c>
      <c r="H53" s="173">
        <f>E53+G53</f>
        <v>139242.5</v>
      </c>
      <c r="I53" s="173">
        <f>650*12</f>
        <v>7800</v>
      </c>
      <c r="J53" s="173">
        <f t="shared" si="12"/>
        <v>156000</v>
      </c>
      <c r="K53" s="173">
        <v>229956</v>
      </c>
      <c r="L53" s="173">
        <f t="shared" si="13"/>
        <v>385956</v>
      </c>
      <c r="M53" s="213">
        <v>8.6E-3</v>
      </c>
      <c r="N53" s="224">
        <v>3.85E-2</v>
      </c>
      <c r="O53" s="135"/>
      <c r="P53" s="227"/>
    </row>
    <row r="54" spans="1:16" ht="15" thickBot="1" x14ac:dyDescent="0.4">
      <c r="A54" s="168" t="s">
        <v>54</v>
      </c>
      <c r="B54" s="169">
        <v>20</v>
      </c>
      <c r="C54" s="231">
        <v>12000.05</v>
      </c>
      <c r="D54" s="231">
        <f t="shared" si="14"/>
        <v>120000.5</v>
      </c>
      <c r="E54" s="231">
        <v>122541</v>
      </c>
      <c r="F54" s="217" t="s">
        <v>45</v>
      </c>
      <c r="G54" s="231">
        <v>12867</v>
      </c>
      <c r="H54" s="231">
        <f>E54+G54</f>
        <v>135408</v>
      </c>
      <c r="I54" s="231">
        <f>697.55*12</f>
        <v>8370.5999999999985</v>
      </c>
      <c r="J54" s="231">
        <f t="shared" si="12"/>
        <v>167411.99999999997</v>
      </c>
      <c r="K54" s="231">
        <v>247032</v>
      </c>
      <c r="L54" s="231">
        <f t="shared" si="13"/>
        <v>414444</v>
      </c>
      <c r="M54" s="225">
        <v>1.0699999999999999E-2</v>
      </c>
      <c r="N54" s="226">
        <v>4.0800000000000003E-2</v>
      </c>
      <c r="O54" s="135"/>
      <c r="P54" s="227"/>
    </row>
    <row r="55" spans="1:16" x14ac:dyDescent="0.35">
      <c r="A55" s="135" t="s">
        <v>49</v>
      </c>
      <c r="C55" s="186"/>
      <c r="D55" s="186"/>
      <c r="E55" s="186"/>
      <c r="F55" s="186"/>
      <c r="G55" s="186"/>
      <c r="H55" s="186"/>
      <c r="I55" s="186"/>
      <c r="J55" s="186"/>
      <c r="K55" s="186"/>
      <c r="L55" s="186"/>
      <c r="M55" s="174"/>
      <c r="N55" s="174"/>
      <c r="P55" s="190"/>
    </row>
    <row r="56" spans="1:16" x14ac:dyDescent="0.35">
      <c r="A56" s="131" t="s">
        <v>95</v>
      </c>
      <c r="C56" s="186"/>
      <c r="D56" s="186"/>
      <c r="E56" s="186"/>
      <c r="F56" s="186"/>
      <c r="G56" s="186"/>
      <c r="H56" s="186"/>
      <c r="I56" s="186"/>
      <c r="J56" s="186"/>
      <c r="K56" s="186"/>
      <c r="L56" s="186"/>
      <c r="M56" s="174"/>
      <c r="N56" s="174"/>
      <c r="P56" s="190"/>
    </row>
    <row r="57" spans="1:16" x14ac:dyDescent="0.35">
      <c r="A57" s="131" t="s">
        <v>96</v>
      </c>
      <c r="C57" s="186"/>
      <c r="D57" s="186"/>
      <c r="E57" s="186"/>
      <c r="F57" s="186"/>
      <c r="G57" s="186"/>
      <c r="H57" s="186"/>
      <c r="I57" s="186"/>
      <c r="J57" s="186"/>
      <c r="K57" s="186"/>
      <c r="L57" s="186"/>
      <c r="M57" s="174"/>
      <c r="N57" s="174"/>
      <c r="P57" s="190"/>
    </row>
    <row r="58" spans="1:16" x14ac:dyDescent="0.35">
      <c r="A58" s="131" t="s">
        <v>130</v>
      </c>
      <c r="C58" s="186"/>
      <c r="D58" s="186"/>
      <c r="E58" s="186"/>
      <c r="F58" s="186"/>
      <c r="G58" s="186"/>
      <c r="H58" s="186"/>
      <c r="I58" s="186"/>
      <c r="J58" s="186"/>
      <c r="K58" s="186"/>
      <c r="L58" s="186"/>
      <c r="M58" s="174"/>
      <c r="N58" s="174"/>
      <c r="P58" s="190"/>
    </row>
    <row r="59" spans="1:16" ht="18" customHeight="1" x14ac:dyDescent="0.35">
      <c r="C59" s="186"/>
      <c r="D59" s="186"/>
      <c r="E59" s="186"/>
      <c r="F59" s="186"/>
      <c r="G59" s="186"/>
      <c r="H59" s="186"/>
      <c r="I59" s="186"/>
      <c r="J59" s="186"/>
      <c r="K59" s="186"/>
      <c r="L59" s="186"/>
      <c r="M59" s="174"/>
      <c r="N59" s="174"/>
      <c r="P59" s="190"/>
    </row>
    <row r="60" spans="1:16" ht="19.5" customHeight="1" x14ac:dyDescent="0.35">
      <c r="A60" s="135" t="s">
        <v>243</v>
      </c>
      <c r="B60" s="135"/>
      <c r="J60" s="138" t="s">
        <v>17</v>
      </c>
      <c r="K60" s="139" t="s">
        <v>18</v>
      </c>
      <c r="M60" s="188"/>
      <c r="N60" s="188"/>
      <c r="P60" s="227"/>
    </row>
    <row r="61" spans="1:16" ht="18" customHeight="1" thickBot="1" x14ac:dyDescent="0.4">
      <c r="A61" s="135" t="s">
        <v>244</v>
      </c>
      <c r="B61" s="135"/>
      <c r="J61" s="135"/>
      <c r="K61" s="135"/>
      <c r="M61" s="188"/>
      <c r="N61" s="188"/>
      <c r="P61" s="227"/>
    </row>
    <row r="62" spans="1:16" ht="15" thickBot="1" x14ac:dyDescent="0.4">
      <c r="A62" s="377"/>
      <c r="B62" s="378"/>
      <c r="C62" s="378"/>
      <c r="D62" s="378"/>
      <c r="E62" s="350" t="s">
        <v>80</v>
      </c>
      <c r="F62" s="351"/>
      <c r="G62" s="351"/>
      <c r="H62" s="352"/>
      <c r="I62" s="353" t="s">
        <v>81</v>
      </c>
      <c r="J62" s="354"/>
      <c r="K62" s="354"/>
      <c r="L62" s="354"/>
      <c r="M62" s="354"/>
      <c r="N62" s="355"/>
      <c r="O62" s="155"/>
      <c r="P62" s="227"/>
    </row>
    <row r="63" spans="1:16" ht="44" thickBot="1" x14ac:dyDescent="0.4">
      <c r="A63" s="144" t="s">
        <v>7</v>
      </c>
      <c r="B63" s="175" t="s">
        <v>10</v>
      </c>
      <c r="C63" s="203" t="s">
        <v>8</v>
      </c>
      <c r="D63" s="204" t="s">
        <v>9</v>
      </c>
      <c r="E63" s="177" t="s">
        <v>77</v>
      </c>
      <c r="F63" s="178" t="s">
        <v>82</v>
      </c>
      <c r="G63" s="178" t="s">
        <v>78</v>
      </c>
      <c r="H63" s="205" t="s">
        <v>83</v>
      </c>
      <c r="I63" s="180" t="s">
        <v>11</v>
      </c>
      <c r="J63" s="181" t="s">
        <v>12</v>
      </c>
      <c r="K63" s="181" t="s">
        <v>13</v>
      </c>
      <c r="L63" s="182" t="s">
        <v>14</v>
      </c>
      <c r="M63" s="180" t="s">
        <v>84</v>
      </c>
      <c r="N63" s="182" t="s">
        <v>85</v>
      </c>
      <c r="O63" s="135"/>
      <c r="P63" s="227"/>
    </row>
    <row r="64" spans="1:16" ht="15" customHeight="1" x14ac:dyDescent="0.35">
      <c r="A64" s="156" t="s">
        <v>151</v>
      </c>
      <c r="B64" s="207">
        <v>20</v>
      </c>
      <c r="C64" s="208">
        <v>11982.7</v>
      </c>
      <c r="D64" s="208">
        <f>C64*20</f>
        <v>239654</v>
      </c>
      <c r="E64" s="208">
        <v>260024</v>
      </c>
      <c r="F64" s="208" t="s">
        <v>45</v>
      </c>
      <c r="G64" s="208">
        <v>67188</v>
      </c>
      <c r="H64" s="208">
        <f>E64+G64</f>
        <v>327212</v>
      </c>
      <c r="I64" s="208">
        <v>17040</v>
      </c>
      <c r="J64" s="208">
        <f t="shared" ref="J64:J67" si="15">I64*20</f>
        <v>340800</v>
      </c>
      <c r="K64" s="208">
        <f>82180+167660</f>
        <v>249840</v>
      </c>
      <c r="L64" s="208">
        <f t="shared" ref="L64:L67" si="16">J64+K64</f>
        <v>590640</v>
      </c>
      <c r="M64" s="210">
        <v>1.34E-2</v>
      </c>
      <c r="N64" s="220">
        <v>3.4599999999999999E-2</v>
      </c>
      <c r="P64" s="189"/>
    </row>
    <row r="65" spans="1:16" ht="15" customHeight="1" x14ac:dyDescent="0.35">
      <c r="A65" s="164" t="s">
        <v>64</v>
      </c>
      <c r="B65" s="165">
        <v>20</v>
      </c>
      <c r="C65" s="173">
        <v>11984</v>
      </c>
      <c r="D65" s="173">
        <f t="shared" ref="D65:D67" si="17">C65*20</f>
        <v>239680</v>
      </c>
      <c r="E65" s="173">
        <v>240878</v>
      </c>
      <c r="F65" s="212" t="str">
        <f>IF(E65&gt;=D65,"Yes","No")</f>
        <v>Yes</v>
      </c>
      <c r="G65" s="173">
        <v>40122</v>
      </c>
      <c r="H65" s="212">
        <f>E65+G65</f>
        <v>281000</v>
      </c>
      <c r="I65" s="173">
        <v>12840</v>
      </c>
      <c r="J65" s="173">
        <v>327420</v>
      </c>
      <c r="K65" s="212">
        <f>L65-J65</f>
        <v>386390</v>
      </c>
      <c r="L65" s="173">
        <v>713810</v>
      </c>
      <c r="M65" s="223">
        <v>1.14E-2</v>
      </c>
      <c r="N65" s="221">
        <v>4.0399999999999998E-2</v>
      </c>
      <c r="P65" s="189"/>
    </row>
    <row r="66" spans="1:16" x14ac:dyDescent="0.35">
      <c r="A66" s="164" t="s">
        <v>27</v>
      </c>
      <c r="B66" s="165">
        <v>20</v>
      </c>
      <c r="C66" s="173">
        <v>11928.15</v>
      </c>
      <c r="D66" s="173">
        <f t="shared" si="17"/>
        <v>238563</v>
      </c>
      <c r="E66" s="173">
        <f>D66</f>
        <v>238563</v>
      </c>
      <c r="F66" s="173" t="s">
        <v>45</v>
      </c>
      <c r="G66" s="173">
        <v>30575</v>
      </c>
      <c r="H66" s="173">
        <f>E66+G66</f>
        <v>269138</v>
      </c>
      <c r="I66" s="173">
        <f>1170*12</f>
        <v>14040</v>
      </c>
      <c r="J66" s="173">
        <f t="shared" si="15"/>
        <v>280800</v>
      </c>
      <c r="K66" s="173">
        <v>330148</v>
      </c>
      <c r="L66" s="173">
        <f t="shared" si="16"/>
        <v>610948</v>
      </c>
      <c r="M66" s="213">
        <v>6.1000000000000004E-3</v>
      </c>
      <c r="N66" s="224">
        <v>3.5999999999999997E-2</v>
      </c>
      <c r="O66" s="135"/>
      <c r="P66" s="227"/>
    </row>
    <row r="67" spans="1:16" ht="15" thickBot="1" x14ac:dyDescent="0.4">
      <c r="A67" s="168" t="s">
        <v>54</v>
      </c>
      <c r="B67" s="169">
        <v>20</v>
      </c>
      <c r="C67" s="231">
        <v>11999.95</v>
      </c>
      <c r="D67" s="231">
        <f t="shared" si="17"/>
        <v>239999</v>
      </c>
      <c r="E67" s="231">
        <v>245286</v>
      </c>
      <c r="F67" s="217" t="s">
        <v>45</v>
      </c>
      <c r="G67" s="231">
        <v>16679</v>
      </c>
      <c r="H67" s="231">
        <f>E67+G67</f>
        <v>261965</v>
      </c>
      <c r="I67" s="231">
        <f>1322.7*12</f>
        <v>15872.400000000001</v>
      </c>
      <c r="J67" s="231">
        <f t="shared" si="15"/>
        <v>317448</v>
      </c>
      <c r="K67" s="231">
        <v>328558</v>
      </c>
      <c r="L67" s="231">
        <f t="shared" si="16"/>
        <v>646006</v>
      </c>
      <c r="M67" s="236">
        <v>1.06E-2</v>
      </c>
      <c r="N67" s="222">
        <v>3.8100000000000002E-2</v>
      </c>
      <c r="O67" s="135"/>
      <c r="P67" s="227"/>
    </row>
    <row r="68" spans="1:16" ht="15.75" customHeight="1" x14ac:dyDescent="0.35">
      <c r="A68" s="135" t="s">
        <v>49</v>
      </c>
      <c r="C68" s="173"/>
      <c r="D68" s="216"/>
      <c r="E68" s="212"/>
      <c r="F68" s="212"/>
      <c r="G68" s="212"/>
      <c r="H68" s="212"/>
      <c r="I68" s="186"/>
      <c r="J68" s="186"/>
      <c r="K68" s="186"/>
      <c r="L68" s="186"/>
      <c r="M68" s="174"/>
      <c r="N68" s="174"/>
      <c r="P68" s="227"/>
    </row>
    <row r="69" spans="1:16" x14ac:dyDescent="0.35">
      <c r="A69" s="131" t="s">
        <v>70</v>
      </c>
      <c r="C69" s="173"/>
      <c r="D69" s="216"/>
      <c r="E69" s="212"/>
      <c r="F69" s="212"/>
      <c r="G69" s="212"/>
      <c r="H69" s="212"/>
      <c r="P69" s="131"/>
    </row>
    <row r="70" spans="1:16" x14ac:dyDescent="0.35">
      <c r="A70" s="131" t="s">
        <v>97</v>
      </c>
      <c r="C70" s="173"/>
      <c r="D70" s="216"/>
      <c r="E70" s="212"/>
      <c r="F70" s="212"/>
      <c r="G70" s="212"/>
      <c r="H70" s="212"/>
    </row>
    <row r="71" spans="1:16" ht="14.25" customHeight="1" x14ac:dyDescent="0.35">
      <c r="A71" s="131" t="s">
        <v>98</v>
      </c>
      <c r="P71" s="131"/>
    </row>
  </sheetData>
  <sheetProtection algorithmName="SHA-512" hashValue="x/SZ0yx4+7ifj+/ddNUB/YzA4Y8iqBfeUqCHMrjva+u3TaqzVCFK0UWywA0cvIDNxmRu94I2W3L/jUSrMF7EGQ==" saltValue="ndnRTVnYs54Fni6LXcM3gg==" spinCount="100000" sheet="1" objects="1" scenarios="1" selectLockedCells="1" autoFilter="0" selectUnlockedCells="1"/>
  <mergeCells count="17">
    <mergeCell ref="A47:D47"/>
    <mergeCell ref="E47:H47"/>
    <mergeCell ref="I47:N47"/>
    <mergeCell ref="P49:P52"/>
    <mergeCell ref="A62:D62"/>
    <mergeCell ref="E62:H62"/>
    <mergeCell ref="I62:N62"/>
    <mergeCell ref="A4:D4"/>
    <mergeCell ref="E4:H4"/>
    <mergeCell ref="I4:N4"/>
    <mergeCell ref="P6:P39"/>
    <mergeCell ref="A19:D19"/>
    <mergeCell ref="E19:H19"/>
    <mergeCell ref="I19:N19"/>
    <mergeCell ref="A32:D32"/>
    <mergeCell ref="E32:H32"/>
    <mergeCell ref="I32:N32"/>
  </mergeCells>
  <conditionalFormatting sqref="M6:M11">
    <cfRule type="top10" dxfId="131" priority="1" rank="1"/>
    <cfRule type="top10" dxfId="130" priority="2" rank="2"/>
  </conditionalFormatting>
  <conditionalFormatting sqref="M21:M24">
    <cfRule type="top10" dxfId="129" priority="5" rank="1"/>
    <cfRule type="top10" dxfId="128" priority="6" rank="2"/>
  </conditionalFormatting>
  <conditionalFormatting sqref="M34:M39">
    <cfRule type="top10" dxfId="127" priority="9" rank="1"/>
    <cfRule type="top10" dxfId="126" priority="10" rank="2"/>
  </conditionalFormatting>
  <conditionalFormatting sqref="M49:M54">
    <cfRule type="top10" dxfId="125" priority="13" rank="1"/>
    <cfRule type="top10" dxfId="124" priority="14" rank="2"/>
  </conditionalFormatting>
  <conditionalFormatting sqref="M64:M67">
    <cfRule type="top10" dxfId="123" priority="17" rank="1"/>
    <cfRule type="top10" dxfId="122" priority="18" rank="2"/>
  </conditionalFormatting>
  <conditionalFormatting sqref="N6:N11">
    <cfRule type="top10" dxfId="121" priority="3" rank="1"/>
    <cfRule type="top10" dxfId="120" priority="4" rank="2"/>
  </conditionalFormatting>
  <conditionalFormatting sqref="N21:N24">
    <cfRule type="top10" dxfId="119" priority="7" rank="1"/>
    <cfRule type="top10" dxfId="118" priority="8" rank="2"/>
  </conditionalFormatting>
  <conditionalFormatting sqref="N34:N39">
    <cfRule type="top10" dxfId="117" priority="11" rank="1"/>
    <cfRule type="top10" dxfId="116" priority="12" rank="2"/>
  </conditionalFormatting>
  <conditionalFormatting sqref="N49:N54">
    <cfRule type="top10" dxfId="115" priority="15" rank="1"/>
    <cfRule type="top10" dxfId="114" priority="16" rank="2"/>
  </conditionalFormatting>
  <conditionalFormatting sqref="N64:N67">
    <cfRule type="top10" dxfId="113" priority="19" rank="1"/>
    <cfRule type="top10" dxfId="112" priority="20" rank="2"/>
  </conditionalFormatting>
  <printOptions horizontalCentered="1" verticalCentered="1"/>
  <pageMargins left="0" right="0" top="0" bottom="0" header="0" footer="0"/>
  <pageSetup paperSize="9" scale="47" orientation="landscape" r:id="rId1"/>
  <headerFooter>
    <oddFooter>&amp;L_x000D_&amp;1#&amp;"Calibri"&amp;8&amp;K0000FF 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651D5-97DC-4F74-AF89-F73224934821}">
  <sheetPr>
    <pageSetUpPr fitToPage="1"/>
  </sheetPr>
  <dimension ref="A1:T71"/>
  <sheetViews>
    <sheetView showGridLines="0" zoomScale="70" zoomScaleNormal="70" workbookViewId="0">
      <pane xSplit="1" topLeftCell="B1" activePane="topRight" state="frozen"/>
      <selection pane="topRight" activeCell="F39" sqref="F39"/>
    </sheetView>
  </sheetViews>
  <sheetFormatPr defaultColWidth="9.1796875" defaultRowHeight="14.5" x14ac:dyDescent="0.35"/>
  <cols>
    <col min="1" max="1" width="35.81640625" style="131" customWidth="1"/>
    <col min="2" max="2" width="12.1796875" style="131" bestFit="1" customWidth="1"/>
    <col min="3" max="3" width="10.1796875" style="131" customWidth="1"/>
    <col min="4" max="4" width="12.54296875" style="131" bestFit="1" customWidth="1"/>
    <col min="5" max="5" width="16.453125" style="131" hidden="1" customWidth="1"/>
    <col min="6" max="6" width="40.81640625" style="131" customWidth="1"/>
    <col min="7" max="7" width="18.1796875" style="131" hidden="1" customWidth="1"/>
    <col min="8" max="8" width="13.453125" style="131" hidden="1" customWidth="1"/>
    <col min="9" max="9" width="17.81640625" style="131" hidden="1" customWidth="1"/>
    <col min="10" max="11" width="14.54296875" style="131" bestFit="1" customWidth="1"/>
    <col min="12" max="12" width="17.54296875" style="131" bestFit="1" customWidth="1"/>
    <col min="13" max="13" width="15.54296875" style="131" customWidth="1"/>
    <col min="14" max="14" width="17.1796875" style="131" customWidth="1"/>
    <col min="15" max="15" width="9.81640625" style="131" customWidth="1"/>
    <col min="16" max="16" width="60.81640625" style="141" customWidth="1"/>
    <col min="17" max="17" width="29.453125" style="131" customWidth="1"/>
    <col min="18" max="18" width="11.81640625" style="131" hidden="1" customWidth="1"/>
    <col min="19" max="19" width="13.1796875" style="131" hidden="1" customWidth="1"/>
    <col min="20" max="20" width="11.54296875" style="131" customWidth="1"/>
    <col min="21" max="21" width="12" style="131" customWidth="1"/>
    <col min="22" max="22" width="10" style="131" bestFit="1" customWidth="1"/>
    <col min="23" max="23" width="11.453125" style="131" customWidth="1"/>
    <col min="24" max="24" width="12.453125" style="131" customWidth="1"/>
    <col min="25" max="25" width="11.453125" style="131" customWidth="1"/>
    <col min="26" max="26" width="10" style="131" bestFit="1" customWidth="1"/>
    <col min="27" max="27" width="20.54296875" style="131" customWidth="1"/>
    <col min="28" max="16384" width="9.1796875" style="131"/>
  </cols>
  <sheetData>
    <row r="1" spans="1:20" x14ac:dyDescent="0.35">
      <c r="D1" s="186"/>
      <c r="E1" s="186"/>
      <c r="F1" s="186"/>
      <c r="K1" s="186"/>
      <c r="P1" s="229"/>
    </row>
    <row r="2" spans="1:20" ht="25.5" customHeight="1" x14ac:dyDescent="0.35">
      <c r="A2" s="135" t="s">
        <v>235</v>
      </c>
      <c r="B2" s="135"/>
      <c r="C2" s="136"/>
      <c r="D2" s="136"/>
      <c r="E2" s="136"/>
      <c r="F2" s="136"/>
      <c r="G2" s="136"/>
      <c r="H2" s="136"/>
      <c r="I2" s="136"/>
      <c r="J2" s="138" t="s">
        <v>17</v>
      </c>
      <c r="K2" s="139" t="s">
        <v>18</v>
      </c>
      <c r="L2" s="136"/>
      <c r="M2" s="188"/>
      <c r="N2" s="188"/>
      <c r="O2" s="136"/>
      <c r="P2" s="230"/>
    </row>
    <row r="3" spans="1:20" ht="15.5" customHeight="1" thickBot="1" x14ac:dyDescent="0.4">
      <c r="A3" s="135" t="s">
        <v>245</v>
      </c>
      <c r="B3" s="135"/>
      <c r="C3" s="136"/>
      <c r="D3" s="136"/>
      <c r="E3" s="136"/>
      <c r="F3" s="136"/>
      <c r="G3" s="136"/>
      <c r="H3" s="136"/>
      <c r="I3" s="136"/>
      <c r="J3" s="135"/>
      <c r="K3" s="135"/>
      <c r="L3" s="136"/>
      <c r="M3" s="188"/>
      <c r="N3" s="188"/>
      <c r="O3" s="136"/>
      <c r="P3" s="230"/>
    </row>
    <row r="4" spans="1:20" ht="15" thickBot="1" x14ac:dyDescent="0.4">
      <c r="A4" s="377"/>
      <c r="B4" s="378"/>
      <c r="C4" s="378"/>
      <c r="D4" s="378"/>
      <c r="E4" s="350" t="s">
        <v>80</v>
      </c>
      <c r="F4" s="351"/>
      <c r="G4" s="351"/>
      <c r="H4" s="352"/>
      <c r="I4" s="353" t="s">
        <v>81</v>
      </c>
      <c r="J4" s="354"/>
      <c r="K4" s="354"/>
      <c r="L4" s="354"/>
      <c r="M4" s="354"/>
      <c r="N4" s="355"/>
      <c r="O4" s="135"/>
      <c r="P4" s="230"/>
    </row>
    <row r="5" spans="1:20" s="132" customFormat="1" ht="44"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O5" s="155"/>
      <c r="P5" s="206" t="s">
        <v>15</v>
      </c>
      <c r="Q5" s="131"/>
      <c r="R5" s="132" t="s">
        <v>297</v>
      </c>
      <c r="S5" s="132" t="s">
        <v>298</v>
      </c>
      <c r="T5" s="131"/>
    </row>
    <row r="6" spans="1:20" ht="14.9" customHeight="1" x14ac:dyDescent="0.35">
      <c r="A6" s="156" t="s">
        <v>151</v>
      </c>
      <c r="B6" s="207">
        <v>20</v>
      </c>
      <c r="C6" s="208">
        <v>23996.6</v>
      </c>
      <c r="D6" s="208">
        <f>10*C6</f>
        <v>239966</v>
      </c>
      <c r="E6" s="208">
        <v>266362</v>
      </c>
      <c r="F6" s="212" t="str">
        <f>IF(E6&gt;=D6,"Yes","No")</f>
        <v>Yes</v>
      </c>
      <c r="G6" s="208">
        <v>115236</v>
      </c>
      <c r="H6" s="208">
        <f t="shared" ref="H6:H11" si="0">E6+G6</f>
        <v>381598</v>
      </c>
      <c r="I6" s="209">
        <f>1820*12</f>
        <v>21840</v>
      </c>
      <c r="J6" s="209">
        <f>I6*20</f>
        <v>436800</v>
      </c>
      <c r="K6" s="208">
        <f>140960+354680</f>
        <v>495640</v>
      </c>
      <c r="L6" s="208">
        <f>J6+K6</f>
        <v>932440</v>
      </c>
      <c r="M6" s="210">
        <v>1.66E-2</v>
      </c>
      <c r="N6" s="220">
        <v>3.8300000000000001E-2</v>
      </c>
      <c r="P6" s="363" t="s">
        <v>133</v>
      </c>
      <c r="R6" s="132" t="str" cm="1">
        <f t="array" ref="R6">INDEX(A6:A11,MATCH(MAX(M6:M11),M6:M11,0),0)</f>
        <v>Singlife Flexi Retirement (II)</v>
      </c>
      <c r="S6" s="132" t="str" cm="1">
        <f t="array" ref="S6">INDEX(A6:A11,MATCH(MAX(N6:N11),N6:N11,0),0)</f>
        <v>China Taiping i-Retire (II)</v>
      </c>
    </row>
    <row r="7" spans="1:20" ht="14.9" customHeight="1" x14ac:dyDescent="0.35">
      <c r="A7" s="164" t="s">
        <v>64</v>
      </c>
      <c r="B7" s="165">
        <v>20</v>
      </c>
      <c r="C7" s="173">
        <v>23857.599999999999</v>
      </c>
      <c r="D7" s="173">
        <f t="shared" ref="D7:D11" si="1">10*C7</f>
        <v>238576</v>
      </c>
      <c r="E7" s="173">
        <v>248309</v>
      </c>
      <c r="F7" s="212" t="str">
        <f>IF(E7&gt;=D7,"Yes","No")</f>
        <v>Yes</v>
      </c>
      <c r="G7" s="173">
        <v>46379</v>
      </c>
      <c r="H7" s="212">
        <f t="shared" si="0"/>
        <v>294688</v>
      </c>
      <c r="I7" s="212">
        <v>14880</v>
      </c>
      <c r="J7" s="212">
        <v>386880</v>
      </c>
      <c r="K7" s="212">
        <f>L7-J7</f>
        <v>638143</v>
      </c>
      <c r="L7" s="173">
        <v>1025023</v>
      </c>
      <c r="M7" s="213">
        <v>1.2999999999999999E-2</v>
      </c>
      <c r="N7" s="224">
        <v>4.02E-2</v>
      </c>
      <c r="P7" s="364"/>
      <c r="R7" s="132" t="str" cm="1">
        <f t="array" ref="R7">INDEX(A21:A24,MATCH(MAX(M21:M24),M21:M24,0),0)</f>
        <v>Singlife Flexi Retirement (II)</v>
      </c>
      <c r="S7" s="132" t="str" cm="1">
        <f t="array" ref="S7">INDEX(A21:A24,MATCH(MAX(N21:N24),N21:N24,0),0)</f>
        <v>China Life Prosperous Retirement</v>
      </c>
    </row>
    <row r="8" spans="1:20" ht="14.9" customHeight="1" x14ac:dyDescent="0.35">
      <c r="A8" s="164" t="s">
        <v>67</v>
      </c>
      <c r="B8" s="165">
        <v>20</v>
      </c>
      <c r="C8" s="212">
        <v>24000</v>
      </c>
      <c r="D8" s="212">
        <f t="shared" si="1"/>
        <v>240000</v>
      </c>
      <c r="E8" s="212">
        <v>240000</v>
      </c>
      <c r="F8" s="212" t="str">
        <f>IF(E8&gt;=D8,"Yes","No")</f>
        <v>Yes</v>
      </c>
      <c r="G8" s="173">
        <v>55200</v>
      </c>
      <c r="H8" s="212">
        <f t="shared" si="0"/>
        <v>295200</v>
      </c>
      <c r="I8" s="212">
        <f>1765.68*12</f>
        <v>21188.16</v>
      </c>
      <c r="J8" s="212">
        <f t="shared" ref="J8:J11" si="2">I8*20</f>
        <v>423763.20000000001</v>
      </c>
      <c r="K8" s="173">
        <v>643795</v>
      </c>
      <c r="L8" s="173">
        <f t="shared" ref="L8:L11" si="3">J8+K8</f>
        <v>1067558.2</v>
      </c>
      <c r="M8" s="223">
        <v>1.5800000000000002E-2</v>
      </c>
      <c r="N8" s="221">
        <v>4.24E-2</v>
      </c>
      <c r="P8" s="364"/>
      <c r="R8" s="132" t="str" cm="1">
        <f t="array" ref="R8">INDEX(A34:A39,MATCH(MAX(M34:M39),M34:M39,0),0)</f>
        <v>China Life Prosperous Retirement</v>
      </c>
      <c r="S8" s="132" t="str" cm="1">
        <f t="array" ref="S8">INDEX(A34:A39,MATCH(MAX(N34:N39),N34:N39,0),0)</f>
        <v>China Taiping i-Retire (II)</v>
      </c>
    </row>
    <row r="9" spans="1:20" ht="14.9" customHeight="1" x14ac:dyDescent="0.35">
      <c r="A9" s="164" t="s">
        <v>26</v>
      </c>
      <c r="B9" s="165">
        <v>20</v>
      </c>
      <c r="C9" s="173">
        <v>24024.3</v>
      </c>
      <c r="D9" s="173">
        <f t="shared" si="1"/>
        <v>240243</v>
      </c>
      <c r="E9" s="173">
        <v>240254</v>
      </c>
      <c r="F9" s="212" t="str">
        <f t="shared" ref="F9:F11" si="4">IF(E9&gt;=D9,"Yes","No")</f>
        <v>Yes</v>
      </c>
      <c r="G9" s="173">
        <v>144592</v>
      </c>
      <c r="H9" s="173">
        <f t="shared" si="0"/>
        <v>384846</v>
      </c>
      <c r="I9" s="212">
        <v>16800</v>
      </c>
      <c r="J9" s="212">
        <f t="shared" si="2"/>
        <v>336000</v>
      </c>
      <c r="K9" s="173">
        <f>L9-J9</f>
        <v>596188</v>
      </c>
      <c r="L9" s="173">
        <v>932188</v>
      </c>
      <c r="M9" s="213">
        <v>9.4000000000000004E-3</v>
      </c>
      <c r="N9" s="224">
        <v>3.49E-2</v>
      </c>
      <c r="P9" s="364"/>
      <c r="R9" s="132" t="str" cm="1">
        <f t="array" ref="R9">INDEX(A49:A54,MATCH(MAX(M49:M54),M49:M54,0),0)</f>
        <v>China Life Prosperous Retirement</v>
      </c>
      <c r="S9" s="132" t="str" cm="1">
        <f t="array" ref="S9">INDEX(A49:A54,MATCH(MAX(N49:N54),N49:N54,0),0)</f>
        <v>China Taiping i-Retire (II)</v>
      </c>
    </row>
    <row r="10" spans="1:20" x14ac:dyDescent="0.35">
      <c r="A10" s="164" t="s">
        <v>27</v>
      </c>
      <c r="B10" s="165">
        <v>20</v>
      </c>
      <c r="C10" s="173">
        <v>23969.16</v>
      </c>
      <c r="D10" s="173">
        <f t="shared" si="1"/>
        <v>239691.6</v>
      </c>
      <c r="E10" s="173">
        <v>239692</v>
      </c>
      <c r="F10" s="212" t="str">
        <f t="shared" si="4"/>
        <v>Yes</v>
      </c>
      <c r="G10" s="173">
        <v>50428</v>
      </c>
      <c r="H10" s="173">
        <f t="shared" si="0"/>
        <v>290120</v>
      </c>
      <c r="I10" s="173">
        <v>16680</v>
      </c>
      <c r="J10" s="173">
        <f t="shared" si="2"/>
        <v>333600</v>
      </c>
      <c r="K10" s="173">
        <v>603508</v>
      </c>
      <c r="L10" s="173">
        <f t="shared" si="3"/>
        <v>937108</v>
      </c>
      <c r="M10" s="213">
        <v>9.1000000000000004E-3</v>
      </c>
      <c r="N10" s="224">
        <v>3.85E-2</v>
      </c>
      <c r="P10" s="364"/>
      <c r="R10" s="132" t="str" cm="1">
        <f t="array" ref="R10">INDEX(A64:A67,MATCH(MAX(M64:M67),M64:M67,0),0)</f>
        <v>Singlife Flexi Retirement (II)</v>
      </c>
      <c r="S10" s="132" t="str" cm="1">
        <f t="array" ref="S10">INDEX(A64:A67,MATCH(MAX(N64:N67),N64:N67,0),0)</f>
        <v>China Life Prosperous Retirement</v>
      </c>
    </row>
    <row r="11" spans="1:20" ht="15" thickBot="1" x14ac:dyDescent="0.4">
      <c r="A11" s="168" t="s">
        <v>54</v>
      </c>
      <c r="B11" s="169">
        <v>20</v>
      </c>
      <c r="C11" s="217">
        <v>24000</v>
      </c>
      <c r="D11" s="217">
        <f t="shared" si="1"/>
        <v>240000</v>
      </c>
      <c r="E11" s="217">
        <v>245470</v>
      </c>
      <c r="F11" s="231" t="str">
        <f t="shared" si="4"/>
        <v>Yes</v>
      </c>
      <c r="G11" s="217">
        <v>36084</v>
      </c>
      <c r="H11" s="217">
        <f t="shared" si="0"/>
        <v>281554</v>
      </c>
      <c r="I11" s="217">
        <f>1519.75*12</f>
        <v>18237</v>
      </c>
      <c r="J11" s="217">
        <f t="shared" si="2"/>
        <v>364740</v>
      </c>
      <c r="K11" s="217">
        <v>657115</v>
      </c>
      <c r="L11" s="217">
        <f t="shared" si="3"/>
        <v>1021855</v>
      </c>
      <c r="M11" s="225">
        <v>1.1599999999999999E-2</v>
      </c>
      <c r="N11" s="226">
        <v>4.1099999999999998E-2</v>
      </c>
      <c r="P11" s="364"/>
    </row>
    <row r="12" spans="1:20" x14ac:dyDescent="0.35">
      <c r="A12" s="135" t="s">
        <v>49</v>
      </c>
      <c r="C12" s="173"/>
      <c r="D12" s="173"/>
      <c r="E12" s="173"/>
      <c r="F12" s="173"/>
      <c r="G12" s="173"/>
      <c r="H12" s="173"/>
      <c r="I12" s="173"/>
      <c r="J12" s="173"/>
      <c r="K12" s="173"/>
      <c r="L12" s="173"/>
      <c r="M12" s="174"/>
      <c r="N12" s="174"/>
      <c r="P12" s="364"/>
    </row>
    <row r="13" spans="1:20" x14ac:dyDescent="0.35">
      <c r="A13" s="131" t="s">
        <v>95</v>
      </c>
      <c r="C13" s="173"/>
      <c r="D13" s="173"/>
      <c r="E13" s="173"/>
      <c r="F13" s="173"/>
      <c r="G13" s="173"/>
      <c r="H13" s="173"/>
      <c r="I13" s="173"/>
      <c r="J13" s="173"/>
      <c r="K13" s="173"/>
      <c r="L13" s="173"/>
      <c r="M13" s="174"/>
      <c r="N13" s="174"/>
      <c r="P13" s="364"/>
    </row>
    <row r="14" spans="1:20" x14ac:dyDescent="0.35">
      <c r="A14" s="131" t="s">
        <v>96</v>
      </c>
      <c r="C14" s="173"/>
      <c r="D14" s="173"/>
      <c r="E14" s="173"/>
      <c r="F14" s="173"/>
      <c r="G14" s="173"/>
      <c r="H14" s="173"/>
      <c r="I14" s="173"/>
      <c r="J14" s="173"/>
      <c r="K14" s="173"/>
      <c r="L14" s="173"/>
      <c r="M14" s="174"/>
      <c r="N14" s="174"/>
      <c r="P14" s="364"/>
    </row>
    <row r="15" spans="1:20" x14ac:dyDescent="0.35">
      <c r="A15" s="131" t="s">
        <v>130</v>
      </c>
      <c r="C15" s="173"/>
      <c r="D15" s="173"/>
      <c r="E15" s="173"/>
      <c r="F15" s="173"/>
      <c r="G15" s="173"/>
      <c r="H15" s="173"/>
      <c r="I15" s="173"/>
      <c r="J15" s="173"/>
      <c r="K15" s="173"/>
      <c r="L15" s="173"/>
      <c r="M15" s="174"/>
      <c r="N15" s="174"/>
      <c r="P15" s="364"/>
    </row>
    <row r="16" spans="1:20" x14ac:dyDescent="0.35">
      <c r="C16" s="173"/>
      <c r="D16" s="173"/>
      <c r="E16" s="173"/>
      <c r="F16" s="173"/>
      <c r="G16" s="173"/>
      <c r="H16" s="173"/>
      <c r="I16" s="173"/>
      <c r="J16" s="173"/>
      <c r="K16" s="173"/>
      <c r="L16" s="173"/>
      <c r="M16" s="174"/>
      <c r="N16" s="174"/>
      <c r="P16" s="364"/>
    </row>
    <row r="17" spans="1:19" ht="25.4" customHeight="1" x14ac:dyDescent="0.35">
      <c r="A17" s="135" t="s">
        <v>237</v>
      </c>
      <c r="B17" s="135"/>
      <c r="C17" s="136"/>
      <c r="D17" s="136"/>
      <c r="E17" s="136"/>
      <c r="F17" s="136"/>
      <c r="G17" s="136"/>
      <c r="H17" s="136"/>
      <c r="I17" s="136"/>
      <c r="J17" s="138" t="s">
        <v>17</v>
      </c>
      <c r="K17" s="139" t="s">
        <v>18</v>
      </c>
      <c r="L17" s="136"/>
      <c r="M17" s="188"/>
      <c r="N17" s="188"/>
      <c r="P17" s="364"/>
    </row>
    <row r="18" spans="1:19" ht="18" customHeight="1" thickBot="1" x14ac:dyDescent="0.4">
      <c r="A18" s="135" t="s">
        <v>246</v>
      </c>
      <c r="B18" s="135"/>
      <c r="C18" s="136"/>
      <c r="D18" s="136"/>
      <c r="E18" s="136"/>
      <c r="F18" s="136"/>
      <c r="G18" s="136"/>
      <c r="H18" s="136"/>
      <c r="I18" s="136"/>
      <c r="J18" s="135"/>
      <c r="K18" s="135"/>
      <c r="L18" s="136"/>
      <c r="M18" s="188"/>
      <c r="N18" s="188"/>
      <c r="P18" s="364"/>
    </row>
    <row r="19" spans="1:19" ht="15" thickBot="1" x14ac:dyDescent="0.4">
      <c r="A19" s="377"/>
      <c r="B19" s="378"/>
      <c r="C19" s="378"/>
      <c r="D19" s="378"/>
      <c r="E19" s="350" t="s">
        <v>80</v>
      </c>
      <c r="F19" s="351"/>
      <c r="G19" s="351"/>
      <c r="H19" s="352"/>
      <c r="I19" s="353" t="s">
        <v>81</v>
      </c>
      <c r="J19" s="354"/>
      <c r="K19" s="354"/>
      <c r="L19" s="354"/>
      <c r="M19" s="354"/>
      <c r="N19" s="355"/>
      <c r="O19" s="135"/>
      <c r="P19" s="364"/>
    </row>
    <row r="20" spans="1:19"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P20" s="364"/>
      <c r="R20" s="132"/>
      <c r="S20" s="132"/>
    </row>
    <row r="21" spans="1:19" ht="15.75" customHeight="1" x14ac:dyDescent="0.35">
      <c r="A21" s="156" t="s">
        <v>151</v>
      </c>
      <c r="B21" s="207">
        <v>20</v>
      </c>
      <c r="C21" s="208">
        <v>24029.85</v>
      </c>
      <c r="D21" s="208">
        <f>20*C21</f>
        <v>480597</v>
      </c>
      <c r="E21" s="208">
        <v>533462</v>
      </c>
      <c r="F21" s="212" t="str">
        <f>IF(E21&gt;=D21,"Yes","No")</f>
        <v>Yes</v>
      </c>
      <c r="G21" s="208">
        <v>181921</v>
      </c>
      <c r="H21" s="208">
        <f>E21+G21</f>
        <v>715383</v>
      </c>
      <c r="I21" s="208">
        <f>3260*12</f>
        <v>39120</v>
      </c>
      <c r="J21" s="208">
        <f t="shared" ref="J21:J24" si="5">I21*20</f>
        <v>782400</v>
      </c>
      <c r="K21" s="208">
        <f>222520+503080</f>
        <v>725600</v>
      </c>
      <c r="L21" s="208">
        <f t="shared" ref="L21:L24" si="6">J21+K21</f>
        <v>1508000</v>
      </c>
      <c r="M21" s="210">
        <v>1.5599999999999999E-2</v>
      </c>
      <c r="N21" s="220">
        <v>3.6900000000000002E-2</v>
      </c>
      <c r="P21" s="364"/>
    </row>
    <row r="22" spans="1:19" ht="15.75" customHeight="1" x14ac:dyDescent="0.35">
      <c r="A22" s="164" t="s">
        <v>64</v>
      </c>
      <c r="B22" s="165">
        <v>20</v>
      </c>
      <c r="C22" s="173">
        <v>23961</v>
      </c>
      <c r="D22" s="173">
        <f t="shared" ref="D22:D24" si="7">20*C22</f>
        <v>479220</v>
      </c>
      <c r="E22" s="173">
        <v>486468</v>
      </c>
      <c r="F22" s="212" t="str">
        <f>IF(E22&gt;=D22,"Yes","No")</f>
        <v>Yes</v>
      </c>
      <c r="G22" s="173">
        <v>93162</v>
      </c>
      <c r="H22" s="212">
        <f>E22+G22</f>
        <v>579630</v>
      </c>
      <c r="I22" s="173">
        <v>24960</v>
      </c>
      <c r="J22" s="173">
        <v>648960</v>
      </c>
      <c r="K22" s="212">
        <f>L22-J22</f>
        <v>1084661</v>
      </c>
      <c r="L22" s="173">
        <v>1733621</v>
      </c>
      <c r="M22" s="213">
        <v>9.2999999999999992E-3</v>
      </c>
      <c r="N22" s="221">
        <v>4.0300000000000002E-2</v>
      </c>
      <c r="P22" s="364"/>
    </row>
    <row r="23" spans="1:19" x14ac:dyDescent="0.35">
      <c r="A23" s="164" t="s">
        <v>27</v>
      </c>
      <c r="B23" s="165">
        <v>20</v>
      </c>
      <c r="C23" s="173">
        <v>23924.25</v>
      </c>
      <c r="D23" s="173">
        <f t="shared" si="7"/>
        <v>478485</v>
      </c>
      <c r="E23" s="173">
        <f>D23</f>
        <v>478485</v>
      </c>
      <c r="F23" s="173" t="s">
        <v>45</v>
      </c>
      <c r="G23" s="173">
        <v>81102</v>
      </c>
      <c r="H23" s="173">
        <f>E23+G23</f>
        <v>559587</v>
      </c>
      <c r="I23" s="173">
        <f>29400</f>
        <v>29400</v>
      </c>
      <c r="J23" s="173">
        <f t="shared" si="5"/>
        <v>588000</v>
      </c>
      <c r="K23" s="173">
        <v>924088</v>
      </c>
      <c r="L23" s="173">
        <f t="shared" si="6"/>
        <v>1512088</v>
      </c>
      <c r="M23" s="213">
        <v>6.4999999999999997E-3</v>
      </c>
      <c r="N23" s="224">
        <v>3.7100000000000001E-2</v>
      </c>
      <c r="P23" s="364"/>
    </row>
    <row r="24" spans="1:19" ht="15" thickBot="1" x14ac:dyDescent="0.4">
      <c r="A24" s="168" t="s">
        <v>54</v>
      </c>
      <c r="B24" s="169">
        <v>20</v>
      </c>
      <c r="C24" s="217">
        <v>23999.95</v>
      </c>
      <c r="D24" s="217">
        <f t="shared" si="7"/>
        <v>479999</v>
      </c>
      <c r="E24" s="217">
        <v>491833</v>
      </c>
      <c r="F24" s="217" t="s">
        <v>45</v>
      </c>
      <c r="G24" s="217">
        <v>46724</v>
      </c>
      <c r="H24" s="217">
        <f>E24+G24</f>
        <v>538557</v>
      </c>
      <c r="I24" s="217">
        <f>2891.41*12</f>
        <v>34696.92</v>
      </c>
      <c r="J24" s="217">
        <f t="shared" si="5"/>
        <v>693938.39999999991</v>
      </c>
      <c r="K24" s="217">
        <v>964990</v>
      </c>
      <c r="L24" s="217">
        <f t="shared" si="6"/>
        <v>1658928.4</v>
      </c>
      <c r="M24" s="218">
        <v>1.18E-2</v>
      </c>
      <c r="N24" s="222">
        <v>4.02E-2</v>
      </c>
      <c r="P24" s="364"/>
    </row>
    <row r="25" spans="1:19" x14ac:dyDescent="0.35">
      <c r="A25" s="135" t="s">
        <v>49</v>
      </c>
      <c r="C25" s="173"/>
      <c r="D25" s="216"/>
      <c r="E25" s="212"/>
      <c r="F25" s="212"/>
      <c r="G25" s="212"/>
      <c r="H25" s="212"/>
      <c r="I25" s="173"/>
      <c r="J25" s="173"/>
      <c r="K25" s="173"/>
      <c r="L25" s="173"/>
      <c r="M25" s="232"/>
      <c r="N25" s="233"/>
      <c r="P25" s="364"/>
    </row>
    <row r="26" spans="1:19" x14ac:dyDescent="0.35">
      <c r="A26" s="131" t="s">
        <v>70</v>
      </c>
      <c r="C26" s="173"/>
      <c r="D26" s="216"/>
      <c r="E26" s="212"/>
      <c r="F26" s="212"/>
      <c r="G26" s="212"/>
      <c r="H26" s="212"/>
      <c r="I26" s="186"/>
      <c r="J26" s="186"/>
      <c r="K26" s="186"/>
      <c r="L26" s="186"/>
      <c r="M26" s="174"/>
      <c r="N26" s="174"/>
      <c r="P26" s="364"/>
    </row>
    <row r="27" spans="1:19" x14ac:dyDescent="0.35">
      <c r="A27" s="131" t="s">
        <v>97</v>
      </c>
      <c r="C27" s="173"/>
      <c r="D27" s="216"/>
      <c r="E27" s="212"/>
      <c r="F27" s="212"/>
      <c r="G27" s="212"/>
      <c r="H27" s="212"/>
      <c r="I27" s="186"/>
      <c r="J27" s="186"/>
      <c r="K27" s="186"/>
      <c r="L27" s="186"/>
      <c r="M27" s="174"/>
      <c r="N27" s="174"/>
      <c r="P27" s="364"/>
    </row>
    <row r="28" spans="1:19" x14ac:dyDescent="0.35">
      <c r="A28" s="131" t="s">
        <v>98</v>
      </c>
      <c r="C28" s="173"/>
      <c r="D28" s="216"/>
      <c r="E28" s="212"/>
      <c r="F28" s="212"/>
      <c r="G28" s="212"/>
      <c r="H28" s="212"/>
      <c r="I28" s="186"/>
      <c r="J28" s="186"/>
      <c r="K28" s="186"/>
      <c r="L28" s="186"/>
      <c r="M28" s="174"/>
      <c r="N28" s="174"/>
      <c r="P28" s="364"/>
    </row>
    <row r="29" spans="1:19" x14ac:dyDescent="0.35">
      <c r="C29" s="173"/>
      <c r="D29" s="216"/>
      <c r="E29" s="212"/>
      <c r="F29" s="212"/>
      <c r="G29" s="212"/>
      <c r="H29" s="212"/>
      <c r="I29" s="186"/>
      <c r="J29" s="186"/>
      <c r="K29" s="186"/>
      <c r="L29" s="186"/>
      <c r="M29" s="174"/>
      <c r="N29" s="174"/>
      <c r="P29" s="364"/>
    </row>
    <row r="30" spans="1:19" ht="23" customHeight="1" x14ac:dyDescent="0.35">
      <c r="A30" s="135" t="s">
        <v>239</v>
      </c>
      <c r="B30" s="135"/>
      <c r="C30" s="136"/>
      <c r="D30" s="136"/>
      <c r="E30" s="136"/>
      <c r="F30" s="136"/>
      <c r="G30" s="136"/>
      <c r="H30" s="136"/>
      <c r="I30" s="136"/>
      <c r="J30" s="138" t="s">
        <v>17</v>
      </c>
      <c r="K30" s="139" t="s">
        <v>18</v>
      </c>
      <c r="L30" s="136"/>
      <c r="M30" s="188"/>
      <c r="N30" s="188"/>
      <c r="P30" s="364"/>
    </row>
    <row r="31" spans="1:19" ht="17.149999999999999" customHeight="1" thickBot="1" x14ac:dyDescent="0.4">
      <c r="A31" s="135" t="s">
        <v>247</v>
      </c>
      <c r="B31" s="135"/>
      <c r="C31" s="136"/>
      <c r="D31" s="136"/>
      <c r="E31" s="136"/>
      <c r="F31" s="136"/>
      <c r="G31" s="136"/>
      <c r="H31" s="136"/>
      <c r="I31" s="136"/>
      <c r="J31" s="135"/>
      <c r="K31" s="135"/>
      <c r="L31" s="136"/>
      <c r="M31" s="188"/>
      <c r="N31" s="188"/>
      <c r="P31" s="364"/>
    </row>
    <row r="32" spans="1:19" ht="15" thickBot="1" x14ac:dyDescent="0.4">
      <c r="A32" s="377"/>
      <c r="B32" s="378"/>
      <c r="C32" s="378"/>
      <c r="D32" s="378"/>
      <c r="E32" s="350" t="s">
        <v>80</v>
      </c>
      <c r="F32" s="351"/>
      <c r="G32" s="351"/>
      <c r="H32" s="352"/>
      <c r="I32" s="353" t="s">
        <v>81</v>
      </c>
      <c r="J32" s="354"/>
      <c r="K32" s="354"/>
      <c r="L32" s="354"/>
      <c r="M32" s="354"/>
      <c r="N32" s="355"/>
      <c r="O32" s="135"/>
      <c r="P32" s="364"/>
    </row>
    <row r="33" spans="1:19" ht="44" thickBot="1" x14ac:dyDescent="0.4">
      <c r="A33" s="144" t="s">
        <v>7</v>
      </c>
      <c r="B33" s="175" t="s">
        <v>10</v>
      </c>
      <c r="C33" s="203" t="s">
        <v>8</v>
      </c>
      <c r="D33" s="204" t="s">
        <v>9</v>
      </c>
      <c r="E33" s="177" t="s">
        <v>77</v>
      </c>
      <c r="F33" s="178" t="s">
        <v>82</v>
      </c>
      <c r="G33" s="178" t="s">
        <v>78</v>
      </c>
      <c r="H33" s="205" t="s">
        <v>83</v>
      </c>
      <c r="I33" s="180" t="s">
        <v>11</v>
      </c>
      <c r="J33" s="181" t="s">
        <v>12</v>
      </c>
      <c r="K33" s="181" t="s">
        <v>13</v>
      </c>
      <c r="L33" s="182" t="s">
        <v>14</v>
      </c>
      <c r="M33" s="180" t="s">
        <v>84</v>
      </c>
      <c r="N33" s="182" t="s">
        <v>85</v>
      </c>
      <c r="P33" s="364"/>
      <c r="R33" s="132"/>
      <c r="S33" s="132"/>
    </row>
    <row r="34" spans="1:19" ht="15.75" customHeight="1" x14ac:dyDescent="0.35">
      <c r="A34" s="156" t="s">
        <v>151</v>
      </c>
      <c r="B34" s="207">
        <v>20</v>
      </c>
      <c r="C34" s="208">
        <v>24030.55</v>
      </c>
      <c r="D34" s="208">
        <f t="shared" ref="D34:D39" si="8">5*C34</f>
        <v>120152.75</v>
      </c>
      <c r="E34" s="208">
        <v>130365</v>
      </c>
      <c r="F34" s="212" t="str">
        <f>IF(E34&gt;=D34,"Yes","No")</f>
        <v>Yes</v>
      </c>
      <c r="G34" s="208">
        <v>51128</v>
      </c>
      <c r="H34" s="208">
        <f t="shared" ref="H34:H39" si="9">E34+G34</f>
        <v>181493</v>
      </c>
      <c r="I34" s="208">
        <f>820*12</f>
        <v>9840</v>
      </c>
      <c r="J34" s="208">
        <f t="shared" ref="J34:J39" si="10">I34*20</f>
        <v>196800</v>
      </c>
      <c r="K34" s="208">
        <f>62540+153700</f>
        <v>216240</v>
      </c>
      <c r="L34" s="208">
        <f t="shared" ref="L34:L39" si="11">J34+K34</f>
        <v>413040</v>
      </c>
      <c r="M34" s="234">
        <v>1.47E-2</v>
      </c>
      <c r="N34" s="220">
        <v>3.7600000000000001E-2</v>
      </c>
      <c r="P34" s="364"/>
    </row>
    <row r="35" spans="1:19" ht="15.75" customHeight="1" x14ac:dyDescent="0.35">
      <c r="A35" s="164" t="s">
        <v>64</v>
      </c>
      <c r="B35" s="165">
        <v>20</v>
      </c>
      <c r="C35" s="173">
        <v>23827</v>
      </c>
      <c r="D35" s="173">
        <f t="shared" si="8"/>
        <v>119135</v>
      </c>
      <c r="E35" s="173">
        <v>129038</v>
      </c>
      <c r="F35" s="212" t="str">
        <f>IF(E35&gt;=D35,"Yes","No")</f>
        <v>Yes</v>
      </c>
      <c r="G35" s="173">
        <v>20000</v>
      </c>
      <c r="H35" s="212">
        <f t="shared" si="9"/>
        <v>149038</v>
      </c>
      <c r="I35" s="173">
        <v>8520</v>
      </c>
      <c r="J35" s="173">
        <v>217260</v>
      </c>
      <c r="K35" s="212">
        <f>L35-J35</f>
        <v>250206</v>
      </c>
      <c r="L35" s="173">
        <v>467466</v>
      </c>
      <c r="M35" s="223">
        <v>1.7500000000000002E-2</v>
      </c>
      <c r="N35" s="224">
        <v>4.07E-2</v>
      </c>
      <c r="P35" s="364"/>
    </row>
    <row r="36" spans="1:19" ht="15.75" customHeight="1" x14ac:dyDescent="0.35">
      <c r="A36" s="164" t="s">
        <v>67</v>
      </c>
      <c r="B36" s="165">
        <v>20</v>
      </c>
      <c r="C36" s="173">
        <v>24000</v>
      </c>
      <c r="D36" s="173">
        <f t="shared" si="8"/>
        <v>120000</v>
      </c>
      <c r="E36" s="173">
        <v>120000</v>
      </c>
      <c r="F36" s="173" t="str">
        <f>IF(E36&gt;=D36,"Yes","No")</f>
        <v>Yes</v>
      </c>
      <c r="G36" s="173">
        <v>33600</v>
      </c>
      <c r="H36" s="212">
        <f t="shared" si="9"/>
        <v>153600</v>
      </c>
      <c r="I36" s="173">
        <f>856.68*12</f>
        <v>10280.16</v>
      </c>
      <c r="J36" s="212">
        <f t="shared" si="10"/>
        <v>205603.20000000001</v>
      </c>
      <c r="K36" s="173">
        <v>272966</v>
      </c>
      <c r="L36" s="173">
        <f t="shared" si="11"/>
        <v>478569.2</v>
      </c>
      <c r="M36" s="223">
        <v>1.61E-2</v>
      </c>
      <c r="N36" s="221">
        <v>4.24E-2</v>
      </c>
      <c r="P36" s="364"/>
    </row>
    <row r="37" spans="1:19" x14ac:dyDescent="0.35">
      <c r="A37" s="164" t="s">
        <v>26</v>
      </c>
      <c r="B37" s="165">
        <v>20</v>
      </c>
      <c r="C37" s="173">
        <v>24762.7</v>
      </c>
      <c r="D37" s="173">
        <f t="shared" si="8"/>
        <v>123813.5</v>
      </c>
      <c r="E37" s="173">
        <v>123816</v>
      </c>
      <c r="F37" s="173" t="s">
        <v>45</v>
      </c>
      <c r="G37" s="173">
        <v>60844</v>
      </c>
      <c r="H37" s="173">
        <f t="shared" si="9"/>
        <v>184660</v>
      </c>
      <c r="I37" s="173">
        <v>8400</v>
      </c>
      <c r="J37" s="173">
        <f t="shared" si="10"/>
        <v>168000</v>
      </c>
      <c r="K37" s="173">
        <f>L37-J37</f>
        <v>263884.79999999999</v>
      </c>
      <c r="L37" s="173">
        <v>431884.79999999999</v>
      </c>
      <c r="M37" s="213">
        <v>9.1999999999999998E-3</v>
      </c>
      <c r="N37" s="224">
        <v>3.49E-2</v>
      </c>
      <c r="P37" s="364"/>
    </row>
    <row r="38" spans="1:19" x14ac:dyDescent="0.35">
      <c r="A38" s="164" t="s">
        <v>27</v>
      </c>
      <c r="B38" s="165">
        <v>20</v>
      </c>
      <c r="C38" s="173">
        <v>23688.06</v>
      </c>
      <c r="D38" s="173">
        <f t="shared" si="8"/>
        <v>118440.3</v>
      </c>
      <c r="E38" s="173">
        <v>118440</v>
      </c>
      <c r="F38" s="173" t="s">
        <v>45</v>
      </c>
      <c r="G38" s="173">
        <v>15669</v>
      </c>
      <c r="H38" s="173">
        <f t="shared" si="9"/>
        <v>134109</v>
      </c>
      <c r="I38" s="173">
        <v>7920</v>
      </c>
      <c r="J38" s="173">
        <f t="shared" si="10"/>
        <v>158400</v>
      </c>
      <c r="K38" s="173">
        <v>263668</v>
      </c>
      <c r="L38" s="173">
        <f t="shared" si="11"/>
        <v>422068</v>
      </c>
      <c r="M38" s="213">
        <v>8.6E-3</v>
      </c>
      <c r="N38" s="224">
        <v>3.8699999999999998E-2</v>
      </c>
      <c r="P38" s="364"/>
    </row>
    <row r="39" spans="1:19" ht="15" thickBot="1" x14ac:dyDescent="0.4">
      <c r="A39" s="168" t="s">
        <v>54</v>
      </c>
      <c r="B39" s="169">
        <v>20</v>
      </c>
      <c r="C39" s="231">
        <v>24000</v>
      </c>
      <c r="D39" s="231">
        <f t="shared" si="8"/>
        <v>120000</v>
      </c>
      <c r="E39" s="231">
        <v>120220</v>
      </c>
      <c r="F39" s="217" t="s">
        <v>45</v>
      </c>
      <c r="G39" s="231">
        <v>13946</v>
      </c>
      <c r="H39" s="231">
        <f t="shared" si="9"/>
        <v>134166</v>
      </c>
      <c r="I39" s="231">
        <f>753.19*12</f>
        <v>9038.2800000000007</v>
      </c>
      <c r="J39" s="231">
        <f t="shared" si="10"/>
        <v>180765.6</v>
      </c>
      <c r="K39" s="231">
        <v>285665</v>
      </c>
      <c r="L39" s="231">
        <f t="shared" si="11"/>
        <v>466430.6</v>
      </c>
      <c r="M39" s="225">
        <v>1.2200000000000001E-2</v>
      </c>
      <c r="N39" s="226">
        <v>4.1599999999999998E-2</v>
      </c>
      <c r="P39" s="365"/>
    </row>
    <row r="40" spans="1:19" x14ac:dyDescent="0.35">
      <c r="A40" s="135" t="s">
        <v>49</v>
      </c>
      <c r="C40" s="173"/>
      <c r="D40" s="173"/>
      <c r="E40" s="173"/>
      <c r="F40" s="173"/>
      <c r="G40" s="173"/>
      <c r="H40" s="173"/>
      <c r="I40" s="173"/>
      <c r="J40" s="173"/>
      <c r="K40" s="173"/>
      <c r="L40" s="173"/>
      <c r="M40" s="233"/>
      <c r="N40" s="233"/>
      <c r="P40" s="229"/>
    </row>
    <row r="41" spans="1:19" x14ac:dyDescent="0.35">
      <c r="A41" s="131" t="s">
        <v>95</v>
      </c>
      <c r="C41" s="173"/>
      <c r="D41" s="173"/>
      <c r="E41" s="173"/>
      <c r="F41" s="173"/>
      <c r="G41" s="173"/>
      <c r="H41" s="173"/>
      <c r="I41" s="173"/>
      <c r="J41" s="173"/>
      <c r="K41" s="173"/>
      <c r="L41" s="173"/>
      <c r="M41" s="233"/>
      <c r="N41" s="233"/>
      <c r="P41" s="229"/>
    </row>
    <row r="42" spans="1:19" x14ac:dyDescent="0.35">
      <c r="A42" s="131" t="s">
        <v>96</v>
      </c>
      <c r="C42" s="173"/>
      <c r="D42" s="173"/>
      <c r="E42" s="173"/>
      <c r="F42" s="173"/>
      <c r="G42" s="173"/>
      <c r="H42" s="173"/>
      <c r="I42" s="173"/>
      <c r="J42" s="173"/>
      <c r="K42" s="173"/>
      <c r="L42" s="173"/>
      <c r="M42" s="233"/>
      <c r="N42" s="233"/>
      <c r="P42" s="229"/>
    </row>
    <row r="43" spans="1:19" x14ac:dyDescent="0.35">
      <c r="A43" s="131" t="s">
        <v>130</v>
      </c>
      <c r="C43" s="173"/>
      <c r="D43" s="173"/>
      <c r="E43" s="173"/>
      <c r="F43" s="173"/>
      <c r="G43" s="173"/>
      <c r="H43" s="173"/>
      <c r="I43" s="173"/>
      <c r="J43" s="173"/>
      <c r="K43" s="173"/>
      <c r="L43" s="173"/>
      <c r="M43" s="233"/>
      <c r="N43" s="233"/>
      <c r="P43" s="229"/>
    </row>
    <row r="44" spans="1:19" x14ac:dyDescent="0.35">
      <c r="C44" s="173"/>
      <c r="D44" s="173"/>
      <c r="E44" s="173"/>
      <c r="F44" s="173"/>
      <c r="G44" s="173"/>
      <c r="H44" s="173"/>
      <c r="I44" s="173"/>
      <c r="J44" s="173"/>
      <c r="K44" s="173"/>
      <c r="L44" s="173"/>
      <c r="M44" s="233"/>
      <c r="N44" s="233"/>
      <c r="P44" s="229"/>
    </row>
    <row r="45" spans="1:19" ht="20.149999999999999" customHeight="1" x14ac:dyDescent="0.35">
      <c r="A45" s="135" t="s">
        <v>241</v>
      </c>
      <c r="B45" s="135"/>
      <c r="J45" s="138" t="s">
        <v>17</v>
      </c>
      <c r="K45" s="139" t="s">
        <v>18</v>
      </c>
      <c r="M45" s="188"/>
      <c r="N45" s="188"/>
      <c r="P45" s="227"/>
    </row>
    <row r="46" spans="1:19" ht="17.149999999999999" customHeight="1" thickBot="1" x14ac:dyDescent="0.4">
      <c r="A46" s="135" t="s">
        <v>248</v>
      </c>
      <c r="B46" s="135"/>
      <c r="J46" s="135"/>
      <c r="K46" s="135"/>
      <c r="M46" s="188"/>
      <c r="N46" s="188"/>
      <c r="P46" s="227"/>
    </row>
    <row r="47" spans="1:19" ht="15" thickBot="1" x14ac:dyDescent="0.4">
      <c r="A47" s="377"/>
      <c r="B47" s="378"/>
      <c r="C47" s="378"/>
      <c r="D47" s="378"/>
      <c r="E47" s="350" t="s">
        <v>80</v>
      </c>
      <c r="F47" s="351"/>
      <c r="G47" s="351"/>
      <c r="H47" s="352"/>
      <c r="I47" s="353" t="s">
        <v>81</v>
      </c>
      <c r="J47" s="354"/>
      <c r="K47" s="354"/>
      <c r="L47" s="354"/>
      <c r="M47" s="354"/>
      <c r="N47" s="355"/>
      <c r="O47" s="155"/>
      <c r="P47" s="227"/>
    </row>
    <row r="48" spans="1:19" ht="44" thickBot="1" x14ac:dyDescent="0.4">
      <c r="A48" s="144" t="s">
        <v>7</v>
      </c>
      <c r="B48" s="175" t="s">
        <v>10</v>
      </c>
      <c r="C48" s="203" t="s">
        <v>8</v>
      </c>
      <c r="D48" s="204" t="s">
        <v>9</v>
      </c>
      <c r="E48" s="177" t="s">
        <v>77</v>
      </c>
      <c r="F48" s="178" t="s">
        <v>82</v>
      </c>
      <c r="G48" s="178" t="s">
        <v>78</v>
      </c>
      <c r="H48" s="205" t="s">
        <v>83</v>
      </c>
      <c r="I48" s="180" t="s">
        <v>11</v>
      </c>
      <c r="J48" s="181" t="s">
        <v>12</v>
      </c>
      <c r="K48" s="181" t="s">
        <v>13</v>
      </c>
      <c r="L48" s="182" t="s">
        <v>14</v>
      </c>
      <c r="M48" s="180" t="s">
        <v>84</v>
      </c>
      <c r="N48" s="182" t="s">
        <v>85</v>
      </c>
      <c r="O48" s="135"/>
      <c r="P48" s="235"/>
    </row>
    <row r="49" spans="1:16" ht="15" customHeight="1" x14ac:dyDescent="0.35">
      <c r="A49" s="156" t="s">
        <v>151</v>
      </c>
      <c r="B49" s="207">
        <v>20</v>
      </c>
      <c r="C49" s="208">
        <v>24011.55</v>
      </c>
      <c r="D49" s="208">
        <f>10*C49</f>
        <v>240115.5</v>
      </c>
      <c r="E49" s="208">
        <v>260525</v>
      </c>
      <c r="F49" s="173" t="str">
        <f>IF(E49&gt;=D49,"Yes","No")</f>
        <v>Yes</v>
      </c>
      <c r="G49" s="208">
        <v>89982</v>
      </c>
      <c r="H49" s="208">
        <f>E49+G49</f>
        <v>350507</v>
      </c>
      <c r="I49" s="208">
        <f>1580*12</f>
        <v>18960</v>
      </c>
      <c r="J49" s="208">
        <f t="shared" ref="J49:J54" si="12">I49*20</f>
        <v>379200</v>
      </c>
      <c r="K49" s="208">
        <f>110060+229780</f>
        <v>339840</v>
      </c>
      <c r="L49" s="208">
        <f t="shared" ref="L49:L54" si="13">J49+K49</f>
        <v>719040</v>
      </c>
      <c r="M49" s="234">
        <v>1.47E-2</v>
      </c>
      <c r="N49" s="220">
        <v>3.5900000000000001E-2</v>
      </c>
      <c r="P49" s="381"/>
    </row>
    <row r="50" spans="1:16" ht="15" customHeight="1" x14ac:dyDescent="0.35">
      <c r="A50" s="164" t="s">
        <v>64</v>
      </c>
      <c r="B50" s="165">
        <v>20</v>
      </c>
      <c r="C50" s="173">
        <v>23961</v>
      </c>
      <c r="D50" s="173">
        <f t="shared" ref="D50:D54" si="14">10*C50</f>
        <v>239610</v>
      </c>
      <c r="E50" s="173">
        <v>253130</v>
      </c>
      <c r="F50" s="212" t="str">
        <f>IF(E50&gt;=D50,"Yes","No")</f>
        <v>Yes</v>
      </c>
      <c r="G50" s="173">
        <v>40111</v>
      </c>
      <c r="H50" s="212">
        <f>E50+G50</f>
        <v>293241</v>
      </c>
      <c r="I50" s="173">
        <v>15360</v>
      </c>
      <c r="J50" s="173">
        <v>391680</v>
      </c>
      <c r="K50" s="212">
        <f>L50-J50</f>
        <v>454920</v>
      </c>
      <c r="L50" s="173">
        <v>846600</v>
      </c>
      <c r="M50" s="223">
        <v>1.54E-2</v>
      </c>
      <c r="N50" s="224">
        <v>4.0300000000000002E-2</v>
      </c>
      <c r="P50" s="381"/>
    </row>
    <row r="51" spans="1:16" ht="15" customHeight="1" x14ac:dyDescent="0.35">
      <c r="A51" s="164" t="s">
        <v>67</v>
      </c>
      <c r="B51" s="165">
        <v>20</v>
      </c>
      <c r="C51" s="173">
        <v>24000</v>
      </c>
      <c r="D51" s="173">
        <f t="shared" si="14"/>
        <v>240000</v>
      </c>
      <c r="E51" s="173">
        <v>240000</v>
      </c>
      <c r="F51" s="173" t="str">
        <f>IF(E51&gt;=D51,"Yes","No")</f>
        <v>Yes</v>
      </c>
      <c r="G51" s="173">
        <v>43200</v>
      </c>
      <c r="H51" s="173">
        <f>SUM(E51,G51)</f>
        <v>283200</v>
      </c>
      <c r="I51" s="173">
        <f>1593.12*12</f>
        <v>19117.439999999999</v>
      </c>
      <c r="J51" s="212">
        <f t="shared" si="12"/>
        <v>382348.79999999999</v>
      </c>
      <c r="K51" s="173">
        <v>477504</v>
      </c>
      <c r="L51" s="173">
        <f t="shared" si="13"/>
        <v>859852.80000000005</v>
      </c>
      <c r="M51" s="223">
        <v>1.4999999999999999E-2</v>
      </c>
      <c r="N51" s="221">
        <v>4.2099999999999999E-2</v>
      </c>
      <c r="P51" s="381"/>
    </row>
    <row r="52" spans="1:16" ht="15" customHeight="1" x14ac:dyDescent="0.35">
      <c r="A52" s="164" t="s">
        <v>26</v>
      </c>
      <c r="B52" s="165">
        <v>20</v>
      </c>
      <c r="C52" s="173">
        <v>24316.6</v>
      </c>
      <c r="D52" s="173">
        <f t="shared" si="14"/>
        <v>243166</v>
      </c>
      <c r="E52" s="173">
        <v>243176</v>
      </c>
      <c r="F52" s="173" t="s">
        <v>45</v>
      </c>
      <c r="G52" s="173">
        <v>105326</v>
      </c>
      <c r="H52" s="173">
        <f>E52+G52</f>
        <v>348502</v>
      </c>
      <c r="I52" s="173">
        <v>16200</v>
      </c>
      <c r="J52" s="173">
        <f t="shared" si="12"/>
        <v>324000</v>
      </c>
      <c r="K52" s="173">
        <v>184615.2</v>
      </c>
      <c r="L52" s="173">
        <v>768693.2</v>
      </c>
      <c r="M52" s="213">
        <v>9.2999999999999992E-3</v>
      </c>
      <c r="N52" s="224">
        <v>3.4799999999999998E-2</v>
      </c>
      <c r="P52" s="381"/>
    </row>
    <row r="53" spans="1:16" x14ac:dyDescent="0.35">
      <c r="A53" s="164" t="s">
        <v>27</v>
      </c>
      <c r="B53" s="165">
        <v>20</v>
      </c>
      <c r="C53" s="173">
        <v>23819.9</v>
      </c>
      <c r="D53" s="173">
        <f t="shared" si="14"/>
        <v>238199</v>
      </c>
      <c r="E53" s="173">
        <f>D53</f>
        <v>238199</v>
      </c>
      <c r="F53" s="173" t="s">
        <v>45</v>
      </c>
      <c r="G53" s="173">
        <v>40286</v>
      </c>
      <c r="H53" s="173">
        <f>E53+G53</f>
        <v>278485</v>
      </c>
      <c r="I53" s="173">
        <f>1300*12</f>
        <v>15600</v>
      </c>
      <c r="J53" s="173">
        <f t="shared" si="12"/>
        <v>312000</v>
      </c>
      <c r="K53" s="173">
        <v>459912</v>
      </c>
      <c r="L53" s="173">
        <f t="shared" si="13"/>
        <v>771912</v>
      </c>
      <c r="M53" s="213">
        <v>8.6E-3</v>
      </c>
      <c r="N53" s="224">
        <v>3.85E-2</v>
      </c>
      <c r="O53" s="135"/>
      <c r="P53" s="227"/>
    </row>
    <row r="54" spans="1:16" ht="15" thickBot="1" x14ac:dyDescent="0.4">
      <c r="A54" s="168" t="s">
        <v>54</v>
      </c>
      <c r="B54" s="169">
        <v>20</v>
      </c>
      <c r="C54" s="231">
        <v>23999.95</v>
      </c>
      <c r="D54" s="231">
        <f t="shared" si="14"/>
        <v>239999.5</v>
      </c>
      <c r="E54" s="231">
        <v>245080</v>
      </c>
      <c r="F54" s="217" t="s">
        <v>45</v>
      </c>
      <c r="G54" s="231">
        <v>25733</v>
      </c>
      <c r="H54" s="231">
        <f>E54+G54</f>
        <v>270813</v>
      </c>
      <c r="I54" s="231">
        <f>1395.09*12</f>
        <v>16741.079999999998</v>
      </c>
      <c r="J54" s="231">
        <f t="shared" si="12"/>
        <v>334821.59999999998</v>
      </c>
      <c r="K54" s="231">
        <v>494062</v>
      </c>
      <c r="L54" s="231">
        <f t="shared" si="13"/>
        <v>828883.6</v>
      </c>
      <c r="M54" s="225">
        <v>1.0699999999999999E-2</v>
      </c>
      <c r="N54" s="226">
        <v>4.0800000000000003E-2</v>
      </c>
      <c r="O54" s="135"/>
      <c r="P54" s="227"/>
    </row>
    <row r="55" spans="1:16" x14ac:dyDescent="0.35">
      <c r="A55" s="135" t="s">
        <v>49</v>
      </c>
      <c r="C55" s="186"/>
      <c r="D55" s="186"/>
      <c r="E55" s="186"/>
      <c r="F55" s="186"/>
      <c r="G55" s="186"/>
      <c r="H55" s="186"/>
      <c r="I55" s="186"/>
      <c r="J55" s="186"/>
      <c r="K55" s="186"/>
      <c r="L55" s="186"/>
      <c r="M55" s="174"/>
      <c r="N55" s="174"/>
      <c r="P55" s="190"/>
    </row>
    <row r="56" spans="1:16" x14ac:dyDescent="0.35">
      <c r="A56" s="131" t="s">
        <v>95</v>
      </c>
      <c r="C56" s="186"/>
      <c r="D56" s="186"/>
      <c r="E56" s="186"/>
      <c r="F56" s="186"/>
      <c r="G56" s="186"/>
      <c r="H56" s="186"/>
      <c r="I56" s="186"/>
      <c r="J56" s="186"/>
      <c r="K56" s="186"/>
      <c r="L56" s="186"/>
      <c r="M56" s="174"/>
      <c r="N56" s="174"/>
      <c r="P56" s="190"/>
    </row>
    <row r="57" spans="1:16" x14ac:dyDescent="0.35">
      <c r="A57" s="131" t="s">
        <v>96</v>
      </c>
      <c r="C57" s="186"/>
      <c r="D57" s="186"/>
      <c r="E57" s="186"/>
      <c r="F57" s="186"/>
      <c r="G57" s="186"/>
      <c r="H57" s="186"/>
      <c r="I57" s="186"/>
      <c r="J57" s="186"/>
      <c r="K57" s="186"/>
      <c r="L57" s="186"/>
      <c r="M57" s="174"/>
      <c r="N57" s="174"/>
      <c r="P57" s="190"/>
    </row>
    <row r="58" spans="1:16" x14ac:dyDescent="0.35">
      <c r="A58" s="131" t="s">
        <v>130</v>
      </c>
      <c r="C58" s="186"/>
      <c r="D58" s="186"/>
      <c r="E58" s="186"/>
      <c r="F58" s="186"/>
      <c r="G58" s="186"/>
      <c r="H58" s="186"/>
      <c r="I58" s="186"/>
      <c r="J58" s="186"/>
      <c r="K58" s="186"/>
      <c r="L58" s="186"/>
      <c r="M58" s="174"/>
      <c r="N58" s="174"/>
      <c r="P58" s="190"/>
    </row>
    <row r="59" spans="1:16" ht="18" customHeight="1" x14ac:dyDescent="0.35">
      <c r="C59" s="186"/>
      <c r="D59" s="186"/>
      <c r="E59" s="186"/>
      <c r="F59" s="186"/>
      <c r="G59" s="186"/>
      <c r="H59" s="186"/>
      <c r="I59" s="186"/>
      <c r="J59" s="186"/>
      <c r="K59" s="186"/>
      <c r="L59" s="186"/>
      <c r="M59" s="174"/>
      <c r="N59" s="174"/>
      <c r="P59" s="190"/>
    </row>
    <row r="60" spans="1:16" ht="19.5" customHeight="1" x14ac:dyDescent="0.35">
      <c r="A60" s="135" t="s">
        <v>243</v>
      </c>
      <c r="B60" s="135"/>
      <c r="J60" s="138" t="s">
        <v>17</v>
      </c>
      <c r="K60" s="139" t="s">
        <v>18</v>
      </c>
      <c r="M60" s="188"/>
      <c r="N60" s="188"/>
      <c r="P60" s="227"/>
    </row>
    <row r="61" spans="1:16" ht="18" customHeight="1" thickBot="1" x14ac:dyDescent="0.4">
      <c r="A61" s="135" t="s">
        <v>249</v>
      </c>
      <c r="B61" s="135"/>
      <c r="J61" s="135"/>
      <c r="K61" s="135"/>
      <c r="M61" s="188"/>
      <c r="N61" s="188"/>
      <c r="P61" s="227"/>
    </row>
    <row r="62" spans="1:16" ht="15" thickBot="1" x14ac:dyDescent="0.4">
      <c r="A62" s="377"/>
      <c r="B62" s="378"/>
      <c r="C62" s="378"/>
      <c r="D62" s="378"/>
      <c r="E62" s="350" t="s">
        <v>80</v>
      </c>
      <c r="F62" s="351"/>
      <c r="G62" s="351"/>
      <c r="H62" s="352"/>
      <c r="I62" s="353" t="s">
        <v>81</v>
      </c>
      <c r="J62" s="354"/>
      <c r="K62" s="354"/>
      <c r="L62" s="354"/>
      <c r="M62" s="354"/>
      <c r="N62" s="355"/>
      <c r="O62" s="155"/>
      <c r="P62" s="227"/>
    </row>
    <row r="63" spans="1:16" ht="44" thickBot="1" x14ac:dyDescent="0.4">
      <c r="A63" s="144" t="s">
        <v>7</v>
      </c>
      <c r="B63" s="175" t="s">
        <v>10</v>
      </c>
      <c r="C63" s="203" t="s">
        <v>8</v>
      </c>
      <c r="D63" s="204" t="s">
        <v>9</v>
      </c>
      <c r="E63" s="177" t="s">
        <v>77</v>
      </c>
      <c r="F63" s="178" t="s">
        <v>82</v>
      </c>
      <c r="G63" s="178" t="s">
        <v>78</v>
      </c>
      <c r="H63" s="205" t="s">
        <v>83</v>
      </c>
      <c r="I63" s="180" t="s">
        <v>11</v>
      </c>
      <c r="J63" s="181" t="s">
        <v>12</v>
      </c>
      <c r="K63" s="181" t="s">
        <v>13</v>
      </c>
      <c r="L63" s="182" t="s">
        <v>14</v>
      </c>
      <c r="M63" s="180" t="s">
        <v>84</v>
      </c>
      <c r="N63" s="182" t="s">
        <v>85</v>
      </c>
      <c r="O63" s="135"/>
      <c r="P63" s="227"/>
    </row>
    <row r="64" spans="1:16" ht="15" customHeight="1" x14ac:dyDescent="0.35">
      <c r="A64" s="156" t="s">
        <v>151</v>
      </c>
      <c r="B64" s="207">
        <v>20</v>
      </c>
      <c r="C64" s="208">
        <v>23965.3</v>
      </c>
      <c r="D64" s="208">
        <f>20*C64</f>
        <v>479306</v>
      </c>
      <c r="E64" s="208">
        <v>520047</v>
      </c>
      <c r="F64" s="208" t="s">
        <v>45</v>
      </c>
      <c r="G64" s="208">
        <v>134374</v>
      </c>
      <c r="H64" s="208">
        <f>E64+G64</f>
        <v>654421</v>
      </c>
      <c r="I64" s="208">
        <f>2840*12</f>
        <v>34080</v>
      </c>
      <c r="J64" s="208">
        <f t="shared" ref="J64:J67" si="15">I64*20</f>
        <v>681600</v>
      </c>
      <c r="K64" s="208">
        <f>164360+335340</f>
        <v>499700</v>
      </c>
      <c r="L64" s="208">
        <f t="shared" ref="L64:L67" si="16">J64+K64</f>
        <v>1181300</v>
      </c>
      <c r="M64" s="210">
        <v>1.34E-2</v>
      </c>
      <c r="N64" s="220">
        <v>3.4599999999999999E-2</v>
      </c>
      <c r="P64" s="189"/>
    </row>
    <row r="65" spans="1:16" ht="15" customHeight="1" x14ac:dyDescent="0.35">
      <c r="A65" s="164" t="s">
        <v>64</v>
      </c>
      <c r="B65" s="165">
        <v>20</v>
      </c>
      <c r="C65" s="173">
        <v>23968</v>
      </c>
      <c r="D65" s="173">
        <f t="shared" ref="D65:D67" si="17">20*C65</f>
        <v>479360</v>
      </c>
      <c r="E65" s="173">
        <v>481756</v>
      </c>
      <c r="F65" s="212" t="str">
        <f>IF(E65&gt;=D65,"Yes","No")</f>
        <v>Yes</v>
      </c>
      <c r="G65" s="173">
        <v>80244</v>
      </c>
      <c r="H65" s="212">
        <f>E65+G65</f>
        <v>562000</v>
      </c>
      <c r="I65" s="173">
        <v>25680</v>
      </c>
      <c r="J65" s="173">
        <v>654840</v>
      </c>
      <c r="K65" s="212">
        <f>L65-J65</f>
        <v>772780</v>
      </c>
      <c r="L65" s="173">
        <v>1427620</v>
      </c>
      <c r="M65" s="223">
        <v>1.14E-2</v>
      </c>
      <c r="N65" s="221">
        <v>4.0399999999999998E-2</v>
      </c>
      <c r="P65" s="189"/>
    </row>
    <row r="66" spans="1:16" x14ac:dyDescent="0.35">
      <c r="A66" s="164" t="s">
        <v>27</v>
      </c>
      <c r="B66" s="165">
        <v>20</v>
      </c>
      <c r="C66" s="173">
        <v>23958.26</v>
      </c>
      <c r="D66" s="173">
        <f t="shared" si="17"/>
        <v>479165.19999999995</v>
      </c>
      <c r="E66" s="173">
        <f>D66</f>
        <v>479165.19999999995</v>
      </c>
      <c r="F66" s="173" t="s">
        <v>45</v>
      </c>
      <c r="G66" s="173">
        <v>61411</v>
      </c>
      <c r="H66" s="173">
        <f>E66+G66</f>
        <v>540576.19999999995</v>
      </c>
      <c r="I66" s="173">
        <f>2350*12</f>
        <v>28200</v>
      </c>
      <c r="J66" s="173">
        <f t="shared" si="15"/>
        <v>564000</v>
      </c>
      <c r="K66" s="173">
        <v>663122</v>
      </c>
      <c r="L66" s="173">
        <f t="shared" si="16"/>
        <v>1227122</v>
      </c>
      <c r="M66" s="213">
        <v>6.1000000000000004E-3</v>
      </c>
      <c r="N66" s="224">
        <v>3.5999999999999997E-2</v>
      </c>
      <c r="O66" s="135"/>
      <c r="P66" s="227"/>
    </row>
    <row r="67" spans="1:16" ht="15" thickBot="1" x14ac:dyDescent="0.4">
      <c r="A67" s="168" t="s">
        <v>54</v>
      </c>
      <c r="B67" s="169">
        <v>20</v>
      </c>
      <c r="C67" s="231">
        <v>24000</v>
      </c>
      <c r="D67" s="231">
        <f t="shared" si="17"/>
        <v>480000</v>
      </c>
      <c r="E67" s="231">
        <v>490575</v>
      </c>
      <c r="F67" s="217" t="s">
        <v>45</v>
      </c>
      <c r="G67" s="231">
        <v>33359</v>
      </c>
      <c r="H67" s="231">
        <f>E67+G67</f>
        <v>523934</v>
      </c>
      <c r="I67" s="231">
        <f>2645.41*12</f>
        <v>31744.92</v>
      </c>
      <c r="J67" s="231">
        <f t="shared" si="15"/>
        <v>634898.39999999991</v>
      </c>
      <c r="K67" s="231">
        <v>657120</v>
      </c>
      <c r="L67" s="231">
        <f t="shared" si="16"/>
        <v>1292018.3999999999</v>
      </c>
      <c r="M67" s="236">
        <v>1.06E-2</v>
      </c>
      <c r="N67" s="222">
        <v>3.8100000000000002E-2</v>
      </c>
      <c r="O67" s="135"/>
      <c r="P67" s="227"/>
    </row>
    <row r="68" spans="1:16" ht="15.75" customHeight="1" x14ac:dyDescent="0.35">
      <c r="A68" s="135" t="s">
        <v>49</v>
      </c>
      <c r="C68" s="173"/>
      <c r="D68" s="216"/>
      <c r="E68" s="212"/>
      <c r="F68" s="212"/>
      <c r="G68" s="212"/>
      <c r="H68" s="212"/>
      <c r="I68" s="186"/>
      <c r="J68" s="186"/>
      <c r="K68" s="186"/>
      <c r="L68" s="186"/>
      <c r="M68" s="174"/>
      <c r="N68" s="174"/>
      <c r="P68" s="227"/>
    </row>
    <row r="69" spans="1:16" x14ac:dyDescent="0.35">
      <c r="A69" s="131" t="s">
        <v>70</v>
      </c>
      <c r="C69" s="173"/>
      <c r="D69" s="216"/>
      <c r="E69" s="212"/>
      <c r="F69" s="212"/>
      <c r="G69" s="212"/>
      <c r="H69" s="212"/>
      <c r="P69" s="131"/>
    </row>
    <row r="70" spans="1:16" x14ac:dyDescent="0.35">
      <c r="A70" s="131" t="s">
        <v>97</v>
      </c>
      <c r="C70" s="173"/>
      <c r="D70" s="216"/>
      <c r="E70" s="212"/>
      <c r="F70" s="212"/>
      <c r="G70" s="212"/>
      <c r="H70" s="212"/>
    </row>
    <row r="71" spans="1:16" ht="14.25" customHeight="1" x14ac:dyDescent="0.35">
      <c r="A71" s="131" t="s">
        <v>98</v>
      </c>
      <c r="P71" s="131"/>
    </row>
  </sheetData>
  <sheetProtection algorithmName="SHA-512" hashValue="cRPwg5K6jfo7uMHiD2UXir5EeNak9gP81FPUM2DpXZ+/C1/wN+VErqNbKmnLKmGnBekfOBQvl3c+lSfWE7wCNA==" saltValue="xg3wQXKMh3CbR1wcNn5NiA==" spinCount="100000" sheet="1" objects="1" scenarios="1" selectLockedCells="1" autoFilter="0" selectUnlockedCells="1"/>
  <mergeCells count="17">
    <mergeCell ref="A47:D47"/>
    <mergeCell ref="E47:H47"/>
    <mergeCell ref="I47:N47"/>
    <mergeCell ref="P49:P52"/>
    <mergeCell ref="A62:D62"/>
    <mergeCell ref="E62:H62"/>
    <mergeCell ref="I62:N62"/>
    <mergeCell ref="A4:D4"/>
    <mergeCell ref="E4:H4"/>
    <mergeCell ref="I4:N4"/>
    <mergeCell ref="P6:P39"/>
    <mergeCell ref="A19:D19"/>
    <mergeCell ref="E19:H19"/>
    <mergeCell ref="I19:N19"/>
    <mergeCell ref="A32:D32"/>
    <mergeCell ref="E32:H32"/>
    <mergeCell ref="I32:N32"/>
  </mergeCells>
  <conditionalFormatting sqref="M6:M11">
    <cfRule type="top10" dxfId="111" priority="1" rank="1"/>
    <cfRule type="top10" dxfId="110" priority="2" rank="2"/>
  </conditionalFormatting>
  <conditionalFormatting sqref="M21:M24">
    <cfRule type="top10" dxfId="109" priority="5" rank="1"/>
    <cfRule type="top10" dxfId="108" priority="6" rank="2"/>
  </conditionalFormatting>
  <conditionalFormatting sqref="M34:M39">
    <cfRule type="top10" dxfId="107" priority="9" rank="1"/>
    <cfRule type="top10" dxfId="106" priority="10" rank="2"/>
  </conditionalFormatting>
  <conditionalFormatting sqref="M49:M54">
    <cfRule type="top10" dxfId="105" priority="13" rank="1"/>
    <cfRule type="top10" dxfId="104" priority="14" rank="2"/>
  </conditionalFormatting>
  <conditionalFormatting sqref="M64:M67">
    <cfRule type="top10" dxfId="103" priority="17" rank="1"/>
    <cfRule type="top10" dxfId="102" priority="18" rank="2"/>
  </conditionalFormatting>
  <conditionalFormatting sqref="N6:N11">
    <cfRule type="top10" dxfId="101" priority="3" rank="1"/>
    <cfRule type="top10" dxfId="100" priority="4" rank="2"/>
  </conditionalFormatting>
  <conditionalFormatting sqref="N21:N24">
    <cfRule type="top10" dxfId="99" priority="7" rank="1"/>
    <cfRule type="top10" dxfId="98" priority="8" rank="2"/>
  </conditionalFormatting>
  <conditionalFormatting sqref="N34:N39">
    <cfRule type="top10" dxfId="97" priority="11" rank="1"/>
    <cfRule type="top10" dxfId="96" priority="12" rank="2"/>
  </conditionalFormatting>
  <conditionalFormatting sqref="N49:N54">
    <cfRule type="top10" dxfId="95" priority="15" rank="1"/>
    <cfRule type="top10" dxfId="94" priority="16" rank="2"/>
  </conditionalFormatting>
  <conditionalFormatting sqref="N64:N67">
    <cfRule type="top10" dxfId="93" priority="19" rank="1"/>
    <cfRule type="top10" dxfId="92" priority="20" rank="2"/>
  </conditionalFormatting>
  <printOptions horizontalCentered="1" verticalCentered="1"/>
  <pageMargins left="0" right="0" top="0" bottom="0" header="0" footer="0"/>
  <pageSetup paperSize="9" scale="47" orientation="landscape" r:id="rId1"/>
  <headerFooter>
    <oddFooter>&amp;L_x000D_&amp;1#&amp;"Calibri"&amp;8&amp;K0000FF Internal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68"/>
  <sheetViews>
    <sheetView showGridLines="0" zoomScale="70" zoomScaleNormal="70" workbookViewId="0">
      <selection activeCell="P6" sqref="P6:P38"/>
    </sheetView>
  </sheetViews>
  <sheetFormatPr defaultColWidth="9.1796875" defaultRowHeight="14.5" x14ac:dyDescent="0.35"/>
  <cols>
    <col min="1" max="1" width="35.81640625" style="1" customWidth="1"/>
    <col min="2" max="2" width="12.1796875" style="1" bestFit="1" customWidth="1"/>
    <col min="3" max="3" width="10.1796875" style="1" customWidth="1"/>
    <col min="4" max="4" width="12.54296875" style="1" bestFit="1" customWidth="1"/>
    <col min="5" max="5" width="16.453125" style="1" customWidth="1"/>
    <col min="6" max="6" width="22.1796875" style="1" customWidth="1"/>
    <col min="7" max="7" width="18.1796875" style="1" customWidth="1"/>
    <col min="8" max="8" width="13.453125" style="1" bestFit="1" customWidth="1"/>
    <col min="9" max="9" width="11.81640625" style="1" customWidth="1"/>
    <col min="10" max="10" width="13.453125" style="1" bestFit="1" customWidth="1"/>
    <col min="11" max="11" width="13.81640625" style="1" customWidth="1"/>
    <col min="12" max="12" width="17.54296875" style="1" bestFit="1" customWidth="1"/>
    <col min="13" max="13" width="15.54296875" style="1" customWidth="1"/>
    <col min="14" max="14" width="17.1796875" style="1" customWidth="1"/>
    <col min="15" max="15" width="9.81640625" style="1" customWidth="1"/>
    <col min="16" max="16" width="60.81640625" style="6" customWidth="1"/>
    <col min="17" max="17" width="29.453125" style="1" customWidth="1"/>
    <col min="18" max="18" width="11.81640625" style="1" bestFit="1" customWidth="1"/>
    <col min="19" max="19" width="13.1796875" style="1" bestFit="1" customWidth="1"/>
    <col min="20" max="20" width="11.54296875" style="1" customWidth="1"/>
    <col min="21" max="21" width="12" style="1" customWidth="1"/>
    <col min="22" max="22" width="10" style="1" bestFit="1" customWidth="1"/>
    <col min="23" max="23" width="11.453125" style="1" customWidth="1"/>
    <col min="24" max="24" width="12.453125" style="1" customWidth="1"/>
    <col min="25" max="25" width="11.453125" style="1" customWidth="1"/>
    <col min="26" max="26" width="10" style="1" bestFit="1" customWidth="1"/>
    <col min="27" max="27" width="20.54296875" style="1" customWidth="1"/>
    <col min="28" max="16384" width="9.1796875" style="1"/>
  </cols>
  <sheetData>
    <row r="1" spans="1:20" x14ac:dyDescent="0.35">
      <c r="D1" s="2"/>
      <c r="E1" s="2"/>
      <c r="F1" s="2"/>
      <c r="K1" s="2"/>
      <c r="P1" s="3"/>
    </row>
    <row r="2" spans="1:20" ht="25.5" customHeight="1" x14ac:dyDescent="0.35">
      <c r="A2" s="4" t="s">
        <v>47</v>
      </c>
      <c r="B2" s="4"/>
      <c r="C2" s="5"/>
      <c r="D2" s="5"/>
      <c r="E2" s="5"/>
      <c r="F2" s="5"/>
      <c r="G2" s="5"/>
      <c r="H2" s="5"/>
      <c r="I2" s="5"/>
      <c r="J2" s="28" t="s">
        <v>17</v>
      </c>
      <c r="K2" s="29" t="s">
        <v>18</v>
      </c>
      <c r="L2" s="5"/>
      <c r="M2" s="95"/>
      <c r="N2" s="95"/>
      <c r="O2" s="5"/>
      <c r="P2" s="41"/>
    </row>
    <row r="3" spans="1:20" ht="15.5" customHeight="1" thickBot="1" x14ac:dyDescent="0.4">
      <c r="A3" s="4" t="s">
        <v>104</v>
      </c>
      <c r="B3" s="4"/>
      <c r="C3" s="5"/>
      <c r="D3" s="5"/>
      <c r="E3" s="5"/>
      <c r="F3" s="5"/>
      <c r="G3" s="5"/>
      <c r="H3" s="5"/>
      <c r="I3" s="5"/>
      <c r="J3" s="4"/>
      <c r="K3" s="4"/>
      <c r="L3" s="5"/>
      <c r="M3" s="95"/>
      <c r="N3" s="95"/>
      <c r="O3" s="5"/>
      <c r="P3" s="41"/>
    </row>
    <row r="4" spans="1:20" ht="15" thickBot="1" x14ac:dyDescent="0.4">
      <c r="A4" s="379"/>
      <c r="B4" s="380"/>
      <c r="C4" s="380"/>
      <c r="D4" s="380"/>
      <c r="E4" s="369" t="s">
        <v>80</v>
      </c>
      <c r="F4" s="370"/>
      <c r="G4" s="370"/>
      <c r="H4" s="371"/>
      <c r="I4" s="372" t="s">
        <v>81</v>
      </c>
      <c r="J4" s="373"/>
      <c r="K4" s="373"/>
      <c r="L4" s="373"/>
      <c r="M4" s="373"/>
      <c r="N4" s="374"/>
      <c r="O4" s="4"/>
      <c r="P4" s="41"/>
    </row>
    <row r="5" spans="1:20" s="8" customFormat="1" ht="44" thickBot="1" x14ac:dyDescent="0.4">
      <c r="A5" s="38" t="s">
        <v>7</v>
      </c>
      <c r="B5" s="39" t="s">
        <v>10</v>
      </c>
      <c r="C5" s="84" t="s">
        <v>8</v>
      </c>
      <c r="D5" s="94" t="s">
        <v>9</v>
      </c>
      <c r="E5" s="90" t="s">
        <v>77</v>
      </c>
      <c r="F5" s="87" t="s">
        <v>82</v>
      </c>
      <c r="G5" s="87" t="s">
        <v>78</v>
      </c>
      <c r="H5" s="91" t="s">
        <v>83</v>
      </c>
      <c r="I5" s="92" t="s">
        <v>11</v>
      </c>
      <c r="J5" s="31" t="s">
        <v>12</v>
      </c>
      <c r="K5" s="31" t="s">
        <v>13</v>
      </c>
      <c r="L5" s="93" t="s">
        <v>14</v>
      </c>
      <c r="M5" s="92" t="s">
        <v>84</v>
      </c>
      <c r="N5" s="93" t="s">
        <v>85</v>
      </c>
      <c r="O5" s="7"/>
      <c r="P5" s="22" t="s">
        <v>15</v>
      </c>
      <c r="Q5" s="1"/>
      <c r="R5" s="1"/>
      <c r="S5" s="1"/>
      <c r="T5" s="1"/>
    </row>
    <row r="6" spans="1:20" ht="14.9" customHeight="1" x14ac:dyDescent="0.35">
      <c r="A6" s="13" t="s">
        <v>71</v>
      </c>
      <c r="B6" s="15">
        <v>20</v>
      </c>
      <c r="C6" s="14">
        <v>13184.95</v>
      </c>
      <c r="D6" s="14">
        <f>10*C6</f>
        <v>131849.5</v>
      </c>
      <c r="E6" s="14">
        <v>146352</v>
      </c>
      <c r="F6" s="23" t="str">
        <f>IF(E6&gt;=D6,"Yes","No")</f>
        <v>Yes</v>
      </c>
      <c r="G6" s="14">
        <v>63317</v>
      </c>
      <c r="H6" s="14">
        <f t="shared" ref="H6:H11" si="0">E6+G6</f>
        <v>209669</v>
      </c>
      <c r="I6" s="32">
        <v>12000</v>
      </c>
      <c r="J6" s="32">
        <v>240000</v>
      </c>
      <c r="K6" s="14">
        <f>77440+194880</f>
        <v>272320</v>
      </c>
      <c r="L6" s="14">
        <f>J6+K6</f>
        <v>512320</v>
      </c>
      <c r="M6" s="60">
        <v>1.66E-2</v>
      </c>
      <c r="N6" s="52">
        <v>3.8300000000000001E-2</v>
      </c>
      <c r="P6" s="366" t="s">
        <v>133</v>
      </c>
    </row>
    <row r="7" spans="1:20" ht="14.9" customHeight="1" x14ac:dyDescent="0.35">
      <c r="A7" s="9" t="s">
        <v>64</v>
      </c>
      <c r="B7" s="11">
        <v>20</v>
      </c>
      <c r="C7" s="10">
        <v>19240</v>
      </c>
      <c r="D7" s="10">
        <v>192400</v>
      </c>
      <c r="E7" s="10">
        <v>200249</v>
      </c>
      <c r="F7" s="23" t="str">
        <f>IF(E7&gt;=D7,"Yes","No")</f>
        <v>Yes</v>
      </c>
      <c r="G7" s="10">
        <v>37402</v>
      </c>
      <c r="H7" s="23">
        <f t="shared" si="0"/>
        <v>237651</v>
      </c>
      <c r="I7" s="23">
        <v>12000</v>
      </c>
      <c r="J7" s="23">
        <v>312000</v>
      </c>
      <c r="K7" s="10">
        <f>L7-J7</f>
        <v>514632</v>
      </c>
      <c r="L7" s="10">
        <v>826632</v>
      </c>
      <c r="M7" s="56">
        <v>1.2999999999999999E-2</v>
      </c>
      <c r="N7" s="53">
        <v>4.02E-2</v>
      </c>
      <c r="P7" s="367"/>
    </row>
    <row r="8" spans="1:20" ht="14.9" customHeight="1" x14ac:dyDescent="0.35">
      <c r="A8" s="9" t="s">
        <v>67</v>
      </c>
      <c r="B8" s="11">
        <v>20</v>
      </c>
      <c r="C8" s="23">
        <v>13593</v>
      </c>
      <c r="D8" s="23">
        <f>10*C8</f>
        <v>135930</v>
      </c>
      <c r="E8" s="23">
        <v>135930</v>
      </c>
      <c r="F8" s="23" t="str">
        <f>IF(E8&gt;=D8,"Yes","No")</f>
        <v>Yes</v>
      </c>
      <c r="G8" s="10">
        <v>31263</v>
      </c>
      <c r="H8" s="23">
        <f t="shared" si="0"/>
        <v>167193</v>
      </c>
      <c r="I8" s="23">
        <f>1000.06*12</f>
        <v>12000.72</v>
      </c>
      <c r="J8" s="23">
        <v>240009</v>
      </c>
      <c r="K8" s="10">
        <v>364627</v>
      </c>
      <c r="L8" s="10">
        <f>K8+J8</f>
        <v>604636</v>
      </c>
      <c r="M8" s="62">
        <v>1.5800000000000002E-2</v>
      </c>
      <c r="N8" s="63">
        <v>4.24E-2</v>
      </c>
      <c r="P8" s="367"/>
    </row>
    <row r="9" spans="1:20" ht="14.9" customHeight="1" x14ac:dyDescent="0.35">
      <c r="A9" s="9" t="s">
        <v>26</v>
      </c>
      <c r="B9" s="11">
        <v>20</v>
      </c>
      <c r="C9" s="10">
        <v>17160.2</v>
      </c>
      <c r="D9" s="10">
        <f>10*C9</f>
        <v>171602</v>
      </c>
      <c r="E9" s="10">
        <v>171610</v>
      </c>
      <c r="F9" s="23" t="str">
        <f t="shared" ref="F9:F11" si="1">IF(E9&gt;=D9,"Yes","No")</f>
        <v>Yes</v>
      </c>
      <c r="G9" s="10">
        <v>103280</v>
      </c>
      <c r="H9" s="10">
        <f t="shared" si="0"/>
        <v>274890</v>
      </c>
      <c r="I9" s="23">
        <v>12000</v>
      </c>
      <c r="J9" s="23">
        <v>240000</v>
      </c>
      <c r="K9" s="10">
        <f>133860+291988</f>
        <v>425848</v>
      </c>
      <c r="L9" s="10">
        <f>J9+K9</f>
        <v>665848</v>
      </c>
      <c r="M9" s="56">
        <v>9.4000000000000004E-3</v>
      </c>
      <c r="N9" s="53">
        <v>3.49E-2</v>
      </c>
      <c r="P9" s="367"/>
    </row>
    <row r="10" spans="1:20" x14ac:dyDescent="0.35">
      <c r="A10" s="9" t="s">
        <v>27</v>
      </c>
      <c r="B10" s="11">
        <v>20</v>
      </c>
      <c r="C10" s="10">
        <v>17244</v>
      </c>
      <c r="D10" s="10">
        <f>10*C10</f>
        <v>172440</v>
      </c>
      <c r="E10" s="10">
        <v>172440</v>
      </c>
      <c r="F10" s="23" t="str">
        <f t="shared" si="1"/>
        <v>Yes</v>
      </c>
      <c r="G10" s="10">
        <v>36279</v>
      </c>
      <c r="H10" s="10">
        <f t="shared" si="0"/>
        <v>208719</v>
      </c>
      <c r="I10" s="10">
        <v>12000</v>
      </c>
      <c r="J10" s="10">
        <v>240000</v>
      </c>
      <c r="K10" s="10">
        <v>434179</v>
      </c>
      <c r="L10" s="10">
        <f>J10+K10</f>
        <v>674179</v>
      </c>
      <c r="M10" s="56">
        <v>9.1000000000000004E-3</v>
      </c>
      <c r="N10" s="53">
        <v>3.85E-2</v>
      </c>
      <c r="P10" s="367"/>
    </row>
    <row r="11" spans="1:20" ht="15" thickBot="1" x14ac:dyDescent="0.4">
      <c r="A11" s="20" t="s">
        <v>54</v>
      </c>
      <c r="B11" s="24">
        <v>20</v>
      </c>
      <c r="C11" s="21">
        <v>15792.05</v>
      </c>
      <c r="D11" s="21">
        <f>10*C11</f>
        <v>157920.5</v>
      </c>
      <c r="E11" s="21">
        <v>161520</v>
      </c>
      <c r="F11" s="33" t="str">
        <f t="shared" si="1"/>
        <v>Yes</v>
      </c>
      <c r="G11" s="21">
        <v>23743</v>
      </c>
      <c r="H11" s="21">
        <f t="shared" si="0"/>
        <v>185263</v>
      </c>
      <c r="I11" s="21">
        <v>12000</v>
      </c>
      <c r="J11" s="21">
        <v>240000</v>
      </c>
      <c r="K11" s="21">
        <v>432384</v>
      </c>
      <c r="L11" s="21">
        <f>J11+K11</f>
        <v>672384</v>
      </c>
      <c r="M11" s="57">
        <v>1.1599999999999999E-2</v>
      </c>
      <c r="N11" s="61">
        <v>4.1099999999999998E-2</v>
      </c>
      <c r="P11" s="367"/>
    </row>
    <row r="12" spans="1:20" x14ac:dyDescent="0.35">
      <c r="A12" s="4" t="s">
        <v>49</v>
      </c>
      <c r="C12" s="10"/>
      <c r="D12" s="10"/>
      <c r="E12" s="10"/>
      <c r="F12" s="10"/>
      <c r="G12" s="10"/>
      <c r="H12" s="10"/>
      <c r="I12" s="10"/>
      <c r="J12" s="10"/>
      <c r="K12" s="10"/>
      <c r="L12" s="10"/>
      <c r="M12" s="12"/>
      <c r="N12" s="12"/>
      <c r="P12" s="367"/>
    </row>
    <row r="13" spans="1:20" x14ac:dyDescent="0.35">
      <c r="A13" s="1" t="s">
        <v>95</v>
      </c>
      <c r="C13" s="10"/>
      <c r="D13" s="10"/>
      <c r="E13" s="10"/>
      <c r="F13" s="10"/>
      <c r="G13" s="10"/>
      <c r="H13" s="10"/>
      <c r="I13" s="10"/>
      <c r="J13" s="10"/>
      <c r="K13" s="10"/>
      <c r="L13" s="10"/>
      <c r="M13" s="12"/>
      <c r="N13" s="12"/>
      <c r="P13" s="367"/>
    </row>
    <row r="14" spans="1:20" x14ac:dyDescent="0.35">
      <c r="A14" s="1" t="s">
        <v>96</v>
      </c>
      <c r="C14" s="10"/>
      <c r="D14" s="10"/>
      <c r="E14" s="10"/>
      <c r="F14" s="10"/>
      <c r="G14" s="10"/>
      <c r="H14" s="10"/>
      <c r="I14" s="10"/>
      <c r="J14" s="10"/>
      <c r="K14" s="10"/>
      <c r="L14" s="10"/>
      <c r="M14" s="12"/>
      <c r="N14" s="12"/>
      <c r="P14" s="367"/>
    </row>
    <row r="15" spans="1:20" x14ac:dyDescent="0.35">
      <c r="C15" s="10"/>
      <c r="D15" s="10"/>
      <c r="E15" s="10"/>
      <c r="F15" s="10"/>
      <c r="G15" s="10"/>
      <c r="H15" s="10"/>
      <c r="I15" s="10"/>
      <c r="J15" s="10"/>
      <c r="K15" s="10"/>
      <c r="L15" s="10"/>
      <c r="M15" s="12"/>
      <c r="N15" s="12"/>
      <c r="P15" s="367"/>
    </row>
    <row r="16" spans="1:20" ht="25.4" customHeight="1" x14ac:dyDescent="0.35">
      <c r="A16" s="4" t="s">
        <v>37</v>
      </c>
      <c r="B16" s="4"/>
      <c r="C16" s="5"/>
      <c r="D16" s="5"/>
      <c r="E16" s="5"/>
      <c r="F16" s="5"/>
      <c r="G16" s="5"/>
      <c r="H16" s="5"/>
      <c r="I16" s="5"/>
      <c r="J16" s="28" t="s">
        <v>17</v>
      </c>
      <c r="K16" s="29" t="s">
        <v>18</v>
      </c>
      <c r="L16" s="5"/>
      <c r="M16" s="95"/>
      <c r="N16" s="95"/>
      <c r="P16" s="367"/>
    </row>
    <row r="17" spans="1:16" ht="18" customHeight="1" thickBot="1" x14ac:dyDescent="0.4">
      <c r="A17" s="4" t="s">
        <v>105</v>
      </c>
      <c r="B17" s="4"/>
      <c r="C17" s="5"/>
      <c r="D17" s="5"/>
      <c r="E17" s="5"/>
      <c r="F17" s="5"/>
      <c r="G17" s="5"/>
      <c r="H17" s="5"/>
      <c r="I17" s="5"/>
      <c r="J17" s="4"/>
      <c r="K17" s="4"/>
      <c r="L17" s="5"/>
      <c r="M17" s="95"/>
      <c r="N17" s="95"/>
      <c r="P17" s="367"/>
    </row>
    <row r="18" spans="1:16" ht="15" thickBot="1" x14ac:dyDescent="0.4">
      <c r="A18" s="379"/>
      <c r="B18" s="380"/>
      <c r="C18" s="380"/>
      <c r="D18" s="380"/>
      <c r="E18" s="369" t="s">
        <v>80</v>
      </c>
      <c r="F18" s="370"/>
      <c r="G18" s="370"/>
      <c r="H18" s="371"/>
      <c r="I18" s="372" t="s">
        <v>81</v>
      </c>
      <c r="J18" s="373"/>
      <c r="K18" s="373"/>
      <c r="L18" s="373"/>
      <c r="M18" s="373"/>
      <c r="N18" s="374"/>
      <c r="O18" s="4"/>
      <c r="P18" s="367"/>
    </row>
    <row r="19" spans="1:16" ht="44" thickBot="1" x14ac:dyDescent="0.4">
      <c r="A19" s="38" t="s">
        <v>7</v>
      </c>
      <c r="B19" s="39" t="s">
        <v>10</v>
      </c>
      <c r="C19" s="84" t="s">
        <v>8</v>
      </c>
      <c r="D19" s="94" t="s">
        <v>9</v>
      </c>
      <c r="E19" s="90" t="s">
        <v>77</v>
      </c>
      <c r="F19" s="87" t="s">
        <v>82</v>
      </c>
      <c r="G19" s="87" t="s">
        <v>78</v>
      </c>
      <c r="H19" s="91" t="s">
        <v>83</v>
      </c>
      <c r="I19" s="92" t="s">
        <v>11</v>
      </c>
      <c r="J19" s="31" t="s">
        <v>12</v>
      </c>
      <c r="K19" s="31" t="s">
        <v>13</v>
      </c>
      <c r="L19" s="93" t="s">
        <v>14</v>
      </c>
      <c r="M19" s="92" t="s">
        <v>84</v>
      </c>
      <c r="N19" s="93" t="s">
        <v>85</v>
      </c>
      <c r="P19" s="367"/>
    </row>
    <row r="20" spans="1:16" ht="15.75" customHeight="1" x14ac:dyDescent="0.35">
      <c r="A20" s="13" t="s">
        <v>71</v>
      </c>
      <c r="B20" s="15">
        <v>20</v>
      </c>
      <c r="C20" s="14">
        <v>7371.1</v>
      </c>
      <c r="D20" s="14">
        <f>20*C20</f>
        <v>147422</v>
      </c>
      <c r="E20" s="14">
        <v>163638</v>
      </c>
      <c r="F20" s="14" t="s">
        <v>45</v>
      </c>
      <c r="G20" s="14">
        <v>55804</v>
      </c>
      <c r="H20" s="14">
        <f>E20+G20</f>
        <v>219442</v>
      </c>
      <c r="I20" s="14">
        <v>12000</v>
      </c>
      <c r="J20" s="14">
        <v>240000</v>
      </c>
      <c r="K20" s="14">
        <f>68260+154320</f>
        <v>222580</v>
      </c>
      <c r="L20" s="14">
        <f>J20+K20</f>
        <v>462580</v>
      </c>
      <c r="M20" s="60">
        <v>1.5599999999999999E-2</v>
      </c>
      <c r="N20" s="52">
        <v>3.6900000000000002E-2</v>
      </c>
      <c r="P20" s="367"/>
    </row>
    <row r="21" spans="1:16" ht="15.75" customHeight="1" x14ac:dyDescent="0.35">
      <c r="A21" s="9" t="s">
        <v>64</v>
      </c>
      <c r="B21" s="11">
        <v>20</v>
      </c>
      <c r="C21" s="10">
        <v>11520</v>
      </c>
      <c r="D21" s="10">
        <v>230400</v>
      </c>
      <c r="E21" s="10">
        <v>233879</v>
      </c>
      <c r="F21" s="23" t="str">
        <f>IF(E21&gt;=D21,"Yes","No")</f>
        <v>Yes</v>
      </c>
      <c r="G21" s="10">
        <v>44789</v>
      </c>
      <c r="H21" s="23">
        <f>E21+G21</f>
        <v>278668</v>
      </c>
      <c r="I21" s="10">
        <v>12000</v>
      </c>
      <c r="J21" s="10">
        <v>312000</v>
      </c>
      <c r="K21" s="10">
        <f>L21-J21</f>
        <v>521472</v>
      </c>
      <c r="L21" s="10">
        <v>833472</v>
      </c>
      <c r="M21" s="56">
        <v>9.2999999999999992E-3</v>
      </c>
      <c r="N21" s="63">
        <v>4.0300000000000002E-2</v>
      </c>
      <c r="P21" s="367"/>
    </row>
    <row r="22" spans="1:16" x14ac:dyDescent="0.35">
      <c r="A22" s="9" t="s">
        <v>27</v>
      </c>
      <c r="B22" s="11">
        <v>20</v>
      </c>
      <c r="C22" s="10">
        <v>9765.01</v>
      </c>
      <c r="D22" s="10">
        <f>20*C22</f>
        <v>195300.2</v>
      </c>
      <c r="E22" s="10">
        <v>195300</v>
      </c>
      <c r="F22" s="10" t="s">
        <v>45</v>
      </c>
      <c r="G22" s="10">
        <v>33103</v>
      </c>
      <c r="H22" s="10">
        <f>E22+G22</f>
        <v>228403</v>
      </c>
      <c r="I22" s="10">
        <v>12000</v>
      </c>
      <c r="J22" s="10">
        <v>240000</v>
      </c>
      <c r="K22" s="10">
        <v>377179</v>
      </c>
      <c r="L22" s="10">
        <f>K22+J22</f>
        <v>617179</v>
      </c>
      <c r="M22" s="56">
        <v>6.4999999999999997E-3</v>
      </c>
      <c r="N22" s="53">
        <v>3.7100000000000001E-2</v>
      </c>
      <c r="P22" s="367"/>
    </row>
    <row r="23" spans="1:16" ht="15" thickBot="1" x14ac:dyDescent="0.4">
      <c r="A23" s="20" t="s">
        <v>54</v>
      </c>
      <c r="B23" s="24">
        <v>20</v>
      </c>
      <c r="C23" s="21">
        <v>8300.4500000000007</v>
      </c>
      <c r="D23" s="21">
        <f>20*C23</f>
        <v>166009</v>
      </c>
      <c r="E23" s="21">
        <v>170102</v>
      </c>
      <c r="F23" s="21" t="s">
        <v>45</v>
      </c>
      <c r="G23" s="21">
        <v>16160</v>
      </c>
      <c r="H23" s="21">
        <f>E23+G23</f>
        <v>186262</v>
      </c>
      <c r="I23" s="21">
        <v>12000</v>
      </c>
      <c r="J23" s="21">
        <v>240000</v>
      </c>
      <c r="K23" s="21">
        <v>333744</v>
      </c>
      <c r="L23" s="21">
        <f>J23+K23</f>
        <v>573744</v>
      </c>
      <c r="M23" s="58">
        <v>1.18E-2</v>
      </c>
      <c r="N23" s="59">
        <v>4.02E-2</v>
      </c>
      <c r="P23" s="367"/>
    </row>
    <row r="24" spans="1:16" x14ac:dyDescent="0.35">
      <c r="A24" s="4" t="s">
        <v>49</v>
      </c>
      <c r="C24" s="10"/>
      <c r="D24" s="36"/>
      <c r="E24" s="23"/>
      <c r="F24" s="23"/>
      <c r="G24" s="23"/>
      <c r="H24" s="23"/>
      <c r="I24" s="10"/>
      <c r="J24" s="10"/>
      <c r="K24" s="10"/>
      <c r="L24" s="10"/>
      <c r="M24" s="40"/>
      <c r="N24" s="26"/>
      <c r="P24" s="367"/>
    </row>
    <row r="25" spans="1:16" x14ac:dyDescent="0.35">
      <c r="A25" s="1" t="s">
        <v>70</v>
      </c>
      <c r="C25" s="10"/>
      <c r="D25" s="36"/>
      <c r="E25" s="23"/>
      <c r="F25" s="23"/>
      <c r="G25" s="23"/>
      <c r="H25" s="23"/>
      <c r="I25" s="2"/>
      <c r="J25" s="2"/>
      <c r="K25" s="2"/>
      <c r="L25" s="2"/>
      <c r="M25" s="12"/>
      <c r="N25" s="12"/>
      <c r="P25" s="367"/>
    </row>
    <row r="26" spans="1:16" x14ac:dyDescent="0.35">
      <c r="A26" s="1" t="s">
        <v>97</v>
      </c>
      <c r="C26" s="10"/>
      <c r="D26" s="36"/>
      <c r="E26" s="23"/>
      <c r="F26" s="23"/>
      <c r="G26" s="23"/>
      <c r="H26" s="23"/>
      <c r="I26" s="2"/>
      <c r="J26" s="2"/>
      <c r="K26" s="2"/>
      <c r="L26" s="2"/>
      <c r="M26" s="12"/>
      <c r="N26" s="12"/>
      <c r="P26" s="367"/>
    </row>
    <row r="27" spans="1:16" x14ac:dyDescent="0.35">
      <c r="A27" s="1" t="s">
        <v>98</v>
      </c>
      <c r="C27" s="10"/>
      <c r="D27" s="36"/>
      <c r="E27" s="23"/>
      <c r="F27" s="23"/>
      <c r="G27" s="23"/>
      <c r="H27" s="23"/>
      <c r="I27" s="2"/>
      <c r="J27" s="2"/>
      <c r="K27" s="2"/>
      <c r="L27" s="2"/>
      <c r="M27" s="12"/>
      <c r="N27" s="12"/>
      <c r="P27" s="367"/>
    </row>
    <row r="28" spans="1:16" x14ac:dyDescent="0.35">
      <c r="C28" s="10"/>
      <c r="D28" s="36"/>
      <c r="E28" s="23"/>
      <c r="F28" s="23"/>
      <c r="G28" s="23"/>
      <c r="H28" s="23"/>
      <c r="I28" s="2"/>
      <c r="J28" s="2"/>
      <c r="K28" s="2"/>
      <c r="L28" s="2"/>
      <c r="M28" s="12"/>
      <c r="N28" s="12"/>
      <c r="P28" s="367"/>
    </row>
    <row r="29" spans="1:16" ht="23" customHeight="1" x14ac:dyDescent="0.35">
      <c r="A29" s="4" t="s">
        <v>48</v>
      </c>
      <c r="B29" s="4"/>
      <c r="C29" s="5"/>
      <c r="D29" s="5"/>
      <c r="E29" s="5"/>
      <c r="F29" s="5"/>
      <c r="G29" s="5"/>
      <c r="H29" s="5"/>
      <c r="I29" s="5"/>
      <c r="J29" s="28" t="s">
        <v>17</v>
      </c>
      <c r="K29" s="29" t="s">
        <v>18</v>
      </c>
      <c r="L29" s="5"/>
      <c r="M29" s="95"/>
      <c r="N29" s="95"/>
      <c r="P29" s="367"/>
    </row>
    <row r="30" spans="1:16" ht="17.149999999999999" customHeight="1" thickBot="1" x14ac:dyDescent="0.4">
      <c r="A30" s="4" t="s">
        <v>106</v>
      </c>
      <c r="B30" s="4"/>
      <c r="C30" s="5"/>
      <c r="D30" s="5"/>
      <c r="E30" s="5"/>
      <c r="F30" s="5"/>
      <c r="G30" s="5"/>
      <c r="H30" s="5"/>
      <c r="I30" s="5"/>
      <c r="J30" s="4"/>
      <c r="K30" s="4"/>
      <c r="L30" s="5"/>
      <c r="M30" s="95"/>
      <c r="N30" s="95"/>
      <c r="P30" s="367"/>
    </row>
    <row r="31" spans="1:16" ht="15" thickBot="1" x14ac:dyDescent="0.4">
      <c r="A31" s="379"/>
      <c r="B31" s="380"/>
      <c r="C31" s="380"/>
      <c r="D31" s="380"/>
      <c r="E31" s="369" t="s">
        <v>80</v>
      </c>
      <c r="F31" s="370"/>
      <c r="G31" s="370"/>
      <c r="H31" s="371"/>
      <c r="I31" s="372" t="s">
        <v>81</v>
      </c>
      <c r="J31" s="373"/>
      <c r="K31" s="373"/>
      <c r="L31" s="373"/>
      <c r="M31" s="373"/>
      <c r="N31" s="374"/>
      <c r="O31" s="4"/>
      <c r="P31" s="367"/>
    </row>
    <row r="32" spans="1:16" ht="44" thickBot="1" x14ac:dyDescent="0.4">
      <c r="A32" s="38" t="s">
        <v>7</v>
      </c>
      <c r="B32" s="39" t="s">
        <v>10</v>
      </c>
      <c r="C32" s="84" t="s">
        <v>8</v>
      </c>
      <c r="D32" s="94" t="s">
        <v>9</v>
      </c>
      <c r="E32" s="90" t="s">
        <v>77</v>
      </c>
      <c r="F32" s="87" t="s">
        <v>82</v>
      </c>
      <c r="G32" s="87" t="s">
        <v>78</v>
      </c>
      <c r="H32" s="91" t="s">
        <v>83</v>
      </c>
      <c r="I32" s="92" t="s">
        <v>11</v>
      </c>
      <c r="J32" s="31" t="s">
        <v>12</v>
      </c>
      <c r="K32" s="31" t="s">
        <v>13</v>
      </c>
      <c r="L32" s="93" t="s">
        <v>14</v>
      </c>
      <c r="M32" s="92" t="s">
        <v>84</v>
      </c>
      <c r="N32" s="93" t="s">
        <v>85</v>
      </c>
      <c r="P32" s="367"/>
    </row>
    <row r="33" spans="1:16" ht="15.75" customHeight="1" x14ac:dyDescent="0.35">
      <c r="A33" s="13" t="s">
        <v>71</v>
      </c>
      <c r="B33" s="15">
        <v>20</v>
      </c>
      <c r="C33" s="14">
        <v>29305.55</v>
      </c>
      <c r="D33" s="14">
        <f>5*C33</f>
        <v>146527.75</v>
      </c>
      <c r="E33" s="14">
        <v>158982</v>
      </c>
      <c r="F33" s="14" t="s">
        <v>45</v>
      </c>
      <c r="G33" s="14">
        <v>62351</v>
      </c>
      <c r="H33" s="14">
        <f t="shared" ref="H33:H38" si="2">E33+G33</f>
        <v>221333</v>
      </c>
      <c r="I33" s="14">
        <v>12000</v>
      </c>
      <c r="J33" s="14">
        <v>240000</v>
      </c>
      <c r="K33" s="14">
        <f>76260+187440</f>
        <v>263700</v>
      </c>
      <c r="L33" s="14">
        <f>J33+K33</f>
        <v>503700</v>
      </c>
      <c r="M33" s="55">
        <v>1.47E-2</v>
      </c>
      <c r="N33" s="52">
        <v>3.7600000000000001E-2</v>
      </c>
      <c r="P33" s="367"/>
    </row>
    <row r="34" spans="1:16" ht="15.75" customHeight="1" x14ac:dyDescent="0.35">
      <c r="A34" s="9" t="s">
        <v>64</v>
      </c>
      <c r="B34" s="11">
        <v>20</v>
      </c>
      <c r="C34" s="10">
        <v>33560</v>
      </c>
      <c r="D34" s="10">
        <v>167800</v>
      </c>
      <c r="E34" s="10">
        <v>181744</v>
      </c>
      <c r="F34" s="23" t="str">
        <f>IF(E34&gt;=D34,"Yes","No")</f>
        <v>Yes</v>
      </c>
      <c r="G34" s="10">
        <v>28170</v>
      </c>
      <c r="H34" s="23">
        <f t="shared" si="2"/>
        <v>209914</v>
      </c>
      <c r="I34" s="10">
        <v>12000</v>
      </c>
      <c r="J34" s="10">
        <v>306000</v>
      </c>
      <c r="K34" s="10">
        <f>L34-J34</f>
        <v>352409</v>
      </c>
      <c r="L34" s="10">
        <v>658409</v>
      </c>
      <c r="M34" s="62">
        <v>1.7500000000000002E-2</v>
      </c>
      <c r="N34" s="53">
        <v>4.07E-2</v>
      </c>
      <c r="P34" s="367"/>
    </row>
    <row r="35" spans="1:16" ht="15.75" customHeight="1" x14ac:dyDescent="0.35">
      <c r="A35" s="9" t="s">
        <v>67</v>
      </c>
      <c r="B35" s="11">
        <v>20</v>
      </c>
      <c r="C35" s="10">
        <v>28016</v>
      </c>
      <c r="D35" s="10">
        <f>5*C35</f>
        <v>140080</v>
      </c>
      <c r="E35" s="10">
        <v>140080</v>
      </c>
      <c r="F35" s="10" t="str">
        <f>IF(E35&gt;=D35,"Yes","No")</f>
        <v>Yes</v>
      </c>
      <c r="G35" s="10">
        <v>39222</v>
      </c>
      <c r="H35" s="23">
        <f t="shared" si="2"/>
        <v>179302</v>
      </c>
      <c r="I35" s="10">
        <f>1000.02*12</f>
        <v>12000.24</v>
      </c>
      <c r="J35" s="23">
        <v>240007</v>
      </c>
      <c r="K35" s="10">
        <v>318640</v>
      </c>
      <c r="L35" s="10">
        <f>J35+K35</f>
        <v>558647</v>
      </c>
      <c r="M35" s="62">
        <v>1.61E-2</v>
      </c>
      <c r="N35" s="63">
        <v>4.24E-2</v>
      </c>
      <c r="P35" s="367"/>
    </row>
    <row r="36" spans="1:16" x14ac:dyDescent="0.35">
      <c r="A36" s="9" t="s">
        <v>26</v>
      </c>
      <c r="B36" s="11">
        <v>20</v>
      </c>
      <c r="C36" s="10">
        <v>35375.300000000003</v>
      </c>
      <c r="D36" s="10">
        <f>5*C36</f>
        <v>176876.5</v>
      </c>
      <c r="E36" s="10">
        <v>176880</v>
      </c>
      <c r="F36" s="10" t="s">
        <v>45</v>
      </c>
      <c r="G36" s="10">
        <v>86920</v>
      </c>
      <c r="H36" s="10">
        <f t="shared" si="2"/>
        <v>263800</v>
      </c>
      <c r="I36" s="10">
        <v>12000</v>
      </c>
      <c r="J36" s="10">
        <v>240009</v>
      </c>
      <c r="K36" s="10">
        <f>143028+233949</f>
        <v>376977</v>
      </c>
      <c r="L36" s="10">
        <f>J36+K36</f>
        <v>616986</v>
      </c>
      <c r="M36" s="56">
        <v>9.1999999999999998E-3</v>
      </c>
      <c r="N36" s="53">
        <v>3.49E-2</v>
      </c>
      <c r="P36" s="367"/>
    </row>
    <row r="37" spans="1:16" x14ac:dyDescent="0.35">
      <c r="A37" s="9" t="s">
        <v>27</v>
      </c>
      <c r="B37" s="11">
        <v>20</v>
      </c>
      <c r="C37" s="10">
        <v>35891</v>
      </c>
      <c r="D37" s="10">
        <f>5*C37</f>
        <v>179455</v>
      </c>
      <c r="E37" s="10">
        <v>179455</v>
      </c>
      <c r="F37" s="10" t="s">
        <v>45</v>
      </c>
      <c r="G37" s="10">
        <v>23742</v>
      </c>
      <c r="H37" s="10">
        <f t="shared" si="2"/>
        <v>203197</v>
      </c>
      <c r="I37" s="10">
        <v>12000</v>
      </c>
      <c r="J37" s="10">
        <v>240000</v>
      </c>
      <c r="K37" s="10">
        <v>399499</v>
      </c>
      <c r="L37" s="10">
        <f>J37+K37</f>
        <v>639499</v>
      </c>
      <c r="M37" s="56">
        <v>8.6E-3</v>
      </c>
      <c r="N37" s="53">
        <v>3.8699999999999998E-2</v>
      </c>
      <c r="P37" s="367"/>
    </row>
    <row r="38" spans="1:16" ht="15" thickBot="1" x14ac:dyDescent="0.4">
      <c r="A38" s="20" t="s">
        <v>54</v>
      </c>
      <c r="B38" s="24">
        <v>20</v>
      </c>
      <c r="C38" s="33">
        <v>31864.5</v>
      </c>
      <c r="D38" s="33">
        <f>5*C38</f>
        <v>159322.5</v>
      </c>
      <c r="E38" s="33">
        <v>159614</v>
      </c>
      <c r="F38" s="21" t="s">
        <v>45</v>
      </c>
      <c r="G38" s="33">
        <v>18515</v>
      </c>
      <c r="H38" s="33">
        <f t="shared" si="2"/>
        <v>178129</v>
      </c>
      <c r="I38" s="33">
        <v>12000</v>
      </c>
      <c r="J38" s="33">
        <v>240000</v>
      </c>
      <c r="K38" s="33">
        <v>379272</v>
      </c>
      <c r="L38" s="33">
        <f>J38+K38</f>
        <v>619272</v>
      </c>
      <c r="M38" s="57">
        <v>1.2200000000000001E-2</v>
      </c>
      <c r="N38" s="61">
        <v>4.1599999999999998E-2</v>
      </c>
      <c r="P38" s="368"/>
    </row>
    <row r="39" spans="1:16" x14ac:dyDescent="0.35">
      <c r="A39" s="4" t="s">
        <v>49</v>
      </c>
      <c r="C39" s="10"/>
      <c r="D39" s="10"/>
      <c r="E39" s="10"/>
      <c r="F39" s="10"/>
      <c r="G39" s="10"/>
      <c r="H39" s="10"/>
      <c r="I39" s="10"/>
      <c r="J39" s="10"/>
      <c r="K39" s="10"/>
      <c r="L39" s="10"/>
      <c r="M39" s="26"/>
      <c r="N39" s="26"/>
      <c r="P39" s="3"/>
    </row>
    <row r="40" spans="1:16" x14ac:dyDescent="0.35">
      <c r="A40" s="1" t="s">
        <v>95</v>
      </c>
      <c r="C40" s="10"/>
      <c r="D40" s="10"/>
      <c r="E40" s="10"/>
      <c r="F40" s="10"/>
      <c r="G40" s="10"/>
      <c r="H40" s="10"/>
      <c r="I40" s="10"/>
      <c r="J40" s="10"/>
      <c r="K40" s="10"/>
      <c r="L40" s="10"/>
      <c r="M40" s="26"/>
      <c r="N40" s="26"/>
      <c r="P40" s="3"/>
    </row>
    <row r="41" spans="1:16" x14ac:dyDescent="0.35">
      <c r="A41" s="1" t="s">
        <v>96</v>
      </c>
      <c r="C41" s="10"/>
      <c r="D41" s="10"/>
      <c r="E41" s="10"/>
      <c r="F41" s="10"/>
      <c r="G41" s="10"/>
      <c r="H41" s="10"/>
      <c r="I41" s="10"/>
      <c r="J41" s="10"/>
      <c r="K41" s="10"/>
      <c r="L41" s="10"/>
      <c r="M41" s="26"/>
      <c r="N41" s="26"/>
      <c r="P41" s="3"/>
    </row>
    <row r="42" spans="1:16" x14ac:dyDescent="0.35">
      <c r="C42" s="10"/>
      <c r="D42" s="10"/>
      <c r="E42" s="10"/>
      <c r="F42" s="10"/>
      <c r="G42" s="10"/>
      <c r="H42" s="10"/>
      <c r="I42" s="10"/>
      <c r="J42" s="10"/>
      <c r="K42" s="10"/>
      <c r="L42" s="10"/>
      <c r="M42" s="26"/>
      <c r="N42" s="26"/>
      <c r="P42" s="3"/>
    </row>
    <row r="43" spans="1:16" ht="20.149999999999999" customHeight="1" x14ac:dyDescent="0.35">
      <c r="A43" s="4" t="s">
        <v>38</v>
      </c>
      <c r="B43" s="4"/>
      <c r="J43" s="28" t="s">
        <v>17</v>
      </c>
      <c r="K43" s="29" t="s">
        <v>18</v>
      </c>
      <c r="M43" s="95"/>
      <c r="N43" s="95"/>
      <c r="P43" s="16"/>
    </row>
    <row r="44" spans="1:16" ht="17.149999999999999" customHeight="1" thickBot="1" x14ac:dyDescent="0.4">
      <c r="A44" s="4" t="s">
        <v>107</v>
      </c>
      <c r="B44" s="4"/>
      <c r="J44" s="4"/>
      <c r="K44" s="4"/>
      <c r="M44" s="95"/>
      <c r="N44" s="95"/>
      <c r="P44" s="16"/>
    </row>
    <row r="45" spans="1:16" ht="15" thickBot="1" x14ac:dyDescent="0.4">
      <c r="A45" s="379"/>
      <c r="B45" s="380"/>
      <c r="C45" s="380"/>
      <c r="D45" s="380"/>
      <c r="E45" s="369" t="s">
        <v>80</v>
      </c>
      <c r="F45" s="370"/>
      <c r="G45" s="370"/>
      <c r="H45" s="371"/>
      <c r="I45" s="372" t="s">
        <v>81</v>
      </c>
      <c r="J45" s="373"/>
      <c r="K45" s="373"/>
      <c r="L45" s="373"/>
      <c r="M45" s="373"/>
      <c r="N45" s="374"/>
      <c r="O45" s="7"/>
      <c r="P45" s="16"/>
    </row>
    <row r="46" spans="1:16" ht="44" thickBot="1" x14ac:dyDescent="0.4">
      <c r="A46" s="38" t="s">
        <v>7</v>
      </c>
      <c r="B46" s="39" t="s">
        <v>10</v>
      </c>
      <c r="C46" s="84" t="s">
        <v>8</v>
      </c>
      <c r="D46" s="94" t="s">
        <v>9</v>
      </c>
      <c r="E46" s="90" t="s">
        <v>77</v>
      </c>
      <c r="F46" s="87" t="s">
        <v>82</v>
      </c>
      <c r="G46" s="87" t="s">
        <v>78</v>
      </c>
      <c r="H46" s="91" t="s">
        <v>83</v>
      </c>
      <c r="I46" s="92" t="s">
        <v>11</v>
      </c>
      <c r="J46" s="31" t="s">
        <v>12</v>
      </c>
      <c r="K46" s="31" t="s">
        <v>13</v>
      </c>
      <c r="L46" s="93" t="s">
        <v>14</v>
      </c>
      <c r="M46" s="92" t="s">
        <v>84</v>
      </c>
      <c r="N46" s="93" t="s">
        <v>85</v>
      </c>
      <c r="O46" s="4"/>
      <c r="P46" s="42"/>
    </row>
    <row r="47" spans="1:16" ht="15" customHeight="1" x14ac:dyDescent="0.35">
      <c r="A47" s="13" t="s">
        <v>71</v>
      </c>
      <c r="B47" s="15">
        <v>20</v>
      </c>
      <c r="C47" s="14">
        <v>15197.2</v>
      </c>
      <c r="D47" s="14">
        <f>10*C47</f>
        <v>151972</v>
      </c>
      <c r="E47" s="14">
        <v>164889</v>
      </c>
      <c r="F47" s="14" t="s">
        <v>45</v>
      </c>
      <c r="G47" s="14">
        <v>56951</v>
      </c>
      <c r="H47" s="14">
        <f>E47+G47</f>
        <v>221840</v>
      </c>
      <c r="I47" s="14">
        <v>12000</v>
      </c>
      <c r="J47" s="14">
        <v>240000</v>
      </c>
      <c r="K47" s="14">
        <f>69660+145440</f>
        <v>215100</v>
      </c>
      <c r="L47" s="14">
        <f>J47+K47</f>
        <v>455100</v>
      </c>
      <c r="M47" s="55">
        <v>1.47E-2</v>
      </c>
      <c r="N47" s="52">
        <v>3.5900000000000001E-2</v>
      </c>
      <c r="P47" s="382"/>
    </row>
    <row r="48" spans="1:16" ht="15" customHeight="1" x14ac:dyDescent="0.35">
      <c r="A48" s="9" t="s">
        <v>64</v>
      </c>
      <c r="B48" s="11">
        <v>20</v>
      </c>
      <c r="C48" s="10">
        <v>18720</v>
      </c>
      <c r="D48" s="10">
        <v>187200</v>
      </c>
      <c r="E48" s="10">
        <v>197758</v>
      </c>
      <c r="F48" s="23" t="str">
        <f>IF(E48&gt;=D48,"Yes","No")</f>
        <v>Yes</v>
      </c>
      <c r="G48" s="10">
        <v>31337</v>
      </c>
      <c r="H48" s="23">
        <f>E48+G48</f>
        <v>229095</v>
      </c>
      <c r="I48" s="10">
        <f>1000.03*12</f>
        <v>12000.36</v>
      </c>
      <c r="J48" s="10">
        <v>306000</v>
      </c>
      <c r="K48" s="10">
        <f>L48-J48</f>
        <v>355416</v>
      </c>
      <c r="L48" s="10">
        <v>661416</v>
      </c>
      <c r="M48" s="62">
        <v>1.54E-2</v>
      </c>
      <c r="N48" s="53">
        <v>4.0300000000000002E-2</v>
      </c>
      <c r="P48" s="382"/>
    </row>
    <row r="49" spans="1:16" ht="15" customHeight="1" x14ac:dyDescent="0.35">
      <c r="A49" s="9" t="s">
        <v>67</v>
      </c>
      <c r="B49" s="11">
        <v>20</v>
      </c>
      <c r="C49" s="10">
        <v>15065</v>
      </c>
      <c r="D49" s="10">
        <f>10*C49</f>
        <v>150650</v>
      </c>
      <c r="E49" s="10">
        <v>153590</v>
      </c>
      <c r="F49" s="10" t="str">
        <f>IF(E49&gt;=D49,"Yes","No")</f>
        <v>Yes</v>
      </c>
      <c r="G49" s="10">
        <v>26110</v>
      </c>
      <c r="H49" s="10">
        <f>SUM(E49,G49)</f>
        <v>179700</v>
      </c>
      <c r="I49" s="10">
        <f>1000.03*12</f>
        <v>12000.36</v>
      </c>
      <c r="J49" s="23">
        <v>240004</v>
      </c>
      <c r="K49" s="10">
        <v>299731</v>
      </c>
      <c r="L49" s="10">
        <f>K49+J49</f>
        <v>539735</v>
      </c>
      <c r="M49" s="62">
        <v>1.4999999999999999E-2</v>
      </c>
      <c r="N49" s="63">
        <v>4.2099999999999999E-2</v>
      </c>
      <c r="P49" s="382"/>
    </row>
    <row r="50" spans="1:16" ht="15" customHeight="1" x14ac:dyDescent="0.35">
      <c r="A50" s="9" t="s">
        <v>26</v>
      </c>
      <c r="B50" s="11">
        <v>20</v>
      </c>
      <c r="C50" s="10">
        <v>18012.3</v>
      </c>
      <c r="D50" s="10">
        <f>10*C50</f>
        <v>180123</v>
      </c>
      <c r="E50" s="10">
        <v>180130</v>
      </c>
      <c r="F50" s="10" t="s">
        <v>45</v>
      </c>
      <c r="G50" s="10">
        <v>78019</v>
      </c>
      <c r="H50" s="10">
        <f>E50+G50</f>
        <v>258149</v>
      </c>
      <c r="I50" s="10">
        <v>12000</v>
      </c>
      <c r="J50" s="10">
        <v>240000</v>
      </c>
      <c r="K50" s="10">
        <f>136752+192650</f>
        <v>329402</v>
      </c>
      <c r="L50" s="10">
        <f>J50+K50</f>
        <v>569402</v>
      </c>
      <c r="M50" s="56">
        <v>9.2999999999999992E-3</v>
      </c>
      <c r="N50" s="53">
        <v>3.4799999999999998E-2</v>
      </c>
      <c r="P50" s="382"/>
    </row>
    <row r="51" spans="1:16" x14ac:dyDescent="0.35">
      <c r="A51" s="9" t="s">
        <v>27</v>
      </c>
      <c r="B51" s="11">
        <v>20</v>
      </c>
      <c r="C51" s="10">
        <v>18323.009999999998</v>
      </c>
      <c r="D51" s="10">
        <f>10*C51</f>
        <v>183230.09999999998</v>
      </c>
      <c r="E51" s="10">
        <v>183230</v>
      </c>
      <c r="F51" s="10" t="s">
        <v>45</v>
      </c>
      <c r="G51" s="10">
        <v>30989</v>
      </c>
      <c r="H51" s="10">
        <f>E51+G51</f>
        <v>214219</v>
      </c>
      <c r="I51" s="10">
        <v>12000</v>
      </c>
      <c r="J51" s="10">
        <v>240000</v>
      </c>
      <c r="K51" s="10">
        <v>353779</v>
      </c>
      <c r="L51" s="10">
        <f>J51+K51</f>
        <v>593779</v>
      </c>
      <c r="M51" s="56">
        <v>8.6E-3</v>
      </c>
      <c r="N51" s="53">
        <v>3.85E-2</v>
      </c>
      <c r="O51" s="4"/>
      <c r="P51" s="16"/>
    </row>
    <row r="52" spans="1:16" ht="15" thickBot="1" x14ac:dyDescent="0.4">
      <c r="A52" s="20" t="s">
        <v>54</v>
      </c>
      <c r="B52" s="24">
        <v>20</v>
      </c>
      <c r="C52" s="33">
        <v>17203.150000000001</v>
      </c>
      <c r="D52" s="33">
        <f>10*C52</f>
        <v>172031.5</v>
      </c>
      <c r="E52" s="33">
        <v>175673</v>
      </c>
      <c r="F52" s="21" t="s">
        <v>45</v>
      </c>
      <c r="G52" s="33">
        <v>18446</v>
      </c>
      <c r="H52" s="33">
        <f>E52+G52</f>
        <v>194119</v>
      </c>
      <c r="I52" s="33">
        <v>12000</v>
      </c>
      <c r="J52" s="33">
        <v>240000</v>
      </c>
      <c r="K52" s="33">
        <v>354144</v>
      </c>
      <c r="L52" s="33">
        <f>J52+K52</f>
        <v>594144</v>
      </c>
      <c r="M52" s="57">
        <v>1.0699999999999999E-2</v>
      </c>
      <c r="N52" s="61">
        <v>4.0800000000000003E-2</v>
      </c>
      <c r="O52" s="4"/>
      <c r="P52" s="16"/>
    </row>
    <row r="53" spans="1:16" x14ac:dyDescent="0.35">
      <c r="A53" s="4" t="s">
        <v>49</v>
      </c>
      <c r="C53" s="2"/>
      <c r="D53" s="2"/>
      <c r="E53" s="2"/>
      <c r="F53" s="2"/>
      <c r="G53" s="2"/>
      <c r="H53" s="2"/>
      <c r="I53" s="2"/>
      <c r="J53" s="2"/>
      <c r="K53" s="2"/>
      <c r="L53" s="2"/>
      <c r="M53" s="12"/>
      <c r="N53" s="12"/>
      <c r="P53" s="37"/>
    </row>
    <row r="54" spans="1:16" x14ac:dyDescent="0.35">
      <c r="A54" s="1" t="s">
        <v>95</v>
      </c>
      <c r="C54" s="2"/>
      <c r="D54" s="2"/>
      <c r="E54" s="2"/>
      <c r="F54" s="2"/>
      <c r="G54" s="2"/>
      <c r="H54" s="2"/>
      <c r="I54" s="2"/>
      <c r="J54" s="2"/>
      <c r="K54" s="2"/>
      <c r="L54" s="2"/>
      <c r="M54" s="12"/>
      <c r="N54" s="12"/>
      <c r="P54" s="37"/>
    </row>
    <row r="55" spans="1:16" x14ac:dyDescent="0.35">
      <c r="A55" s="1" t="s">
        <v>96</v>
      </c>
      <c r="C55" s="2"/>
      <c r="D55" s="2"/>
      <c r="E55" s="2"/>
      <c r="F55" s="2"/>
      <c r="G55" s="2"/>
      <c r="H55" s="2"/>
      <c r="I55" s="2"/>
      <c r="J55" s="2"/>
      <c r="K55" s="2"/>
      <c r="L55" s="2"/>
      <c r="M55" s="12"/>
      <c r="N55" s="12"/>
      <c r="P55" s="37"/>
    </row>
    <row r="56" spans="1:16" ht="18" customHeight="1" x14ac:dyDescent="0.35">
      <c r="C56" s="2"/>
      <c r="D56" s="2"/>
      <c r="E56" s="2"/>
      <c r="F56" s="2"/>
      <c r="G56" s="2"/>
      <c r="H56" s="2"/>
      <c r="I56" s="2"/>
      <c r="J56" s="2"/>
      <c r="K56" s="2"/>
      <c r="L56" s="2"/>
      <c r="M56" s="12"/>
      <c r="N56" s="12"/>
      <c r="P56" s="37"/>
    </row>
    <row r="57" spans="1:16" ht="19.5" customHeight="1" x14ac:dyDescent="0.35">
      <c r="A57" s="4" t="s">
        <v>39</v>
      </c>
      <c r="B57" s="4"/>
      <c r="J57" s="28" t="s">
        <v>17</v>
      </c>
      <c r="K57" s="29" t="s">
        <v>18</v>
      </c>
      <c r="M57" s="95"/>
      <c r="N57" s="95"/>
      <c r="P57" s="16"/>
    </row>
    <row r="58" spans="1:16" ht="18" customHeight="1" thickBot="1" x14ac:dyDescent="0.4">
      <c r="A58" s="4" t="s">
        <v>111</v>
      </c>
      <c r="B58" s="4"/>
      <c r="J58" s="4"/>
      <c r="K58" s="4"/>
      <c r="M58" s="95"/>
      <c r="N58" s="95"/>
      <c r="P58" s="16"/>
    </row>
    <row r="59" spans="1:16" ht="15" thickBot="1" x14ac:dyDescent="0.4">
      <c r="A59" s="379"/>
      <c r="B59" s="380"/>
      <c r="C59" s="380"/>
      <c r="D59" s="380"/>
      <c r="E59" s="369" t="s">
        <v>80</v>
      </c>
      <c r="F59" s="370"/>
      <c r="G59" s="370"/>
      <c r="H59" s="371"/>
      <c r="I59" s="372" t="s">
        <v>81</v>
      </c>
      <c r="J59" s="373"/>
      <c r="K59" s="373"/>
      <c r="L59" s="373"/>
      <c r="M59" s="373"/>
      <c r="N59" s="374"/>
      <c r="O59" s="7"/>
      <c r="P59" s="16"/>
    </row>
    <row r="60" spans="1:16" ht="44" thickBot="1" x14ac:dyDescent="0.4">
      <c r="A60" s="38" t="s">
        <v>7</v>
      </c>
      <c r="B60" s="39" t="s">
        <v>10</v>
      </c>
      <c r="C60" s="84" t="s">
        <v>8</v>
      </c>
      <c r="D60" s="94" t="s">
        <v>9</v>
      </c>
      <c r="E60" s="90" t="s">
        <v>77</v>
      </c>
      <c r="F60" s="87" t="s">
        <v>82</v>
      </c>
      <c r="G60" s="87" t="s">
        <v>78</v>
      </c>
      <c r="H60" s="91" t="s">
        <v>83</v>
      </c>
      <c r="I60" s="92" t="s">
        <v>11</v>
      </c>
      <c r="J60" s="31" t="s">
        <v>12</v>
      </c>
      <c r="K60" s="31" t="s">
        <v>13</v>
      </c>
      <c r="L60" s="93" t="s">
        <v>14</v>
      </c>
      <c r="M60" s="92" t="s">
        <v>84</v>
      </c>
      <c r="N60" s="93" t="s">
        <v>85</v>
      </c>
      <c r="O60" s="4"/>
      <c r="P60" s="16"/>
    </row>
    <row r="61" spans="1:16" ht="15" customHeight="1" x14ac:dyDescent="0.35">
      <c r="A61" s="13" t="s">
        <v>71</v>
      </c>
      <c r="B61" s="15">
        <v>20</v>
      </c>
      <c r="C61" s="14">
        <v>8438.5</v>
      </c>
      <c r="D61" s="14">
        <f>20*C61</f>
        <v>168770</v>
      </c>
      <c r="E61" s="14">
        <v>183115</v>
      </c>
      <c r="F61" s="14" t="s">
        <v>45</v>
      </c>
      <c r="G61" s="14">
        <v>47315</v>
      </c>
      <c r="H61" s="14">
        <f>E61+G61</f>
        <v>230430</v>
      </c>
      <c r="I61" s="14">
        <v>12000</v>
      </c>
      <c r="J61" s="14">
        <v>240000</v>
      </c>
      <c r="K61" s="14">
        <f>57860+118080</f>
        <v>175940</v>
      </c>
      <c r="L61" s="14">
        <f>J61+K61</f>
        <v>415940</v>
      </c>
      <c r="M61" s="60">
        <v>1.34E-2</v>
      </c>
      <c r="N61" s="52">
        <v>3.4599999999999999E-2</v>
      </c>
      <c r="P61" s="34"/>
    </row>
    <row r="62" spans="1:16" ht="15" customHeight="1" x14ac:dyDescent="0.35">
      <c r="A62" s="9" t="s">
        <v>64</v>
      </c>
      <c r="B62" s="11">
        <v>20</v>
      </c>
      <c r="C62" s="10">
        <v>11200</v>
      </c>
      <c r="D62" s="10">
        <v>224000</v>
      </c>
      <c r="E62" s="10">
        <v>225120</v>
      </c>
      <c r="F62" s="23" t="str">
        <f>IF(E62&gt;=D62,"Yes","No")</f>
        <v>Yes</v>
      </c>
      <c r="G62" s="10">
        <v>37497</v>
      </c>
      <c r="H62" s="23">
        <f>E62+G62</f>
        <v>262617</v>
      </c>
      <c r="I62" s="10">
        <v>12000</v>
      </c>
      <c r="J62" s="10">
        <v>306000</v>
      </c>
      <c r="K62" s="10">
        <f>L62-J62</f>
        <v>361120</v>
      </c>
      <c r="L62" s="10">
        <v>667120</v>
      </c>
      <c r="M62" s="62">
        <v>1.14E-2</v>
      </c>
      <c r="N62" s="63">
        <v>4.0399999999999998E-2</v>
      </c>
      <c r="P62" s="34"/>
    </row>
    <row r="63" spans="1:16" x14ac:dyDescent="0.35">
      <c r="A63" s="9" t="s">
        <v>27</v>
      </c>
      <c r="B63" s="11">
        <v>20</v>
      </c>
      <c r="C63" s="10">
        <v>10195.01</v>
      </c>
      <c r="D63" s="10">
        <f>20*C63</f>
        <v>203900.2</v>
      </c>
      <c r="E63" s="10">
        <v>203900</v>
      </c>
      <c r="F63" s="10" t="s">
        <v>45</v>
      </c>
      <c r="G63" s="10">
        <v>26132</v>
      </c>
      <c r="H63" s="10">
        <f>E63+G63</f>
        <v>230032</v>
      </c>
      <c r="I63" s="10">
        <v>12000</v>
      </c>
      <c r="J63" s="10">
        <v>240000</v>
      </c>
      <c r="K63" s="10">
        <v>282180</v>
      </c>
      <c r="L63" s="10">
        <f>J63+K63</f>
        <v>522180</v>
      </c>
      <c r="M63" s="56">
        <v>6.1000000000000004E-3</v>
      </c>
      <c r="N63" s="53">
        <v>3.5999999999999997E-2</v>
      </c>
      <c r="O63" s="4"/>
      <c r="P63" s="16"/>
    </row>
    <row r="64" spans="1:16" ht="15" thickBot="1" x14ac:dyDescent="0.4">
      <c r="A64" s="20" t="s">
        <v>54</v>
      </c>
      <c r="B64" s="24">
        <v>20</v>
      </c>
      <c r="C64" s="33">
        <v>9072.35</v>
      </c>
      <c r="D64" s="33">
        <f>20*C64</f>
        <v>181447</v>
      </c>
      <c r="E64" s="33">
        <v>185444</v>
      </c>
      <c r="F64" s="21" t="s">
        <v>45</v>
      </c>
      <c r="G64" s="33">
        <v>12610</v>
      </c>
      <c r="H64" s="33">
        <f>E64+G64</f>
        <v>198054</v>
      </c>
      <c r="I64" s="33">
        <v>12000</v>
      </c>
      <c r="J64" s="33">
        <v>240000</v>
      </c>
      <c r="K64" s="33">
        <v>248400</v>
      </c>
      <c r="L64" s="33">
        <f>J64+K64</f>
        <v>488400</v>
      </c>
      <c r="M64" s="74">
        <v>1.06E-2</v>
      </c>
      <c r="N64" s="59">
        <v>3.8100000000000002E-2</v>
      </c>
      <c r="O64" s="4"/>
      <c r="P64" s="16"/>
    </row>
    <row r="65" spans="1:16" ht="15.75" customHeight="1" x14ac:dyDescent="0.35">
      <c r="A65" s="4" t="s">
        <v>49</v>
      </c>
      <c r="C65" s="10"/>
      <c r="D65" s="36"/>
      <c r="E65" s="23"/>
      <c r="F65" s="23"/>
      <c r="G65" s="23"/>
      <c r="H65" s="23"/>
      <c r="I65" s="2"/>
      <c r="J65" s="2"/>
      <c r="K65" s="2"/>
      <c r="L65" s="2"/>
      <c r="M65" s="12"/>
      <c r="N65" s="12"/>
      <c r="P65" s="16"/>
    </row>
    <row r="66" spans="1:16" x14ac:dyDescent="0.35">
      <c r="A66" s="1" t="s">
        <v>70</v>
      </c>
      <c r="C66" s="10"/>
      <c r="D66" s="36"/>
      <c r="E66" s="23"/>
      <c r="F66" s="23"/>
      <c r="G66" s="23"/>
      <c r="H66" s="23"/>
      <c r="P66" s="1"/>
    </row>
    <row r="67" spans="1:16" x14ac:dyDescent="0.35">
      <c r="A67" s="1" t="s">
        <v>97</v>
      </c>
      <c r="C67" s="10"/>
      <c r="D67" s="36"/>
      <c r="E67" s="23"/>
      <c r="F67" s="23"/>
      <c r="G67" s="23"/>
      <c r="H67" s="23"/>
    </row>
    <row r="68" spans="1:16" ht="14.25" customHeight="1" x14ac:dyDescent="0.35">
      <c r="A68" s="1" t="s">
        <v>98</v>
      </c>
      <c r="P68" s="1"/>
    </row>
  </sheetData>
  <sheetProtection algorithmName="SHA-512" hashValue="o/45uHRFeF3/+xbkcDtF5Zphg+0W/UzoGKa6X52M3Iro4BUDSOdrhmK4Ras9jHR1xlevtQnUVGyXKsSNYe6ubw==" saltValue="QrJ+YUrDgX+eTJIghR5PJA==" spinCount="100000" sheet="1" objects="1" scenarios="1"/>
  <mergeCells count="17">
    <mergeCell ref="I59:N59"/>
    <mergeCell ref="A59:D59"/>
    <mergeCell ref="E59:H59"/>
    <mergeCell ref="E18:H18"/>
    <mergeCell ref="A31:D31"/>
    <mergeCell ref="E31:H31"/>
    <mergeCell ref="P47:P50"/>
    <mergeCell ref="P6:P38"/>
    <mergeCell ref="A4:D4"/>
    <mergeCell ref="E4:H4"/>
    <mergeCell ref="A18:D18"/>
    <mergeCell ref="A45:D45"/>
    <mergeCell ref="E45:H45"/>
    <mergeCell ref="I4:N4"/>
    <mergeCell ref="I18:N18"/>
    <mergeCell ref="I31:N31"/>
    <mergeCell ref="I45:N45"/>
  </mergeCells>
  <conditionalFormatting sqref="M6:M11">
    <cfRule type="top10" dxfId="91" priority="1" rank="1"/>
    <cfRule type="top10" dxfId="90" priority="2" rank="2"/>
  </conditionalFormatting>
  <conditionalFormatting sqref="M20:M23">
    <cfRule type="top10" dxfId="89" priority="5" rank="1"/>
    <cfRule type="top10" dxfId="88" priority="6" rank="2"/>
  </conditionalFormatting>
  <conditionalFormatting sqref="M33:M38">
    <cfRule type="top10" dxfId="87" priority="9" rank="1"/>
    <cfRule type="top10" dxfId="86" priority="10" rank="2"/>
  </conditionalFormatting>
  <conditionalFormatting sqref="M47:M52">
    <cfRule type="top10" dxfId="85" priority="13" rank="1"/>
    <cfRule type="top10" dxfId="84" priority="14" rank="2"/>
  </conditionalFormatting>
  <conditionalFormatting sqref="M61:M64">
    <cfRule type="top10" dxfId="83" priority="17" rank="1"/>
    <cfRule type="top10" dxfId="82" priority="18" rank="2"/>
  </conditionalFormatting>
  <conditionalFormatting sqref="N6:N11">
    <cfRule type="top10" dxfId="81" priority="3" rank="1"/>
    <cfRule type="top10" dxfId="80" priority="4" rank="2"/>
  </conditionalFormatting>
  <conditionalFormatting sqref="N20:N23">
    <cfRule type="top10" dxfId="79" priority="7" rank="1"/>
    <cfRule type="top10" dxfId="78" priority="8" rank="2"/>
  </conditionalFormatting>
  <conditionalFormatting sqref="N33:N38">
    <cfRule type="top10" dxfId="77" priority="11" rank="1"/>
    <cfRule type="top10" dxfId="76" priority="12" rank="2"/>
  </conditionalFormatting>
  <conditionalFormatting sqref="N47:N52">
    <cfRule type="top10" dxfId="75" priority="15" rank="1"/>
    <cfRule type="top10" dxfId="74" priority="16" rank="2"/>
  </conditionalFormatting>
  <conditionalFormatting sqref="N61:N64">
    <cfRule type="top10" dxfId="73" priority="19" rank="1"/>
    <cfRule type="top10" dxfId="72" priority="20" rank="2"/>
  </conditionalFormatting>
  <printOptions horizontalCentered="1" verticalCentered="1"/>
  <pageMargins left="0" right="0" top="0" bottom="0" header="0" footer="0"/>
  <pageSetup paperSize="9" scale="47" orientation="landscape" r:id="rId1"/>
  <headerFooter>
    <oddFooter>&amp;L_x000D_&amp;1#&amp;"Calibri"&amp;8&amp;K0000FF Internal</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945F2-409F-43DA-8716-B743AC477491}">
  <sheetPr>
    <pageSetUpPr fitToPage="1"/>
  </sheetPr>
  <dimension ref="A1:T60"/>
  <sheetViews>
    <sheetView showGridLines="0" zoomScale="70" zoomScaleNormal="70" workbookViewId="0">
      <pane xSplit="1" topLeftCell="B1" activePane="topRight" state="frozen"/>
      <selection pane="topRight" activeCell="J39" sqref="J39"/>
    </sheetView>
  </sheetViews>
  <sheetFormatPr defaultColWidth="9.1796875" defaultRowHeight="14.5" x14ac:dyDescent="0.35"/>
  <cols>
    <col min="1" max="1" width="35.1796875" style="131" customWidth="1"/>
    <col min="2" max="2" width="12.1796875" style="131" bestFit="1" customWidth="1"/>
    <col min="3" max="3" width="11.54296875" style="131" bestFit="1" customWidth="1"/>
    <col min="4" max="4" width="12.54296875" style="131" bestFit="1" customWidth="1"/>
    <col min="5" max="5" width="17.54296875" style="131" hidden="1" customWidth="1"/>
    <col min="6" max="6" width="32.54296875" style="131" customWidth="1"/>
    <col min="7" max="7" width="18.81640625" style="131" hidden="1" customWidth="1"/>
    <col min="8" max="8" width="13.453125" style="131" hidden="1" customWidth="1"/>
    <col min="9" max="9" width="15.81640625" style="131" hidden="1" customWidth="1"/>
    <col min="10" max="10" width="14.54296875" style="131" bestFit="1" customWidth="1"/>
    <col min="11" max="11" width="13.81640625" style="131" customWidth="1"/>
    <col min="12" max="12" width="13.1796875" style="131" customWidth="1"/>
    <col min="13" max="13" width="16.81640625" style="131" customWidth="1"/>
    <col min="14" max="14" width="16.08984375" style="131" bestFit="1" customWidth="1"/>
    <col min="15" max="15" width="4.81640625" style="131" customWidth="1"/>
    <col min="16" max="16" width="50.08984375" style="131" customWidth="1"/>
    <col min="17" max="17" width="15.08984375" style="131" hidden="1" customWidth="1"/>
    <col min="18" max="18" width="11.81640625" style="131" hidden="1" customWidth="1"/>
    <col min="19" max="19" width="13.1796875" style="131" hidden="1" customWidth="1"/>
    <col min="20" max="20" width="11.453125" style="131" hidden="1" customWidth="1"/>
    <col min="21" max="21" width="12.453125" style="131" customWidth="1"/>
    <col min="22" max="22" width="11.453125" style="131" customWidth="1"/>
    <col min="23" max="23" width="10" style="131" bestFit="1" customWidth="1"/>
    <col min="24" max="24" width="20.54296875" style="131" customWidth="1"/>
    <col min="25" max="16384" width="9.1796875" style="131"/>
  </cols>
  <sheetData>
    <row r="1" spans="1:20" ht="15.65" customHeight="1" x14ac:dyDescent="0.35">
      <c r="D1" s="186"/>
      <c r="E1" s="186"/>
      <c r="F1" s="186"/>
      <c r="K1" s="186"/>
    </row>
    <row r="2" spans="1:20" ht="21" customHeight="1" x14ac:dyDescent="0.35">
      <c r="A2" s="135" t="s">
        <v>250</v>
      </c>
      <c r="B2" s="135"/>
      <c r="J2" s="138" t="s">
        <v>17</v>
      </c>
      <c r="K2" s="139" t="s">
        <v>18</v>
      </c>
      <c r="M2" s="188"/>
      <c r="N2" s="188"/>
      <c r="O2" s="135"/>
      <c r="P2" s="237"/>
      <c r="Q2" s="237"/>
      <c r="T2" s="237"/>
    </row>
    <row r="3" spans="1:20" ht="15" customHeight="1" thickBot="1" x14ac:dyDescent="0.4">
      <c r="A3" s="135" t="s">
        <v>251</v>
      </c>
      <c r="B3" s="135"/>
      <c r="J3" s="135"/>
      <c r="K3" s="135"/>
      <c r="M3" s="188"/>
      <c r="N3" s="188"/>
      <c r="O3" s="135"/>
      <c r="P3" s="237"/>
      <c r="Q3" s="237"/>
      <c r="T3" s="237"/>
    </row>
    <row r="4" spans="1:20" ht="15" thickBot="1" x14ac:dyDescent="0.4">
      <c r="A4" s="377"/>
      <c r="B4" s="378"/>
      <c r="C4" s="378"/>
      <c r="D4" s="378"/>
      <c r="E4" s="350" t="s">
        <v>80</v>
      </c>
      <c r="F4" s="351"/>
      <c r="G4" s="351"/>
      <c r="H4" s="352"/>
      <c r="I4" s="353" t="s">
        <v>81</v>
      </c>
      <c r="J4" s="354"/>
      <c r="K4" s="354"/>
      <c r="L4" s="354"/>
      <c r="M4" s="354"/>
      <c r="N4" s="355"/>
      <c r="P4" s="237"/>
      <c r="Q4" s="237"/>
      <c r="T4" s="237"/>
    </row>
    <row r="5" spans="1:20" ht="62.25" customHeight="1"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P5" s="294" t="s">
        <v>15</v>
      </c>
      <c r="R5" s="132" t="s">
        <v>297</v>
      </c>
      <c r="S5" s="132" t="s">
        <v>298</v>
      </c>
    </row>
    <row r="6" spans="1:20" ht="15" customHeight="1" x14ac:dyDescent="0.35">
      <c r="A6" s="156" t="s">
        <v>151</v>
      </c>
      <c r="B6" s="207">
        <v>20</v>
      </c>
      <c r="C6" s="208">
        <v>11995.6</v>
      </c>
      <c r="D6" s="208">
        <f>5*C6</f>
        <v>59978</v>
      </c>
      <c r="E6" s="173">
        <v>63576</v>
      </c>
      <c r="F6" s="173" t="s">
        <v>45</v>
      </c>
      <c r="G6" s="173">
        <v>19431</v>
      </c>
      <c r="H6" s="173">
        <f>E6+G6</f>
        <v>83007</v>
      </c>
      <c r="I6" s="208">
        <f>380*12</f>
        <v>4560</v>
      </c>
      <c r="J6" s="208">
        <f>I6*20</f>
        <v>91200</v>
      </c>
      <c r="K6" s="208">
        <f>L6-J6</f>
        <v>73820</v>
      </c>
      <c r="L6" s="208">
        <v>165020</v>
      </c>
      <c r="M6" s="238">
        <v>1.47E-2</v>
      </c>
      <c r="N6" s="220">
        <v>3.6200000000000003E-2</v>
      </c>
      <c r="P6" s="363" t="s">
        <v>258</v>
      </c>
      <c r="R6" s="132" t="str" cm="1">
        <f t="array" ref="R6">INDEX(A6:A11,MATCH(MAX(M6:M11),M6:M11,0),0)</f>
        <v>China Taiping i-Retire (II)</v>
      </c>
      <c r="S6" s="132" t="str" cm="1">
        <f t="array" ref="S6">INDEX(A6:A11,MATCH(MAX(N6:N11),N6:N11,0),0)</f>
        <v>China Taiping i-Retire (II)</v>
      </c>
    </row>
    <row r="7" spans="1:20" ht="15" customHeight="1" x14ac:dyDescent="0.35">
      <c r="A7" s="164" t="s">
        <v>64</v>
      </c>
      <c r="B7" s="165">
        <v>20</v>
      </c>
      <c r="C7" s="173">
        <v>11880</v>
      </c>
      <c r="D7" s="173">
        <f t="shared" ref="D7:D11" si="0">5*C7</f>
        <v>59400</v>
      </c>
      <c r="E7" s="173">
        <v>62750</v>
      </c>
      <c r="F7" s="212" t="str">
        <f>IF(E7&gt;=D7,"Yes","No")</f>
        <v>Yes</v>
      </c>
      <c r="G7" s="173">
        <v>8339</v>
      </c>
      <c r="H7" s="212">
        <f>E7+G7</f>
        <v>71089</v>
      </c>
      <c r="I7" s="173">
        <v>3600</v>
      </c>
      <c r="J7" s="173">
        <v>91800</v>
      </c>
      <c r="K7" s="212">
        <f>L7-J7</f>
        <v>94122</v>
      </c>
      <c r="L7" s="173">
        <v>185922</v>
      </c>
      <c r="M7" s="223">
        <v>1.4800000000000001E-2</v>
      </c>
      <c r="N7" s="224">
        <v>3.9600000000000003E-2</v>
      </c>
      <c r="P7" s="364"/>
      <c r="R7" s="132" t="str" cm="1">
        <f t="array" ref="R7">INDEX(A21:A26,MATCH(MAX(M21:M26),M21:M26,0),0)</f>
        <v>Singlife Flexi Retirement (II)</v>
      </c>
      <c r="S7" s="132" t="str" cm="1">
        <f t="array" ref="S7">INDEX(A21:A26,MATCH(MAX(N21:N26),N21:N26,0),0)</f>
        <v>China Taiping i-Retire (II)</v>
      </c>
    </row>
    <row r="8" spans="1:20" ht="15" customHeight="1" x14ac:dyDescent="0.35">
      <c r="A8" s="164" t="s">
        <v>67</v>
      </c>
      <c r="B8" s="165">
        <v>20</v>
      </c>
      <c r="C8" s="173">
        <v>12000</v>
      </c>
      <c r="D8" s="173">
        <f t="shared" si="0"/>
        <v>60000</v>
      </c>
      <c r="E8" s="173">
        <f>D8</f>
        <v>60000</v>
      </c>
      <c r="F8" s="173" t="str">
        <f>IF(E8&gt;=D8,"Yes","No")</f>
        <v>Yes</v>
      </c>
      <c r="G8" s="173">
        <v>13200</v>
      </c>
      <c r="H8" s="173">
        <f>SUM(E8,G8)</f>
        <v>73200</v>
      </c>
      <c r="I8" s="173">
        <f>383.46*12</f>
        <v>4601.5199999999995</v>
      </c>
      <c r="J8" s="212">
        <f t="shared" ref="J8:J11" si="1">I8*20</f>
        <v>92030.399999999994</v>
      </c>
      <c r="K8" s="173">
        <v>100857</v>
      </c>
      <c r="L8" s="173">
        <f t="shared" ref="L8:L11" si="2">J8+K8</f>
        <v>192887.4</v>
      </c>
      <c r="M8" s="223">
        <v>1.4999999999999999E-2</v>
      </c>
      <c r="N8" s="221">
        <v>4.2099999999999999E-2</v>
      </c>
      <c r="P8" s="364"/>
      <c r="R8" s="132" t="str" cm="1">
        <f t="array" ref="R8">INDEX(A36:A41,MATCH(MAX(M36:M41),M36:M41,0),0)</f>
        <v>Singlife Flexi Retirement (II)</v>
      </c>
      <c r="S8" s="132" t="str" cm="1">
        <f t="array" ref="S8">INDEX(A36:A41,MATCH(MAX(N36:N41),N36:N41,0),0)</f>
        <v>China Taiping i-Retire (II)</v>
      </c>
    </row>
    <row r="9" spans="1:20" x14ac:dyDescent="0.35">
      <c r="A9" s="164" t="s">
        <v>26</v>
      </c>
      <c r="B9" s="165">
        <v>20</v>
      </c>
      <c r="C9" s="173">
        <v>11551.9</v>
      </c>
      <c r="D9" s="173">
        <f t="shared" si="0"/>
        <v>57759.5</v>
      </c>
      <c r="E9" s="173">
        <v>57761</v>
      </c>
      <c r="F9" s="173" t="s">
        <v>45</v>
      </c>
      <c r="G9" s="173">
        <v>19272</v>
      </c>
      <c r="H9" s="173">
        <f>E9+G9</f>
        <v>77033</v>
      </c>
      <c r="I9" s="173">
        <v>3600</v>
      </c>
      <c r="J9" s="173">
        <f t="shared" si="1"/>
        <v>72000</v>
      </c>
      <c r="K9" s="173">
        <f>L9-J9</f>
        <v>89475.4</v>
      </c>
      <c r="L9" s="173">
        <v>161475.4</v>
      </c>
      <c r="M9" s="213">
        <v>7.7999999999999996E-3</v>
      </c>
      <c r="N9" s="224">
        <v>3.4500000000000003E-2</v>
      </c>
      <c r="P9" s="364"/>
      <c r="R9" s="132" t="str" cm="1">
        <f t="array" ref="R9">INDEX(A51:A56,MATCH(MAX(M51:M56),M51:M56,0),0)</f>
        <v>Singlife Flexi Retirement (II)</v>
      </c>
      <c r="S9" s="132" t="str" cm="1">
        <f t="array" ref="S9">INDEX(A51:A56,MATCH(MAX(N51:N56),N51:N56,0),0)</f>
        <v>China Taiping i-Retire (II)</v>
      </c>
    </row>
    <row r="10" spans="1:20" ht="14.15" customHeight="1" x14ac:dyDescent="0.35">
      <c r="A10" s="164" t="s">
        <v>27</v>
      </c>
      <c r="B10" s="132">
        <v>20</v>
      </c>
      <c r="C10" s="173">
        <v>11635.86</v>
      </c>
      <c r="D10" s="173">
        <f t="shared" si="0"/>
        <v>58179.3</v>
      </c>
      <c r="E10" s="173">
        <f>D10</f>
        <v>58179.3</v>
      </c>
      <c r="F10" s="173" t="s">
        <v>45</v>
      </c>
      <c r="G10" s="173">
        <v>6018</v>
      </c>
      <c r="H10" s="173">
        <f>E10+G10</f>
        <v>64197.3</v>
      </c>
      <c r="I10" s="173">
        <f>310*12</f>
        <v>3720</v>
      </c>
      <c r="J10" s="173">
        <f t="shared" si="1"/>
        <v>74400</v>
      </c>
      <c r="K10" s="173">
        <v>91207</v>
      </c>
      <c r="L10" s="173">
        <f t="shared" si="2"/>
        <v>165607</v>
      </c>
      <c r="M10" s="213">
        <v>8.5000000000000006E-3</v>
      </c>
      <c r="N10" s="224">
        <v>3.7400000000000003E-2</v>
      </c>
      <c r="P10" s="364"/>
      <c r="R10" s="132"/>
      <c r="S10" s="132"/>
    </row>
    <row r="11" spans="1:20" ht="13.4" customHeight="1" thickBot="1" x14ac:dyDescent="0.4">
      <c r="A11" s="168" t="s">
        <v>54</v>
      </c>
      <c r="B11" s="169">
        <v>20</v>
      </c>
      <c r="C11" s="217">
        <v>11999.8</v>
      </c>
      <c r="D11" s="217">
        <f t="shared" si="0"/>
        <v>59999</v>
      </c>
      <c r="E11" s="217">
        <v>60039</v>
      </c>
      <c r="F11" s="173" t="s">
        <v>45</v>
      </c>
      <c r="G11" s="217">
        <v>5043</v>
      </c>
      <c r="H11" s="173">
        <f>E11+G11</f>
        <v>65082</v>
      </c>
      <c r="I11" s="217">
        <v>3988</v>
      </c>
      <c r="J11" s="217">
        <f t="shared" si="1"/>
        <v>79760</v>
      </c>
      <c r="K11" s="217">
        <v>102984</v>
      </c>
      <c r="L11" s="217">
        <f t="shared" si="2"/>
        <v>182744</v>
      </c>
      <c r="M11" s="225">
        <v>9.9000000000000008E-3</v>
      </c>
      <c r="N11" s="226">
        <v>4.0099999999999997E-2</v>
      </c>
      <c r="O11" s="189"/>
      <c r="P11" s="364"/>
    </row>
    <row r="12" spans="1:20" x14ac:dyDescent="0.35">
      <c r="A12" s="135" t="s">
        <v>49</v>
      </c>
      <c r="B12" s="239"/>
      <c r="C12" s="239"/>
      <c r="D12" s="239"/>
      <c r="E12" s="239"/>
      <c r="F12" s="239"/>
      <c r="G12" s="239"/>
      <c r="H12" s="239"/>
      <c r="I12" s="189"/>
      <c r="J12" s="189"/>
      <c r="K12" s="189"/>
      <c r="L12" s="189"/>
      <c r="M12" s="189"/>
      <c r="N12" s="189"/>
      <c r="P12" s="364"/>
    </row>
    <row r="13" spans="1:20" x14ac:dyDescent="0.35">
      <c r="A13" s="131" t="s">
        <v>95</v>
      </c>
      <c r="B13" s="189"/>
      <c r="C13" s="189"/>
      <c r="D13" s="189"/>
      <c r="E13" s="189"/>
      <c r="F13" s="189"/>
      <c r="G13" s="189"/>
      <c r="H13" s="189"/>
      <c r="I13" s="189"/>
      <c r="J13" s="189"/>
      <c r="K13" s="189"/>
      <c r="L13" s="189"/>
      <c r="M13" s="189"/>
      <c r="N13" s="189"/>
      <c r="P13" s="364"/>
    </row>
    <row r="14" spans="1:20" x14ac:dyDescent="0.35">
      <c r="A14" s="131" t="s">
        <v>96</v>
      </c>
      <c r="B14" s="189"/>
      <c r="C14" s="189"/>
      <c r="D14" s="189"/>
      <c r="E14" s="189"/>
      <c r="F14" s="189"/>
      <c r="G14" s="189"/>
      <c r="H14" s="189"/>
      <c r="I14" s="189"/>
      <c r="J14" s="189"/>
      <c r="K14" s="189"/>
      <c r="L14" s="189"/>
      <c r="M14" s="189"/>
      <c r="N14" s="189"/>
      <c r="P14" s="364"/>
    </row>
    <row r="15" spans="1:20" x14ac:dyDescent="0.35">
      <c r="A15" s="131" t="s">
        <v>130</v>
      </c>
      <c r="B15" s="189"/>
      <c r="C15" s="189"/>
      <c r="D15" s="189"/>
      <c r="E15" s="189"/>
      <c r="F15" s="189"/>
      <c r="G15" s="189"/>
      <c r="H15" s="189"/>
      <c r="I15" s="189"/>
      <c r="J15" s="189"/>
      <c r="K15" s="189"/>
      <c r="L15" s="189"/>
      <c r="M15" s="189"/>
      <c r="N15" s="189"/>
      <c r="P15" s="364"/>
    </row>
    <row r="16" spans="1:20" x14ac:dyDescent="0.35">
      <c r="B16" s="189"/>
      <c r="C16" s="189"/>
      <c r="D16" s="189"/>
      <c r="E16" s="189"/>
      <c r="F16" s="189"/>
      <c r="G16" s="189"/>
      <c r="H16" s="189"/>
      <c r="I16" s="189"/>
      <c r="J16" s="189"/>
      <c r="K16" s="189"/>
      <c r="L16" s="189"/>
      <c r="M16" s="189"/>
      <c r="N16" s="189"/>
      <c r="P16" s="364"/>
    </row>
    <row r="17" spans="1:19" ht="18" customHeight="1" x14ac:dyDescent="0.35">
      <c r="A17" s="135" t="s">
        <v>252</v>
      </c>
      <c r="B17" s="135"/>
      <c r="J17" s="138" t="s">
        <v>17</v>
      </c>
      <c r="K17" s="139" t="s">
        <v>18</v>
      </c>
      <c r="M17" s="188"/>
      <c r="N17" s="188"/>
      <c r="O17" s="155"/>
      <c r="P17" s="364"/>
    </row>
    <row r="18" spans="1:19" ht="17.899999999999999" customHeight="1" thickBot="1" x14ac:dyDescent="0.4">
      <c r="A18" s="135" t="s">
        <v>253</v>
      </c>
      <c r="B18" s="135"/>
      <c r="J18" s="135"/>
      <c r="K18" s="135"/>
      <c r="M18" s="188"/>
      <c r="N18" s="188"/>
      <c r="O18" s="155"/>
      <c r="P18" s="364"/>
    </row>
    <row r="19" spans="1:19" ht="15" thickBot="1" x14ac:dyDescent="0.4">
      <c r="A19" s="377"/>
      <c r="B19" s="378"/>
      <c r="C19" s="378"/>
      <c r="D19" s="383"/>
      <c r="E19" s="350" t="s">
        <v>80</v>
      </c>
      <c r="F19" s="351"/>
      <c r="G19" s="351"/>
      <c r="H19" s="352"/>
      <c r="I19" s="353" t="s">
        <v>81</v>
      </c>
      <c r="J19" s="354"/>
      <c r="K19" s="354"/>
      <c r="L19" s="354"/>
      <c r="M19" s="354"/>
      <c r="N19" s="355"/>
      <c r="O19" s="135"/>
      <c r="P19" s="364"/>
    </row>
    <row r="20" spans="1:19"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P20" s="364"/>
      <c r="R20" s="132"/>
      <c r="S20" s="132"/>
    </row>
    <row r="21" spans="1:19" ht="15" customHeight="1" x14ac:dyDescent="0.35">
      <c r="A21" s="156" t="s">
        <v>151</v>
      </c>
      <c r="B21" s="207">
        <v>20</v>
      </c>
      <c r="C21" s="208">
        <v>11956.8</v>
      </c>
      <c r="D21" s="208">
        <f>10*C21</f>
        <v>119568</v>
      </c>
      <c r="E21" s="208">
        <v>126742</v>
      </c>
      <c r="F21" s="208" t="s">
        <v>45</v>
      </c>
      <c r="G21" s="208">
        <v>33101</v>
      </c>
      <c r="H21" s="208">
        <f t="shared" ref="H21:H26" si="3">E21+G21</f>
        <v>159843</v>
      </c>
      <c r="I21" s="209">
        <f>730*12</f>
        <v>8760</v>
      </c>
      <c r="J21" s="208">
        <f t="shared" ref="J21:J26" si="4">I21*20</f>
        <v>175200</v>
      </c>
      <c r="K21" s="208">
        <f>L21-J21</f>
        <v>111960</v>
      </c>
      <c r="L21" s="208">
        <v>287160</v>
      </c>
      <c r="M21" s="210">
        <v>1.46E-2</v>
      </c>
      <c r="N21" s="220">
        <v>3.4099999999999998E-2</v>
      </c>
      <c r="P21" s="364"/>
    </row>
    <row r="22" spans="1:19" ht="15" customHeight="1" x14ac:dyDescent="0.35">
      <c r="A22" s="164" t="s">
        <v>64</v>
      </c>
      <c r="B22" s="165">
        <v>20</v>
      </c>
      <c r="C22" s="173">
        <v>11836.8</v>
      </c>
      <c r="D22" s="173">
        <f t="shared" ref="D22:D26" si="5">10*C22</f>
        <v>118368</v>
      </c>
      <c r="E22" s="173">
        <v>121966</v>
      </c>
      <c r="F22" s="212" t="str">
        <f>IF(E22&gt;=D22,"Yes","No")</f>
        <v>Yes</v>
      </c>
      <c r="G22" s="173">
        <v>16618</v>
      </c>
      <c r="H22" s="212">
        <f t="shared" si="3"/>
        <v>138584</v>
      </c>
      <c r="I22" s="212">
        <v>6480</v>
      </c>
      <c r="J22" s="173">
        <v>165240</v>
      </c>
      <c r="K22" s="212">
        <f>L22-J22</f>
        <v>170907</v>
      </c>
      <c r="L22" s="173">
        <v>336147</v>
      </c>
      <c r="M22" s="213">
        <v>1.23E-2</v>
      </c>
      <c r="N22" s="221">
        <v>3.9399999999999998E-2</v>
      </c>
      <c r="P22" s="364"/>
    </row>
    <row r="23" spans="1:19" ht="15" customHeight="1" x14ac:dyDescent="0.35">
      <c r="A23" s="164" t="s">
        <v>67</v>
      </c>
      <c r="B23" s="165">
        <v>20</v>
      </c>
      <c r="C23" s="173">
        <v>12000</v>
      </c>
      <c r="D23" s="173">
        <f t="shared" si="5"/>
        <v>120000</v>
      </c>
      <c r="E23" s="173">
        <f>D23</f>
        <v>120000</v>
      </c>
      <c r="F23" s="173" t="str">
        <f>IF(E23&gt;=D23,"Yes","No")</f>
        <v>Yes</v>
      </c>
      <c r="G23" s="173">
        <v>19200</v>
      </c>
      <c r="H23" s="212">
        <f t="shared" si="3"/>
        <v>139200</v>
      </c>
      <c r="I23" s="212">
        <f>720.6*12</f>
        <v>8647.2000000000007</v>
      </c>
      <c r="J23" s="212">
        <f t="shared" si="4"/>
        <v>172944</v>
      </c>
      <c r="K23" s="173">
        <v>164275</v>
      </c>
      <c r="L23" s="173">
        <f t="shared" ref="L23:L26" si="6">J23+K23</f>
        <v>337219</v>
      </c>
      <c r="M23" s="223">
        <v>1.4E-2</v>
      </c>
      <c r="N23" s="221">
        <v>4.0599999999999997E-2</v>
      </c>
      <c r="P23" s="364"/>
    </row>
    <row r="24" spans="1:19" x14ac:dyDescent="0.35">
      <c r="A24" s="164" t="s">
        <v>26</v>
      </c>
      <c r="B24" s="165">
        <v>20</v>
      </c>
      <c r="C24" s="173">
        <v>12454.9</v>
      </c>
      <c r="D24" s="173">
        <f t="shared" si="5"/>
        <v>124549</v>
      </c>
      <c r="E24" s="173">
        <v>124553</v>
      </c>
      <c r="F24" s="173" t="s">
        <v>45</v>
      </c>
      <c r="G24" s="173">
        <v>35409</v>
      </c>
      <c r="H24" s="173">
        <f t="shared" si="3"/>
        <v>159962</v>
      </c>
      <c r="I24" s="173">
        <v>7800</v>
      </c>
      <c r="J24" s="173">
        <f t="shared" si="4"/>
        <v>156000</v>
      </c>
      <c r="K24" s="173">
        <f>L24-J24</f>
        <v>157580</v>
      </c>
      <c r="L24" s="173">
        <v>313580</v>
      </c>
      <c r="M24" s="213">
        <v>8.6999999999999994E-3</v>
      </c>
      <c r="N24" s="224">
        <v>3.4000000000000002E-2</v>
      </c>
      <c r="O24" s="135"/>
      <c r="P24" s="364"/>
    </row>
    <row r="25" spans="1:19" x14ac:dyDescent="0.35">
      <c r="A25" s="164" t="s">
        <v>27</v>
      </c>
      <c r="B25" s="165">
        <v>20</v>
      </c>
      <c r="C25" s="173">
        <v>11949.88</v>
      </c>
      <c r="D25" s="173">
        <f t="shared" si="5"/>
        <v>119498.79999999999</v>
      </c>
      <c r="E25" s="173">
        <f>D25</f>
        <v>119498.79999999999</v>
      </c>
      <c r="F25" s="173" t="s">
        <v>45</v>
      </c>
      <c r="G25" s="173">
        <v>15283</v>
      </c>
      <c r="H25" s="173">
        <f t="shared" si="3"/>
        <v>134781.79999999999</v>
      </c>
      <c r="I25" s="173">
        <f>620*12</f>
        <v>7440</v>
      </c>
      <c r="J25" s="173">
        <f t="shared" si="4"/>
        <v>148800</v>
      </c>
      <c r="K25" s="173">
        <v>161272</v>
      </c>
      <c r="L25" s="173">
        <f t="shared" si="6"/>
        <v>310072</v>
      </c>
      <c r="M25" s="213">
        <v>8.3000000000000001E-3</v>
      </c>
      <c r="N25" s="224">
        <v>3.7199999999999997E-2</v>
      </c>
      <c r="O25" s="135"/>
      <c r="P25" s="364"/>
    </row>
    <row r="26" spans="1:19" ht="15" thickBot="1" x14ac:dyDescent="0.4">
      <c r="A26" s="168" t="s">
        <v>54</v>
      </c>
      <c r="B26" s="169">
        <v>20</v>
      </c>
      <c r="C26" s="217">
        <v>12000.15</v>
      </c>
      <c r="D26" s="217">
        <f t="shared" si="5"/>
        <v>120001.5</v>
      </c>
      <c r="E26" s="217">
        <v>122452</v>
      </c>
      <c r="F26" s="217" t="s">
        <v>45</v>
      </c>
      <c r="G26" s="217">
        <v>8082</v>
      </c>
      <c r="H26" s="217">
        <f t="shared" si="3"/>
        <v>130534</v>
      </c>
      <c r="I26" s="217">
        <f>613.42*12</f>
        <v>7361.0399999999991</v>
      </c>
      <c r="J26" s="217">
        <f t="shared" si="4"/>
        <v>147220.79999999999</v>
      </c>
      <c r="K26" s="217">
        <v>169937</v>
      </c>
      <c r="L26" s="217">
        <f t="shared" si="6"/>
        <v>317157.8</v>
      </c>
      <c r="M26" s="225">
        <v>7.7999999999999996E-3</v>
      </c>
      <c r="N26" s="240">
        <v>3.8100000000000002E-2</v>
      </c>
      <c r="O26" s="135"/>
      <c r="P26" s="364"/>
    </row>
    <row r="27" spans="1:19" ht="15.65" customHeight="1" x14ac:dyDescent="0.35">
      <c r="A27" s="135" t="s">
        <v>49</v>
      </c>
      <c r="C27" s="173"/>
      <c r="D27" s="173"/>
      <c r="E27" s="173"/>
      <c r="F27" s="173"/>
      <c r="G27" s="173"/>
      <c r="H27" s="173"/>
      <c r="I27" s="173"/>
      <c r="J27" s="173"/>
      <c r="K27" s="173"/>
      <c r="L27" s="173"/>
      <c r="M27" s="174"/>
      <c r="N27" s="174"/>
      <c r="P27" s="364"/>
    </row>
    <row r="28" spans="1:19" ht="15.65" customHeight="1" x14ac:dyDescent="0.35">
      <c r="A28" s="131" t="s">
        <v>95</v>
      </c>
      <c r="C28" s="173"/>
      <c r="D28" s="173"/>
      <c r="E28" s="173"/>
      <c r="F28" s="173"/>
      <c r="G28" s="173"/>
      <c r="H28" s="173"/>
      <c r="I28" s="173"/>
      <c r="J28" s="173"/>
      <c r="K28" s="173"/>
      <c r="L28" s="173"/>
      <c r="M28" s="174"/>
      <c r="N28" s="174"/>
      <c r="P28" s="364"/>
    </row>
    <row r="29" spans="1:19" ht="15.65" customHeight="1" x14ac:dyDescent="0.35">
      <c r="A29" s="131" t="s">
        <v>96</v>
      </c>
      <c r="C29" s="173"/>
      <c r="D29" s="173"/>
      <c r="E29" s="173"/>
      <c r="F29" s="173"/>
      <c r="G29" s="173"/>
      <c r="H29" s="173"/>
      <c r="I29" s="173"/>
      <c r="J29" s="173"/>
      <c r="K29" s="173"/>
      <c r="L29" s="173"/>
      <c r="M29" s="174"/>
      <c r="N29" s="174"/>
      <c r="P29" s="364"/>
    </row>
    <row r="30" spans="1:19" ht="15.65" customHeight="1" x14ac:dyDescent="0.35">
      <c r="A30" s="131" t="s">
        <v>130</v>
      </c>
      <c r="C30" s="173"/>
      <c r="D30" s="173"/>
      <c r="E30" s="173"/>
      <c r="F30" s="173"/>
      <c r="G30" s="173"/>
      <c r="H30" s="173"/>
      <c r="I30" s="173"/>
      <c r="J30" s="173"/>
      <c r="K30" s="173"/>
      <c r="L30" s="173"/>
      <c r="M30" s="174"/>
      <c r="N30" s="174"/>
      <c r="P30" s="364"/>
    </row>
    <row r="31" spans="1:19" ht="15.65" customHeight="1" x14ac:dyDescent="0.35">
      <c r="C31" s="173"/>
      <c r="D31" s="173"/>
      <c r="E31" s="173"/>
      <c r="F31" s="173"/>
      <c r="G31" s="173"/>
      <c r="H31" s="173"/>
      <c r="I31" s="173"/>
      <c r="J31" s="173"/>
      <c r="K31" s="173"/>
      <c r="L31" s="173"/>
      <c r="M31" s="174"/>
      <c r="N31" s="174"/>
      <c r="P31" s="364"/>
    </row>
    <row r="32" spans="1:19" ht="15.65" customHeight="1" x14ac:dyDescent="0.35">
      <c r="A32" s="135" t="s">
        <v>254</v>
      </c>
      <c r="B32" s="135"/>
      <c r="C32" s="136"/>
      <c r="D32" s="136"/>
      <c r="E32" s="136"/>
      <c r="F32" s="136"/>
      <c r="G32" s="136"/>
      <c r="H32" s="136"/>
      <c r="I32" s="136"/>
      <c r="J32" s="138" t="s">
        <v>17</v>
      </c>
      <c r="K32" s="139" t="s">
        <v>18</v>
      </c>
      <c r="L32" s="136"/>
      <c r="M32" s="188"/>
      <c r="N32" s="188"/>
      <c r="O32" s="135"/>
      <c r="P32" s="364"/>
    </row>
    <row r="33" spans="1:19" ht="18" customHeight="1" thickBot="1" x14ac:dyDescent="0.4">
      <c r="A33" s="135" t="s">
        <v>255</v>
      </c>
      <c r="B33" s="135"/>
      <c r="C33" s="136"/>
      <c r="D33" s="136"/>
      <c r="E33" s="136"/>
      <c r="F33" s="136"/>
      <c r="G33" s="136"/>
      <c r="H33" s="136"/>
      <c r="I33" s="136"/>
      <c r="J33" s="135"/>
      <c r="K33" s="135"/>
      <c r="L33" s="136"/>
      <c r="M33" s="188"/>
      <c r="N33" s="188"/>
      <c r="O33" s="135"/>
      <c r="P33" s="364"/>
      <c r="R33" s="132"/>
      <c r="S33" s="132"/>
    </row>
    <row r="34" spans="1:19" ht="15" thickBot="1" x14ac:dyDescent="0.4">
      <c r="A34" s="377"/>
      <c r="B34" s="378"/>
      <c r="C34" s="378"/>
      <c r="D34" s="378"/>
      <c r="E34" s="350" t="s">
        <v>80</v>
      </c>
      <c r="F34" s="351"/>
      <c r="G34" s="351"/>
      <c r="H34" s="352"/>
      <c r="I34" s="353" t="s">
        <v>81</v>
      </c>
      <c r="J34" s="354"/>
      <c r="K34" s="354"/>
      <c r="L34" s="354"/>
      <c r="M34" s="354"/>
      <c r="N34" s="355"/>
      <c r="P34" s="364"/>
    </row>
    <row r="35" spans="1:19" ht="51" customHeight="1" thickBot="1" x14ac:dyDescent="0.4">
      <c r="A35" s="144" t="s">
        <v>7</v>
      </c>
      <c r="B35" s="175" t="s">
        <v>10</v>
      </c>
      <c r="C35" s="203" t="s">
        <v>8</v>
      </c>
      <c r="D35" s="204" t="s">
        <v>9</v>
      </c>
      <c r="E35" s="177" t="s">
        <v>77</v>
      </c>
      <c r="F35" s="178" t="s">
        <v>82</v>
      </c>
      <c r="G35" s="178" t="s">
        <v>78</v>
      </c>
      <c r="H35" s="205" t="s">
        <v>83</v>
      </c>
      <c r="I35" s="180" t="s">
        <v>11</v>
      </c>
      <c r="J35" s="181" t="s">
        <v>12</v>
      </c>
      <c r="K35" s="181" t="s">
        <v>13</v>
      </c>
      <c r="L35" s="182" t="s">
        <v>14</v>
      </c>
      <c r="M35" s="180" t="s">
        <v>84</v>
      </c>
      <c r="N35" s="182" t="s">
        <v>85</v>
      </c>
      <c r="P35" s="364"/>
    </row>
    <row r="36" spans="1:19" ht="15.65" customHeight="1" x14ac:dyDescent="0.35">
      <c r="A36" s="156" t="s">
        <v>151</v>
      </c>
      <c r="B36" s="207">
        <v>20</v>
      </c>
      <c r="C36" s="208">
        <v>11900.5</v>
      </c>
      <c r="D36" s="208">
        <f>5*C36</f>
        <v>59502.5</v>
      </c>
      <c r="E36" s="208">
        <v>61585</v>
      </c>
      <c r="F36" s="208" t="s">
        <v>45</v>
      </c>
      <c r="G36" s="208">
        <v>13668</v>
      </c>
      <c r="H36" s="208">
        <f t="shared" ref="H36:H41" si="7">E36+G36</f>
        <v>75253</v>
      </c>
      <c r="I36" s="208">
        <f>350*12</f>
        <v>4200</v>
      </c>
      <c r="J36" s="208">
        <f t="shared" ref="J36:J41" si="8">I36*20</f>
        <v>84000</v>
      </c>
      <c r="K36" s="208">
        <f>L36-J36</f>
        <v>47780</v>
      </c>
      <c r="L36" s="208">
        <v>131780</v>
      </c>
      <c r="M36" s="210">
        <v>1.46E-2</v>
      </c>
      <c r="N36" s="220">
        <v>3.44E-2</v>
      </c>
      <c r="P36" s="364"/>
    </row>
    <row r="37" spans="1:19" ht="15.65" customHeight="1" x14ac:dyDescent="0.35">
      <c r="A37" s="164" t="s">
        <v>64</v>
      </c>
      <c r="B37" s="165">
        <v>20</v>
      </c>
      <c r="C37" s="173">
        <v>13128</v>
      </c>
      <c r="D37" s="173">
        <f t="shared" ref="D37:D41" si="9">5*C37</f>
        <v>65640</v>
      </c>
      <c r="E37" s="173">
        <v>68652</v>
      </c>
      <c r="F37" s="212" t="str">
        <f>IF(E37&gt;=D37,"Yes","No")</f>
        <v>Yes</v>
      </c>
      <c r="G37" s="173">
        <v>7443</v>
      </c>
      <c r="H37" s="212">
        <f t="shared" si="7"/>
        <v>76095</v>
      </c>
      <c r="I37" s="173">
        <v>3600</v>
      </c>
      <c r="J37" s="173">
        <v>90000</v>
      </c>
      <c r="K37" s="212">
        <f>L37-J37</f>
        <v>64492</v>
      </c>
      <c r="L37" s="173">
        <v>154492</v>
      </c>
      <c r="M37" s="213">
        <v>1.2999999999999999E-2</v>
      </c>
      <c r="N37" s="224">
        <v>3.5700000000000003E-2</v>
      </c>
      <c r="P37" s="364"/>
    </row>
    <row r="38" spans="1:19" ht="15.65" customHeight="1" x14ac:dyDescent="0.35">
      <c r="A38" s="164" t="s">
        <v>67</v>
      </c>
      <c r="B38" s="165">
        <v>20</v>
      </c>
      <c r="C38" s="173">
        <v>12000</v>
      </c>
      <c r="D38" s="173">
        <f t="shared" si="9"/>
        <v>60000</v>
      </c>
      <c r="E38" s="173">
        <f>D38</f>
        <v>60000</v>
      </c>
      <c r="F38" s="173" t="str">
        <f>IF(E38&gt;=D38,"Yes","No")</f>
        <v>Yes</v>
      </c>
      <c r="G38" s="173">
        <v>9000</v>
      </c>
      <c r="H38" s="212">
        <f t="shared" si="7"/>
        <v>69000</v>
      </c>
      <c r="I38" s="173">
        <f>346.2*12</f>
        <v>4154.3999999999996</v>
      </c>
      <c r="J38" s="212">
        <f t="shared" si="8"/>
        <v>83088</v>
      </c>
      <c r="K38" s="173">
        <v>70142</v>
      </c>
      <c r="L38" s="173">
        <f t="shared" ref="L38:L41" si="10">J38+K38</f>
        <v>153230</v>
      </c>
      <c r="M38" s="223">
        <v>1.38E-2</v>
      </c>
      <c r="N38" s="221">
        <v>4.1000000000000002E-2</v>
      </c>
      <c r="P38" s="364"/>
    </row>
    <row r="39" spans="1:19" ht="15.65" customHeight="1" x14ac:dyDescent="0.35">
      <c r="A39" s="164" t="s">
        <v>26</v>
      </c>
      <c r="B39" s="165">
        <v>20</v>
      </c>
      <c r="C39" s="173">
        <v>12129.8</v>
      </c>
      <c r="D39" s="173">
        <f t="shared" si="9"/>
        <v>60649</v>
      </c>
      <c r="E39" s="173">
        <v>60650</v>
      </c>
      <c r="F39" s="173" t="s">
        <v>45</v>
      </c>
      <c r="G39" s="173">
        <v>12908</v>
      </c>
      <c r="H39" s="173">
        <f t="shared" si="7"/>
        <v>73558</v>
      </c>
      <c r="I39" s="173">
        <v>3600</v>
      </c>
      <c r="J39" s="173">
        <f t="shared" si="8"/>
        <v>72000</v>
      </c>
      <c r="K39" s="173">
        <f>L39-J39</f>
        <v>65070</v>
      </c>
      <c r="L39" s="173">
        <v>137070</v>
      </c>
      <c r="M39" s="213">
        <v>7.4000000000000003E-3</v>
      </c>
      <c r="N39" s="224">
        <v>3.2899999999999999E-2</v>
      </c>
      <c r="P39" s="364"/>
    </row>
    <row r="40" spans="1:19" x14ac:dyDescent="0.35">
      <c r="A40" s="164" t="s">
        <v>27</v>
      </c>
      <c r="B40" s="165">
        <v>20</v>
      </c>
      <c r="C40" s="173">
        <v>11954.37</v>
      </c>
      <c r="D40" s="212">
        <f t="shared" si="9"/>
        <v>59771.850000000006</v>
      </c>
      <c r="E40" s="173">
        <f>D40</f>
        <v>59771.850000000006</v>
      </c>
      <c r="F40" s="173" t="s">
        <v>45</v>
      </c>
      <c r="G40" s="173">
        <v>4483</v>
      </c>
      <c r="H40" s="173">
        <f t="shared" si="7"/>
        <v>64254.850000000006</v>
      </c>
      <c r="I40" s="173">
        <f>290*12</f>
        <v>3480</v>
      </c>
      <c r="J40" s="173">
        <f t="shared" si="8"/>
        <v>69600</v>
      </c>
      <c r="K40" s="173">
        <v>65076</v>
      </c>
      <c r="L40" s="173">
        <f t="shared" si="10"/>
        <v>134676</v>
      </c>
      <c r="M40" s="213">
        <v>6.3E-3</v>
      </c>
      <c r="N40" s="224">
        <v>3.5099999999999999E-2</v>
      </c>
      <c r="P40" s="364"/>
    </row>
    <row r="41" spans="1:19" ht="15" thickBot="1" x14ac:dyDescent="0.4">
      <c r="A41" s="168" t="s">
        <v>54</v>
      </c>
      <c r="B41" s="169">
        <v>20</v>
      </c>
      <c r="C41" s="231">
        <v>12000.2</v>
      </c>
      <c r="D41" s="231">
        <f t="shared" si="9"/>
        <v>60001</v>
      </c>
      <c r="E41" s="231">
        <v>60023</v>
      </c>
      <c r="F41" s="231" t="s">
        <v>45</v>
      </c>
      <c r="G41" s="231">
        <v>4502</v>
      </c>
      <c r="H41" s="231">
        <f t="shared" si="7"/>
        <v>64525</v>
      </c>
      <c r="I41" s="231">
        <f>287.04*12</f>
        <v>3444.4800000000005</v>
      </c>
      <c r="J41" s="231">
        <f t="shared" si="8"/>
        <v>68889.600000000006</v>
      </c>
      <c r="K41" s="231">
        <v>70337</v>
      </c>
      <c r="L41" s="231">
        <f t="shared" si="10"/>
        <v>139226.6</v>
      </c>
      <c r="M41" s="225">
        <v>5.7999999999999996E-3</v>
      </c>
      <c r="N41" s="226">
        <v>3.6600000000000001E-2</v>
      </c>
      <c r="P41" s="365"/>
    </row>
    <row r="42" spans="1:19" x14ac:dyDescent="0.35">
      <c r="A42" s="135" t="s">
        <v>49</v>
      </c>
      <c r="P42" s="141"/>
    </row>
    <row r="43" spans="1:19" x14ac:dyDescent="0.35">
      <c r="A43" s="131" t="s">
        <v>95</v>
      </c>
      <c r="P43" s="141"/>
    </row>
    <row r="44" spans="1:19" x14ac:dyDescent="0.35">
      <c r="A44" s="131" t="s">
        <v>96</v>
      </c>
      <c r="P44" s="141"/>
    </row>
    <row r="45" spans="1:19" x14ac:dyDescent="0.35">
      <c r="A45" s="131" t="s">
        <v>130</v>
      </c>
      <c r="P45" s="141"/>
    </row>
    <row r="46" spans="1:19" x14ac:dyDescent="0.35">
      <c r="A46" s="228"/>
      <c r="P46" s="141"/>
    </row>
    <row r="47" spans="1:19" ht="17.149999999999999" customHeight="1" x14ac:dyDescent="0.35">
      <c r="A47" s="135" t="s">
        <v>256</v>
      </c>
      <c r="B47" s="135"/>
      <c r="J47" s="138" t="s">
        <v>17</v>
      </c>
      <c r="K47" s="139" t="s">
        <v>18</v>
      </c>
      <c r="M47" s="188"/>
      <c r="N47" s="188"/>
      <c r="P47" s="141"/>
    </row>
    <row r="48" spans="1:19" ht="18.649999999999999" customHeight="1" thickBot="1" x14ac:dyDescent="0.4">
      <c r="A48" s="135" t="s">
        <v>257</v>
      </c>
      <c r="B48" s="135"/>
      <c r="J48" s="135"/>
      <c r="K48" s="135"/>
      <c r="M48" s="188"/>
      <c r="N48" s="188"/>
      <c r="P48" s="141"/>
    </row>
    <row r="49" spans="1:16" ht="15" thickBot="1" x14ac:dyDescent="0.4">
      <c r="A49" s="377"/>
      <c r="B49" s="378"/>
      <c r="C49" s="378"/>
      <c r="D49" s="378"/>
      <c r="E49" s="350" t="s">
        <v>80</v>
      </c>
      <c r="F49" s="351"/>
      <c r="G49" s="351"/>
      <c r="H49" s="352"/>
      <c r="I49" s="353" t="s">
        <v>81</v>
      </c>
      <c r="J49" s="354"/>
      <c r="K49" s="354"/>
      <c r="L49" s="354"/>
      <c r="M49" s="354"/>
      <c r="N49" s="355"/>
      <c r="P49" s="141"/>
    </row>
    <row r="50" spans="1:16" ht="44" thickBot="1" x14ac:dyDescent="0.4">
      <c r="A50" s="144" t="s">
        <v>7</v>
      </c>
      <c r="B50" s="175" t="s">
        <v>10</v>
      </c>
      <c r="C50" s="203" t="s">
        <v>8</v>
      </c>
      <c r="D50" s="204" t="s">
        <v>9</v>
      </c>
      <c r="E50" s="177" t="s">
        <v>77</v>
      </c>
      <c r="F50" s="178" t="s">
        <v>82</v>
      </c>
      <c r="G50" s="178" t="s">
        <v>78</v>
      </c>
      <c r="H50" s="205" t="s">
        <v>83</v>
      </c>
      <c r="I50" s="180" t="s">
        <v>11</v>
      </c>
      <c r="J50" s="181" t="s">
        <v>12</v>
      </c>
      <c r="K50" s="181" t="s">
        <v>13</v>
      </c>
      <c r="L50" s="182" t="s">
        <v>14</v>
      </c>
      <c r="M50" s="180" t="s">
        <v>84</v>
      </c>
      <c r="N50" s="182" t="s">
        <v>85</v>
      </c>
      <c r="P50" s="141"/>
    </row>
    <row r="51" spans="1:16" x14ac:dyDescent="0.35">
      <c r="A51" s="156" t="s">
        <v>151</v>
      </c>
      <c r="B51" s="241">
        <v>20</v>
      </c>
      <c r="C51" s="242">
        <v>12071.85</v>
      </c>
      <c r="D51" s="242">
        <f>10*C51</f>
        <v>120718.5</v>
      </c>
      <c r="E51" s="242">
        <v>124943</v>
      </c>
      <c r="F51" s="208" t="s">
        <v>45</v>
      </c>
      <c r="G51" s="242">
        <v>22449</v>
      </c>
      <c r="H51" s="242">
        <f>E51+G51</f>
        <v>147392</v>
      </c>
      <c r="I51" s="242">
        <f>670*12</f>
        <v>8040</v>
      </c>
      <c r="J51" s="242">
        <f t="shared" ref="J51:J56" si="11">I51*20</f>
        <v>160800</v>
      </c>
      <c r="K51" s="242">
        <f>27460+45020</f>
        <v>72480</v>
      </c>
      <c r="L51" s="242">
        <f t="shared" ref="L51:L56" si="12">J51+K51</f>
        <v>233280</v>
      </c>
      <c r="M51" s="210">
        <v>1.35E-2</v>
      </c>
      <c r="N51" s="220">
        <v>3.1600000000000003E-2</v>
      </c>
    </row>
    <row r="52" spans="1:16" x14ac:dyDescent="0.35">
      <c r="A52" s="164" t="s">
        <v>64</v>
      </c>
      <c r="B52" s="243">
        <v>20</v>
      </c>
      <c r="C52" s="244">
        <v>11956</v>
      </c>
      <c r="D52" s="244">
        <f t="shared" ref="D52:D56" si="13">10*C52</f>
        <v>119560</v>
      </c>
      <c r="E52" s="244">
        <v>120456</v>
      </c>
      <c r="F52" s="212" t="str">
        <f>IF(E52&gt;=D52,"Yes","No")</f>
        <v>Yes</v>
      </c>
      <c r="G52" s="244">
        <v>13558</v>
      </c>
      <c r="H52" s="212">
        <f>E52+G52</f>
        <v>134014</v>
      </c>
      <c r="I52" s="244">
        <v>5880</v>
      </c>
      <c r="J52" s="244">
        <v>147000</v>
      </c>
      <c r="K52" s="212">
        <f>L52-J52</f>
        <v>106633</v>
      </c>
      <c r="L52" s="244">
        <v>253633</v>
      </c>
      <c r="M52" s="213">
        <v>9.4000000000000004E-3</v>
      </c>
      <c r="N52" s="221">
        <v>3.4700000000000002E-2</v>
      </c>
    </row>
    <row r="53" spans="1:16" x14ac:dyDescent="0.35">
      <c r="A53" s="164" t="s">
        <v>67</v>
      </c>
      <c r="B53" s="243">
        <v>20</v>
      </c>
      <c r="C53" s="244">
        <v>12000</v>
      </c>
      <c r="D53" s="244">
        <f t="shared" si="13"/>
        <v>120000</v>
      </c>
      <c r="E53" s="244">
        <f>D53</f>
        <v>120000</v>
      </c>
      <c r="F53" s="173" t="str">
        <f>IF(E53&gt;=D53,"Yes","No")</f>
        <v>Yes</v>
      </c>
      <c r="G53" s="244">
        <v>12000</v>
      </c>
      <c r="H53" s="173">
        <f>SUM(E53,G53)</f>
        <v>132000</v>
      </c>
      <c r="I53" s="244">
        <f>638.04*12</f>
        <v>7656.48</v>
      </c>
      <c r="J53" s="212">
        <f t="shared" si="11"/>
        <v>153129.59999999998</v>
      </c>
      <c r="K53" s="244">
        <v>110995</v>
      </c>
      <c r="L53" s="173">
        <f t="shared" si="12"/>
        <v>264124.59999999998</v>
      </c>
      <c r="M53" s="223">
        <v>1.15E-2</v>
      </c>
      <c r="N53" s="221">
        <v>3.8300000000000001E-2</v>
      </c>
    </row>
    <row r="54" spans="1:16" x14ac:dyDescent="0.35">
      <c r="A54" s="164" t="s">
        <v>26</v>
      </c>
      <c r="B54" s="245">
        <v>20</v>
      </c>
      <c r="C54" s="244">
        <v>12098.9</v>
      </c>
      <c r="D54" s="244">
        <f t="shared" si="13"/>
        <v>120989</v>
      </c>
      <c r="E54" s="244">
        <v>120990</v>
      </c>
      <c r="F54" s="173" t="s">
        <v>45</v>
      </c>
      <c r="G54" s="244">
        <v>20605</v>
      </c>
      <c r="H54" s="244">
        <f>E54+G54</f>
        <v>141595</v>
      </c>
      <c r="I54" s="244">
        <v>7200</v>
      </c>
      <c r="J54" s="244">
        <f t="shared" si="11"/>
        <v>144000</v>
      </c>
      <c r="K54" s="173">
        <f>L54-J54</f>
        <v>94500</v>
      </c>
      <c r="L54" s="244">
        <v>238500</v>
      </c>
      <c r="M54" s="213">
        <v>8.3999999999999995E-3</v>
      </c>
      <c r="N54" s="224">
        <v>3.15E-2</v>
      </c>
    </row>
    <row r="55" spans="1:16" x14ac:dyDescent="0.35">
      <c r="A55" s="164" t="s">
        <v>27</v>
      </c>
      <c r="B55" s="245">
        <v>20</v>
      </c>
      <c r="C55" s="244">
        <v>11971.13</v>
      </c>
      <c r="D55" s="244">
        <f t="shared" si="13"/>
        <v>119711.29999999999</v>
      </c>
      <c r="E55" s="244">
        <f>D55</f>
        <v>119711.29999999999</v>
      </c>
      <c r="F55" s="173" t="s">
        <v>45</v>
      </c>
      <c r="G55" s="244">
        <v>10415</v>
      </c>
      <c r="H55" s="244">
        <f>E55+G55</f>
        <v>130126.29999999999</v>
      </c>
      <c r="I55" s="244">
        <f>570*12</f>
        <v>6840</v>
      </c>
      <c r="J55" s="244">
        <f t="shared" si="11"/>
        <v>136800</v>
      </c>
      <c r="K55" s="244">
        <v>109461</v>
      </c>
      <c r="L55" s="244">
        <f t="shared" si="12"/>
        <v>246261</v>
      </c>
      <c r="M55" s="213">
        <v>6.1999999999999998E-3</v>
      </c>
      <c r="N55" s="221">
        <v>3.4700000000000002E-2</v>
      </c>
    </row>
    <row r="56" spans="1:16" ht="15" thickBot="1" x14ac:dyDescent="0.4">
      <c r="A56" s="168" t="s">
        <v>54</v>
      </c>
      <c r="B56" s="246">
        <v>20</v>
      </c>
      <c r="C56" s="231">
        <v>12000</v>
      </c>
      <c r="D56" s="231">
        <f t="shared" si="13"/>
        <v>120000</v>
      </c>
      <c r="E56" s="231">
        <v>122273</v>
      </c>
      <c r="F56" s="217" t="s">
        <v>45</v>
      </c>
      <c r="G56" s="231">
        <v>6847</v>
      </c>
      <c r="H56" s="231">
        <f>E56+G56</f>
        <v>129120</v>
      </c>
      <c r="I56" s="231">
        <f>553.36*12</f>
        <v>6640.32</v>
      </c>
      <c r="J56" s="231">
        <f t="shared" si="11"/>
        <v>132806.39999999999</v>
      </c>
      <c r="K56" s="231">
        <v>109951</v>
      </c>
      <c r="L56" s="231">
        <f t="shared" si="12"/>
        <v>242757.4</v>
      </c>
      <c r="M56" s="225">
        <v>4.7000000000000002E-3</v>
      </c>
      <c r="N56" s="240">
        <v>3.4099999999999998E-2</v>
      </c>
    </row>
    <row r="57" spans="1:16" x14ac:dyDescent="0.35">
      <c r="A57" s="135" t="s">
        <v>49</v>
      </c>
    </row>
    <row r="58" spans="1:16" x14ac:dyDescent="0.35">
      <c r="A58" s="131" t="s">
        <v>95</v>
      </c>
    </row>
    <row r="59" spans="1:16" x14ac:dyDescent="0.35">
      <c r="A59" s="131" t="s">
        <v>96</v>
      </c>
    </row>
    <row r="60" spans="1:16" x14ac:dyDescent="0.35">
      <c r="A60" s="131" t="s">
        <v>130</v>
      </c>
    </row>
  </sheetData>
  <sheetProtection algorithmName="SHA-512" hashValue="Y/W5wqL8OPs6E61rc1BBdjc/z6r34oTez/WbZGvMb33aCWrMhfdPDG2EPCtQ6UOu/LLPKkhqRnZUxQOSINvarA==" saltValue="qsmGD9JFAOhnt7lLnJmocg==" spinCount="100000" sheet="1" objects="1" scenarios="1" selectLockedCells="1" autoFilter="0" selectUnlockedCells="1"/>
  <mergeCells count="13">
    <mergeCell ref="P6:P41"/>
    <mergeCell ref="A49:D49"/>
    <mergeCell ref="E49:H49"/>
    <mergeCell ref="I49:N49"/>
    <mergeCell ref="A4:D4"/>
    <mergeCell ref="E4:H4"/>
    <mergeCell ref="I4:N4"/>
    <mergeCell ref="A19:D19"/>
    <mergeCell ref="E19:H19"/>
    <mergeCell ref="I19:N19"/>
    <mergeCell ref="A34:D34"/>
    <mergeCell ref="E34:H34"/>
    <mergeCell ref="I34:N34"/>
  </mergeCells>
  <conditionalFormatting sqref="M6:M11">
    <cfRule type="top10" dxfId="71" priority="1" rank="1"/>
    <cfRule type="top10" dxfId="70" priority="2" rank="2"/>
  </conditionalFormatting>
  <conditionalFormatting sqref="M21:M26">
    <cfRule type="top10" dxfId="69" priority="5" rank="1"/>
    <cfRule type="top10" dxfId="68" priority="6" rank="2"/>
  </conditionalFormatting>
  <conditionalFormatting sqref="M36:M41">
    <cfRule type="top10" dxfId="67" priority="9" rank="1"/>
    <cfRule type="top10" dxfId="66" priority="10" rank="2"/>
  </conditionalFormatting>
  <conditionalFormatting sqref="M51:M56">
    <cfRule type="top10" dxfId="65" priority="13" rank="1"/>
    <cfRule type="top10" dxfId="64" priority="14" rank="2"/>
  </conditionalFormatting>
  <conditionalFormatting sqref="N6:N11">
    <cfRule type="top10" dxfId="63" priority="3" rank="1"/>
    <cfRule type="top10" dxfId="62" priority="4" rank="2"/>
  </conditionalFormatting>
  <conditionalFormatting sqref="N21:N26">
    <cfRule type="top10" dxfId="61" priority="7" rank="1"/>
    <cfRule type="top10" dxfId="60" priority="8" rank="2"/>
  </conditionalFormatting>
  <conditionalFormatting sqref="N36:N41">
    <cfRule type="top10" dxfId="59" priority="11" rank="1"/>
    <cfRule type="top10" dxfId="58" priority="12" rank="2"/>
  </conditionalFormatting>
  <conditionalFormatting sqref="N51:N56">
    <cfRule type="top10" dxfId="57" priority="15" rank="1"/>
    <cfRule type="top10" dxfId="56" priority="16"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E6585-F15F-42DA-8E5C-172A21D04938}">
  <sheetPr>
    <pageSetUpPr fitToPage="1"/>
  </sheetPr>
  <dimension ref="A1:T56"/>
  <sheetViews>
    <sheetView showGridLines="0" zoomScale="70" zoomScaleNormal="70" workbookViewId="0">
      <pane xSplit="1" topLeftCell="B1" activePane="topRight" state="frozen"/>
      <selection pane="topRight" activeCell="L42" sqref="L42"/>
    </sheetView>
  </sheetViews>
  <sheetFormatPr defaultColWidth="9.1796875" defaultRowHeight="14.5" x14ac:dyDescent="0.35"/>
  <cols>
    <col min="1" max="1" width="35.1796875" style="131" customWidth="1"/>
    <col min="2" max="2" width="12.1796875" style="131" bestFit="1" customWidth="1"/>
    <col min="3" max="3" width="11.54296875" style="131" bestFit="1" customWidth="1"/>
    <col min="4" max="4" width="12.54296875" style="131" bestFit="1" customWidth="1"/>
    <col min="5" max="5" width="17.54296875" style="131" hidden="1" customWidth="1"/>
    <col min="6" max="6" width="36.08984375" style="131" customWidth="1"/>
    <col min="7" max="7" width="18.81640625" style="131" hidden="1" customWidth="1"/>
    <col min="8" max="8" width="13.453125" style="131" hidden="1" customWidth="1"/>
    <col min="9" max="9" width="14.90625" style="131" hidden="1" customWidth="1"/>
    <col min="10" max="10" width="14.54296875" style="131" bestFit="1" customWidth="1"/>
    <col min="11" max="11" width="13.81640625" style="131" customWidth="1"/>
    <col min="12" max="12" width="13.1796875" style="131" customWidth="1"/>
    <col min="13" max="14" width="16.81640625" style="131" customWidth="1"/>
    <col min="15" max="15" width="4.81640625" style="131" customWidth="1"/>
    <col min="16" max="16" width="48.6328125" style="131" customWidth="1"/>
    <col min="17" max="17" width="11.54296875" style="131" customWidth="1"/>
    <col min="18" max="18" width="11.81640625" style="131" hidden="1" customWidth="1"/>
    <col min="19" max="19" width="13.1796875" style="131" hidden="1" customWidth="1"/>
    <col min="20" max="20" width="11.453125" style="131" customWidth="1"/>
    <col min="21" max="21" width="12.453125" style="131" customWidth="1"/>
    <col min="22" max="22" width="11.453125" style="131" customWidth="1"/>
    <col min="23" max="23" width="10" style="131" bestFit="1" customWidth="1"/>
    <col min="24" max="24" width="20.54296875" style="131" customWidth="1"/>
    <col min="25" max="16384" width="9.1796875" style="131"/>
  </cols>
  <sheetData>
    <row r="1" spans="1:20" ht="15.65" customHeight="1" x14ac:dyDescent="0.35">
      <c r="D1" s="186"/>
      <c r="E1" s="186"/>
      <c r="F1" s="186"/>
      <c r="K1" s="186"/>
    </row>
    <row r="2" spans="1:20" ht="21" customHeight="1" x14ac:dyDescent="0.35">
      <c r="A2" s="135" t="s">
        <v>250</v>
      </c>
      <c r="B2" s="135"/>
      <c r="J2" s="138" t="s">
        <v>17</v>
      </c>
      <c r="K2" s="139" t="s">
        <v>18</v>
      </c>
      <c r="M2" s="188"/>
      <c r="N2" s="188"/>
      <c r="O2" s="135"/>
      <c r="P2" s="237"/>
      <c r="Q2" s="237"/>
      <c r="T2" s="237"/>
    </row>
    <row r="3" spans="1:20" ht="15" customHeight="1" thickBot="1" x14ac:dyDescent="0.4">
      <c r="A3" s="135" t="s">
        <v>259</v>
      </c>
      <c r="B3" s="135"/>
      <c r="J3" s="135"/>
      <c r="K3" s="135"/>
      <c r="M3" s="188"/>
      <c r="N3" s="188"/>
      <c r="O3" s="135"/>
      <c r="P3" s="237"/>
    </row>
    <row r="4" spans="1:20" ht="15" thickBot="1" x14ac:dyDescent="0.4">
      <c r="A4" s="377"/>
      <c r="B4" s="378"/>
      <c r="C4" s="378"/>
      <c r="D4" s="378"/>
      <c r="E4" s="350" t="s">
        <v>80</v>
      </c>
      <c r="F4" s="351"/>
      <c r="G4" s="351"/>
      <c r="H4" s="352"/>
      <c r="I4" s="353" t="s">
        <v>81</v>
      </c>
      <c r="J4" s="354"/>
      <c r="K4" s="354"/>
      <c r="L4" s="354"/>
      <c r="M4" s="354"/>
      <c r="N4" s="355"/>
      <c r="P4" s="237"/>
    </row>
    <row r="5" spans="1:20" ht="62.25" customHeight="1"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P5" s="289" t="s">
        <v>15</v>
      </c>
      <c r="R5" s="132" t="s">
        <v>297</v>
      </c>
      <c r="S5" s="132" t="s">
        <v>298</v>
      </c>
    </row>
    <row r="6" spans="1:20" ht="15" customHeight="1" x14ac:dyDescent="0.35">
      <c r="A6" s="156" t="s">
        <v>151</v>
      </c>
      <c r="B6" s="207">
        <v>20</v>
      </c>
      <c r="C6" s="208">
        <v>23991.200000000001</v>
      </c>
      <c r="D6" s="208">
        <f>5*C6</f>
        <v>119956</v>
      </c>
      <c r="E6" s="173">
        <v>127153</v>
      </c>
      <c r="F6" s="173" t="s">
        <v>45</v>
      </c>
      <c r="G6" s="173">
        <v>38862</v>
      </c>
      <c r="H6" s="173">
        <f>E6+G6</f>
        <v>166015</v>
      </c>
      <c r="I6" s="208">
        <f>760*12</f>
        <v>9120</v>
      </c>
      <c r="J6" s="208">
        <f>I6*20</f>
        <v>182400</v>
      </c>
      <c r="K6" s="208">
        <f>L6-J6</f>
        <v>147640</v>
      </c>
      <c r="L6" s="208">
        <v>330040</v>
      </c>
      <c r="M6" s="238">
        <v>1.47E-2</v>
      </c>
      <c r="N6" s="220">
        <v>3.6200000000000003E-2</v>
      </c>
      <c r="P6" s="363" t="s">
        <v>134</v>
      </c>
      <c r="R6" s="132" t="str" cm="1">
        <f t="array" ref="R6">INDEX(A6:A11,MATCH(MAX(M6:M11),M6:M11,0),0)</f>
        <v>China Taiping i-Retire (II)</v>
      </c>
      <c r="S6" s="132" t="str" cm="1">
        <f t="array" ref="S6">INDEX(A6:A11,MATCH(MAX(N6:N11),N6:N11,0),0)</f>
        <v>China Taiping i-Retire (II)</v>
      </c>
    </row>
    <row r="7" spans="1:20" ht="15" customHeight="1" x14ac:dyDescent="0.35">
      <c r="A7" s="164" t="s">
        <v>64</v>
      </c>
      <c r="B7" s="165">
        <v>20</v>
      </c>
      <c r="C7" s="173">
        <v>23760</v>
      </c>
      <c r="D7" s="173">
        <f t="shared" ref="D7:D11" si="0">5*C7</f>
        <v>118800</v>
      </c>
      <c r="E7" s="173">
        <v>125500</v>
      </c>
      <c r="F7" s="212" t="str">
        <f>IF(E7&gt;=D7,"Yes","No")</f>
        <v>Yes</v>
      </c>
      <c r="G7" s="173">
        <v>16679</v>
      </c>
      <c r="H7" s="212">
        <f>E7+G7</f>
        <v>142179</v>
      </c>
      <c r="I7" s="173">
        <v>7200</v>
      </c>
      <c r="J7" s="173">
        <v>183600</v>
      </c>
      <c r="K7" s="212">
        <f>L7-J7</f>
        <v>188244</v>
      </c>
      <c r="L7" s="173">
        <v>371844</v>
      </c>
      <c r="M7" s="223">
        <v>1.4800000000000001E-2</v>
      </c>
      <c r="N7" s="224">
        <v>3.9600000000000003E-2</v>
      </c>
      <c r="P7" s="364"/>
      <c r="R7" s="132" t="str" cm="1">
        <f t="array" ref="R7">INDEX(A20:A25,MATCH(MAX(M20:M25),M20:M25,0),0)</f>
        <v>Singlife Flexi Retirement (II)</v>
      </c>
      <c r="S7" s="132" t="str" cm="1">
        <f t="array" ref="S7">INDEX(A20:A25,MATCH(MAX(N20:N25),N20:N25,0),0)</f>
        <v>China Taiping i-Retire (II)</v>
      </c>
    </row>
    <row r="8" spans="1:20" ht="15" customHeight="1" x14ac:dyDescent="0.35">
      <c r="A8" s="164" t="s">
        <v>67</v>
      </c>
      <c r="B8" s="165">
        <v>20</v>
      </c>
      <c r="C8" s="173">
        <v>24000</v>
      </c>
      <c r="D8" s="173">
        <f t="shared" si="0"/>
        <v>120000</v>
      </c>
      <c r="E8" s="173">
        <f>D8</f>
        <v>120000</v>
      </c>
      <c r="F8" s="173" t="str">
        <f>IF(E8&gt;=D8,"Yes","No")</f>
        <v>Yes</v>
      </c>
      <c r="G8" s="173">
        <v>26400</v>
      </c>
      <c r="H8" s="173">
        <f>SUM(E8,G8)</f>
        <v>146400</v>
      </c>
      <c r="I8" s="173">
        <f>766.92*12</f>
        <v>9203.0399999999991</v>
      </c>
      <c r="J8" s="212">
        <f t="shared" ref="J8:J11" si="1">I8*20</f>
        <v>184060.79999999999</v>
      </c>
      <c r="K8" s="173">
        <v>201715</v>
      </c>
      <c r="L8" s="173">
        <f t="shared" ref="L8:L11" si="2">J8+K8</f>
        <v>385775.8</v>
      </c>
      <c r="M8" s="223">
        <v>1.4999999999999999E-2</v>
      </c>
      <c r="N8" s="221">
        <v>4.2099999999999999E-2</v>
      </c>
      <c r="P8" s="364"/>
      <c r="R8" s="132" t="str" cm="1">
        <f t="array" ref="R8">INDEX(A34:A39,MATCH(MAX(M34:M39),M34:M39,0),0)</f>
        <v>Singlife Flexi Retirement (II)</v>
      </c>
      <c r="S8" s="132" t="str" cm="1">
        <f t="array" ref="S8">INDEX(A34:A39,MATCH(MAX(N34:N39),N34:N39,0),0)</f>
        <v>China Taiping i-Retire (II)</v>
      </c>
    </row>
    <row r="9" spans="1:20" x14ac:dyDescent="0.35">
      <c r="A9" s="164" t="s">
        <v>26</v>
      </c>
      <c r="B9" s="165">
        <v>20</v>
      </c>
      <c r="C9" s="173">
        <v>23103.8</v>
      </c>
      <c r="D9" s="173">
        <f t="shared" si="0"/>
        <v>115519</v>
      </c>
      <c r="E9" s="173">
        <v>115521</v>
      </c>
      <c r="F9" s="173" t="s">
        <v>45</v>
      </c>
      <c r="G9" s="173">
        <v>38543</v>
      </c>
      <c r="H9" s="173">
        <f>E9+G9</f>
        <v>154064</v>
      </c>
      <c r="I9" s="173">
        <v>7200</v>
      </c>
      <c r="J9" s="173">
        <f t="shared" si="1"/>
        <v>144000</v>
      </c>
      <c r="K9" s="173">
        <f>L9-J9</f>
        <v>178950.8</v>
      </c>
      <c r="L9" s="173">
        <v>322950.8</v>
      </c>
      <c r="M9" s="213">
        <v>7.7999999999999996E-3</v>
      </c>
      <c r="N9" s="224">
        <v>3.4500000000000003E-2</v>
      </c>
      <c r="P9" s="364"/>
      <c r="R9" s="132" t="str" cm="1">
        <f t="array" ref="R9">INDEX($A48:$A53,MATCH(MAX(M48:M53),M48:M53,0),0)</f>
        <v>Singlife Flexi Retirement (II)</v>
      </c>
      <c r="S9" s="132" t="str" cm="1">
        <f t="array" ref="S9">INDEX($A48:$A53,MATCH(MAX(N48:N53),N48:N53,0),0)</f>
        <v>China Taiping i-Retire (II)</v>
      </c>
    </row>
    <row r="10" spans="1:20" ht="14.15" customHeight="1" x14ac:dyDescent="0.35">
      <c r="A10" s="164" t="s">
        <v>27</v>
      </c>
      <c r="B10" s="132">
        <v>20</v>
      </c>
      <c r="C10" s="173">
        <v>23647.05</v>
      </c>
      <c r="D10" s="173">
        <f t="shared" si="0"/>
        <v>118235.25</v>
      </c>
      <c r="E10" s="173">
        <f>D10</f>
        <v>118235.25</v>
      </c>
      <c r="F10" s="173" t="s">
        <v>45</v>
      </c>
      <c r="G10" s="173">
        <v>12229</v>
      </c>
      <c r="H10" s="173">
        <f>E10+G10</f>
        <v>130464.25</v>
      </c>
      <c r="I10" s="173">
        <f>630*12</f>
        <v>7560</v>
      </c>
      <c r="J10" s="173">
        <f t="shared" si="1"/>
        <v>151200</v>
      </c>
      <c r="K10" s="173">
        <v>185356</v>
      </c>
      <c r="L10" s="173">
        <f t="shared" si="2"/>
        <v>336556</v>
      </c>
      <c r="M10" s="213">
        <v>8.5000000000000006E-3</v>
      </c>
      <c r="N10" s="224">
        <v>3.7400000000000003E-2</v>
      </c>
      <c r="P10" s="364"/>
      <c r="R10" s="132"/>
      <c r="S10" s="132"/>
    </row>
    <row r="11" spans="1:20" ht="13.4" customHeight="1" thickBot="1" x14ac:dyDescent="0.4">
      <c r="A11" s="168" t="s">
        <v>54</v>
      </c>
      <c r="B11" s="169">
        <v>20</v>
      </c>
      <c r="C11" s="217">
        <v>24000</v>
      </c>
      <c r="D11" s="217">
        <f t="shared" si="0"/>
        <v>120000</v>
      </c>
      <c r="E11" s="217">
        <v>120080</v>
      </c>
      <c r="F11" s="173" t="s">
        <v>45</v>
      </c>
      <c r="G11" s="217">
        <v>10087</v>
      </c>
      <c r="H11" s="217">
        <f t="shared" ref="H11" si="3">E11+G11</f>
        <v>130167</v>
      </c>
      <c r="I11" s="217">
        <f>664.67*12</f>
        <v>7976.0399999999991</v>
      </c>
      <c r="J11" s="217">
        <f t="shared" si="1"/>
        <v>159520.79999999999</v>
      </c>
      <c r="K11" s="217">
        <v>205973</v>
      </c>
      <c r="L11" s="217">
        <f t="shared" si="2"/>
        <v>365493.8</v>
      </c>
      <c r="M11" s="225">
        <v>9.9000000000000008E-3</v>
      </c>
      <c r="N11" s="226">
        <v>4.0099999999999997E-2</v>
      </c>
      <c r="O11" s="189"/>
      <c r="P11" s="364"/>
    </row>
    <row r="12" spans="1:20" x14ac:dyDescent="0.35">
      <c r="A12" s="135" t="s">
        <v>49</v>
      </c>
      <c r="B12" s="239"/>
      <c r="C12" s="239"/>
      <c r="D12" s="239"/>
      <c r="E12" s="239"/>
      <c r="F12" s="239"/>
      <c r="G12" s="239"/>
      <c r="H12" s="239"/>
      <c r="I12" s="189"/>
      <c r="J12" s="189"/>
      <c r="K12" s="189"/>
      <c r="L12" s="189"/>
      <c r="M12" s="189"/>
      <c r="N12" s="189"/>
      <c r="P12" s="364"/>
    </row>
    <row r="13" spans="1:20" x14ac:dyDescent="0.35">
      <c r="A13" s="131" t="s">
        <v>131</v>
      </c>
      <c r="B13" s="189"/>
      <c r="C13" s="189"/>
      <c r="D13" s="189"/>
      <c r="E13" s="189"/>
      <c r="F13" s="189"/>
      <c r="G13" s="189"/>
      <c r="H13" s="189"/>
      <c r="I13" s="189"/>
      <c r="J13" s="189"/>
      <c r="K13" s="189"/>
      <c r="L13" s="189"/>
      <c r="M13" s="189"/>
      <c r="N13" s="189"/>
      <c r="P13" s="364"/>
    </row>
    <row r="14" spans="1:20" x14ac:dyDescent="0.35">
      <c r="A14" s="131" t="s">
        <v>96</v>
      </c>
      <c r="B14" s="189"/>
      <c r="C14" s="189"/>
      <c r="D14" s="189"/>
      <c r="E14" s="189"/>
      <c r="F14" s="189"/>
      <c r="G14" s="189"/>
      <c r="H14" s="189"/>
      <c r="I14" s="189"/>
      <c r="J14" s="189"/>
      <c r="K14" s="189"/>
      <c r="L14" s="189"/>
      <c r="M14" s="189"/>
      <c r="N14" s="189"/>
      <c r="P14" s="364"/>
    </row>
    <row r="15" spans="1:20" x14ac:dyDescent="0.35">
      <c r="B15" s="189"/>
      <c r="C15" s="189"/>
      <c r="D15" s="189"/>
      <c r="E15" s="189"/>
      <c r="F15" s="189"/>
      <c r="G15" s="189"/>
      <c r="H15" s="189"/>
      <c r="I15" s="189"/>
      <c r="J15" s="189"/>
      <c r="K15" s="189"/>
      <c r="L15" s="189"/>
      <c r="M15" s="189"/>
      <c r="N15" s="189"/>
      <c r="P15" s="364"/>
    </row>
    <row r="16" spans="1:20" ht="18" customHeight="1" x14ac:dyDescent="0.35">
      <c r="A16" s="135" t="s">
        <v>252</v>
      </c>
      <c r="B16" s="135"/>
      <c r="J16" s="138" t="s">
        <v>17</v>
      </c>
      <c r="K16" s="139" t="s">
        <v>18</v>
      </c>
      <c r="M16" s="188"/>
      <c r="N16" s="188"/>
      <c r="O16" s="155"/>
      <c r="P16" s="364"/>
    </row>
    <row r="17" spans="1:19" ht="17.899999999999999" customHeight="1" thickBot="1" x14ac:dyDescent="0.4">
      <c r="A17" s="135" t="s">
        <v>260</v>
      </c>
      <c r="B17" s="135"/>
      <c r="J17" s="135"/>
      <c r="K17" s="135"/>
      <c r="M17" s="188"/>
      <c r="N17" s="188"/>
      <c r="O17" s="155"/>
      <c r="P17" s="364"/>
    </row>
    <row r="18" spans="1:19" ht="15" thickBot="1" x14ac:dyDescent="0.4">
      <c r="A18" s="377"/>
      <c r="B18" s="378"/>
      <c r="C18" s="378"/>
      <c r="D18" s="383"/>
      <c r="E18" s="350" t="s">
        <v>80</v>
      </c>
      <c r="F18" s="351"/>
      <c r="G18" s="351"/>
      <c r="H18" s="352"/>
      <c r="I18" s="353" t="s">
        <v>81</v>
      </c>
      <c r="J18" s="354"/>
      <c r="K18" s="354"/>
      <c r="L18" s="354"/>
      <c r="M18" s="354"/>
      <c r="N18" s="355"/>
      <c r="O18" s="135"/>
      <c r="P18" s="364"/>
    </row>
    <row r="19" spans="1:19" ht="44" thickBot="1" x14ac:dyDescent="0.4">
      <c r="A19" s="144" t="s">
        <v>7</v>
      </c>
      <c r="B19" s="175" t="s">
        <v>10</v>
      </c>
      <c r="C19" s="203" t="s">
        <v>8</v>
      </c>
      <c r="D19" s="204" t="s">
        <v>9</v>
      </c>
      <c r="E19" s="177" t="s">
        <v>77</v>
      </c>
      <c r="F19" s="178" t="s">
        <v>82</v>
      </c>
      <c r="G19" s="178" t="s">
        <v>78</v>
      </c>
      <c r="H19" s="205" t="s">
        <v>83</v>
      </c>
      <c r="I19" s="180" t="s">
        <v>11</v>
      </c>
      <c r="J19" s="181" t="s">
        <v>12</v>
      </c>
      <c r="K19" s="181" t="s">
        <v>13</v>
      </c>
      <c r="L19" s="182" t="s">
        <v>14</v>
      </c>
      <c r="M19" s="180" t="s">
        <v>84</v>
      </c>
      <c r="N19" s="182" t="s">
        <v>85</v>
      </c>
      <c r="P19" s="364"/>
    </row>
    <row r="20" spans="1:19" ht="15" customHeight="1" x14ac:dyDescent="0.35">
      <c r="A20" s="156" t="s">
        <v>151</v>
      </c>
      <c r="B20" s="207">
        <v>20</v>
      </c>
      <c r="C20" s="208">
        <v>24077.25</v>
      </c>
      <c r="D20" s="208">
        <f>10*C20</f>
        <v>240772.5</v>
      </c>
      <c r="E20" s="208">
        <v>255218</v>
      </c>
      <c r="F20" s="208" t="s">
        <v>45</v>
      </c>
      <c r="G20" s="208">
        <v>66656</v>
      </c>
      <c r="H20" s="208">
        <f t="shared" ref="H20:H25" si="4">E20+G20</f>
        <v>321874</v>
      </c>
      <c r="I20" s="209">
        <f>1470*12</f>
        <v>17640</v>
      </c>
      <c r="J20" s="208">
        <f t="shared" ref="J20:J25" si="5">I20*20</f>
        <v>352800</v>
      </c>
      <c r="K20" s="208">
        <f>L20-J20</f>
        <v>225460</v>
      </c>
      <c r="L20" s="208">
        <v>578260</v>
      </c>
      <c r="M20" s="210">
        <v>1.46E-2</v>
      </c>
      <c r="N20" s="220">
        <v>3.4099999999999998E-2</v>
      </c>
      <c r="P20" s="364"/>
      <c r="R20" s="132"/>
      <c r="S20" s="132"/>
    </row>
    <row r="21" spans="1:19" ht="15" customHeight="1" x14ac:dyDescent="0.35">
      <c r="A21" s="164" t="s">
        <v>64</v>
      </c>
      <c r="B21" s="165">
        <v>20</v>
      </c>
      <c r="C21" s="173">
        <v>23892.799999999999</v>
      </c>
      <c r="D21" s="173">
        <f t="shared" ref="D21:D25" si="6">10*C21</f>
        <v>238928</v>
      </c>
      <c r="E21" s="173">
        <v>246191</v>
      </c>
      <c r="F21" s="212" t="str">
        <f>IF(E21&gt;=D21,"Yes","No")</f>
        <v>Yes</v>
      </c>
      <c r="G21" s="173">
        <v>33545</v>
      </c>
      <c r="H21" s="212">
        <f t="shared" si="4"/>
        <v>279736</v>
      </c>
      <c r="I21" s="212">
        <v>13080</v>
      </c>
      <c r="J21" s="173">
        <v>333540</v>
      </c>
      <c r="K21" s="212">
        <f>L21-J21</f>
        <v>344980</v>
      </c>
      <c r="L21" s="173">
        <v>678520</v>
      </c>
      <c r="M21" s="213">
        <v>1.23E-2</v>
      </c>
      <c r="N21" s="221">
        <v>3.9399999999999998E-2</v>
      </c>
      <c r="P21" s="364"/>
    </row>
    <row r="22" spans="1:19" ht="15" customHeight="1" x14ac:dyDescent="0.35">
      <c r="A22" s="164" t="s">
        <v>67</v>
      </c>
      <c r="B22" s="165">
        <v>20</v>
      </c>
      <c r="C22" s="173">
        <v>24000</v>
      </c>
      <c r="D22" s="173">
        <f t="shared" si="6"/>
        <v>240000</v>
      </c>
      <c r="E22" s="173">
        <f>D22</f>
        <v>240000</v>
      </c>
      <c r="F22" s="173" t="str">
        <f>IF(E22&gt;=D22,"Yes","No")</f>
        <v>Yes</v>
      </c>
      <c r="G22" s="173">
        <v>38400</v>
      </c>
      <c r="H22" s="212">
        <f t="shared" si="4"/>
        <v>278400</v>
      </c>
      <c r="I22" s="212">
        <f>1441.2*12</f>
        <v>17294.400000000001</v>
      </c>
      <c r="J22" s="212">
        <f t="shared" si="5"/>
        <v>345888</v>
      </c>
      <c r="K22" s="173">
        <v>328550</v>
      </c>
      <c r="L22" s="173">
        <f t="shared" ref="L22:L25" si="7">J22+K22</f>
        <v>674438</v>
      </c>
      <c r="M22" s="223">
        <v>1.4E-2</v>
      </c>
      <c r="N22" s="221">
        <v>4.0599999999999997E-2</v>
      </c>
      <c r="P22" s="364"/>
    </row>
    <row r="23" spans="1:19" x14ac:dyDescent="0.35">
      <c r="A23" s="164" t="s">
        <v>26</v>
      </c>
      <c r="B23" s="165">
        <v>20</v>
      </c>
      <c r="C23" s="173">
        <v>23951.8</v>
      </c>
      <c r="D23" s="173">
        <f t="shared" si="6"/>
        <v>239518</v>
      </c>
      <c r="E23" s="173">
        <v>239525</v>
      </c>
      <c r="F23" s="173" t="s">
        <v>45</v>
      </c>
      <c r="G23" s="173">
        <v>68095</v>
      </c>
      <c r="H23" s="173">
        <f t="shared" si="4"/>
        <v>307620</v>
      </c>
      <c r="I23" s="173">
        <v>15000</v>
      </c>
      <c r="J23" s="173">
        <f t="shared" si="5"/>
        <v>300000</v>
      </c>
      <c r="K23" s="173">
        <f>L23-J23</f>
        <v>303039</v>
      </c>
      <c r="L23" s="173">
        <v>603039</v>
      </c>
      <c r="M23" s="213">
        <v>8.6999999999999994E-3</v>
      </c>
      <c r="N23" s="224">
        <v>3.4000000000000002E-2</v>
      </c>
      <c r="O23" s="135"/>
      <c r="P23" s="364"/>
    </row>
    <row r="24" spans="1:19" x14ac:dyDescent="0.35">
      <c r="A24" s="164" t="s">
        <v>27</v>
      </c>
      <c r="B24" s="165">
        <v>20</v>
      </c>
      <c r="C24" s="244">
        <v>23899.759999999998</v>
      </c>
      <c r="D24" s="173">
        <f t="shared" si="6"/>
        <v>238997.59999999998</v>
      </c>
      <c r="E24" s="173">
        <f>D24</f>
        <v>238997.59999999998</v>
      </c>
      <c r="F24" s="173" t="s">
        <v>45</v>
      </c>
      <c r="G24" s="244">
        <v>30566</v>
      </c>
      <c r="H24" s="173">
        <f t="shared" si="4"/>
        <v>269563.59999999998</v>
      </c>
      <c r="I24" s="244">
        <f>1240*12</f>
        <v>14880</v>
      </c>
      <c r="J24" s="173">
        <f t="shared" si="5"/>
        <v>297600</v>
      </c>
      <c r="K24" s="244">
        <v>322548</v>
      </c>
      <c r="L24" s="173">
        <f t="shared" si="7"/>
        <v>620148</v>
      </c>
      <c r="M24" s="213">
        <v>8.3000000000000001E-3</v>
      </c>
      <c r="N24" s="224">
        <v>3.7199999999999997E-2</v>
      </c>
      <c r="O24" s="135"/>
      <c r="P24" s="364"/>
    </row>
    <row r="25" spans="1:19" ht="15" thickBot="1" x14ac:dyDescent="0.4">
      <c r="A25" s="168" t="s">
        <v>54</v>
      </c>
      <c r="B25" s="169">
        <v>20</v>
      </c>
      <c r="C25" s="217">
        <v>24000.1</v>
      </c>
      <c r="D25" s="217">
        <f t="shared" si="6"/>
        <v>240001</v>
      </c>
      <c r="E25" s="217">
        <v>244901</v>
      </c>
      <c r="F25" s="217" t="s">
        <v>45</v>
      </c>
      <c r="G25" s="217">
        <v>16163</v>
      </c>
      <c r="H25" s="217">
        <f t="shared" si="4"/>
        <v>261064</v>
      </c>
      <c r="I25" s="217">
        <f>1226.83*12</f>
        <v>14721.96</v>
      </c>
      <c r="J25" s="217">
        <f t="shared" si="5"/>
        <v>294439.19999999995</v>
      </c>
      <c r="K25" s="217">
        <v>339871</v>
      </c>
      <c r="L25" s="217">
        <f t="shared" si="7"/>
        <v>634310.19999999995</v>
      </c>
      <c r="M25" s="225">
        <v>7.7999999999999996E-3</v>
      </c>
      <c r="N25" s="240">
        <v>3.8100000000000002E-2</v>
      </c>
      <c r="O25" s="135"/>
      <c r="P25" s="364"/>
    </row>
    <row r="26" spans="1:19" ht="15.65" customHeight="1" x14ac:dyDescent="0.35">
      <c r="A26" s="135" t="s">
        <v>49</v>
      </c>
      <c r="C26" s="173"/>
      <c r="D26" s="173"/>
      <c r="E26" s="173"/>
      <c r="F26" s="173"/>
      <c r="G26" s="173"/>
      <c r="H26" s="173"/>
      <c r="I26" s="173"/>
      <c r="J26" s="173"/>
      <c r="K26" s="173"/>
      <c r="L26" s="173"/>
      <c r="M26" s="174"/>
      <c r="N26" s="174"/>
      <c r="P26" s="364"/>
    </row>
    <row r="27" spans="1:19" ht="15.65" customHeight="1" x14ac:dyDescent="0.35">
      <c r="A27" s="131" t="s">
        <v>131</v>
      </c>
      <c r="C27" s="173"/>
      <c r="D27" s="173"/>
      <c r="E27" s="173"/>
      <c r="F27" s="173"/>
      <c r="G27" s="173"/>
      <c r="H27" s="173"/>
      <c r="I27" s="173"/>
      <c r="J27" s="173"/>
      <c r="K27" s="173"/>
      <c r="L27" s="173"/>
      <c r="M27" s="174"/>
      <c r="N27" s="174"/>
      <c r="P27" s="364"/>
    </row>
    <row r="28" spans="1:19" ht="15.65" customHeight="1" x14ac:dyDescent="0.35">
      <c r="A28" s="131" t="s">
        <v>96</v>
      </c>
      <c r="C28" s="173"/>
      <c r="D28" s="173"/>
      <c r="E28" s="173"/>
      <c r="F28" s="173"/>
      <c r="G28" s="173"/>
      <c r="H28" s="173"/>
      <c r="I28" s="173"/>
      <c r="J28" s="173"/>
      <c r="K28" s="173"/>
      <c r="L28" s="173"/>
      <c r="M28" s="174"/>
      <c r="N28" s="174"/>
      <c r="P28" s="364"/>
    </row>
    <row r="29" spans="1:19" ht="15.65" customHeight="1" x14ac:dyDescent="0.35">
      <c r="C29" s="173"/>
      <c r="D29" s="173"/>
      <c r="E29" s="173"/>
      <c r="F29" s="173"/>
      <c r="G29" s="173"/>
      <c r="H29" s="173"/>
      <c r="I29" s="173"/>
      <c r="J29" s="173"/>
      <c r="K29" s="173"/>
      <c r="L29" s="173"/>
      <c r="M29" s="174"/>
      <c r="N29" s="174"/>
      <c r="P29" s="364"/>
    </row>
    <row r="30" spans="1:19" ht="15.65" customHeight="1" x14ac:dyDescent="0.35">
      <c r="A30" s="135" t="s">
        <v>254</v>
      </c>
      <c r="B30" s="135"/>
      <c r="C30" s="136"/>
      <c r="D30" s="136"/>
      <c r="E30" s="136"/>
      <c r="F30" s="136"/>
      <c r="G30" s="136"/>
      <c r="H30" s="136"/>
      <c r="I30" s="136"/>
      <c r="J30" s="138" t="s">
        <v>17</v>
      </c>
      <c r="K30" s="139" t="s">
        <v>18</v>
      </c>
      <c r="L30" s="136"/>
      <c r="M30" s="188"/>
      <c r="N30" s="188"/>
      <c r="O30" s="135"/>
      <c r="P30" s="364"/>
    </row>
    <row r="31" spans="1:19" ht="18" customHeight="1" thickBot="1" x14ac:dyDescent="0.4">
      <c r="A31" s="135" t="s">
        <v>261</v>
      </c>
      <c r="B31" s="135"/>
      <c r="C31" s="136"/>
      <c r="D31" s="136"/>
      <c r="E31" s="136"/>
      <c r="F31" s="136"/>
      <c r="G31" s="136"/>
      <c r="H31" s="136"/>
      <c r="I31" s="136"/>
      <c r="J31" s="135"/>
      <c r="K31" s="135"/>
      <c r="L31" s="136"/>
      <c r="M31" s="188"/>
      <c r="N31" s="188"/>
      <c r="O31" s="135"/>
      <c r="P31" s="364"/>
    </row>
    <row r="32" spans="1:19" ht="15" thickBot="1" x14ac:dyDescent="0.4">
      <c r="A32" s="377"/>
      <c r="B32" s="378"/>
      <c r="C32" s="378"/>
      <c r="D32" s="378"/>
      <c r="E32" s="350" t="s">
        <v>80</v>
      </c>
      <c r="F32" s="351"/>
      <c r="G32" s="351"/>
      <c r="H32" s="352"/>
      <c r="I32" s="353" t="s">
        <v>81</v>
      </c>
      <c r="J32" s="354"/>
      <c r="K32" s="354"/>
      <c r="L32" s="354"/>
      <c r="M32" s="354"/>
      <c r="N32" s="355"/>
      <c r="P32" s="364"/>
    </row>
    <row r="33" spans="1:19" ht="51" customHeight="1" thickBot="1" x14ac:dyDescent="0.4">
      <c r="A33" s="144" t="s">
        <v>7</v>
      </c>
      <c r="B33" s="175" t="s">
        <v>10</v>
      </c>
      <c r="C33" s="203" t="s">
        <v>8</v>
      </c>
      <c r="D33" s="204" t="s">
        <v>9</v>
      </c>
      <c r="E33" s="177" t="s">
        <v>77</v>
      </c>
      <c r="F33" s="178" t="s">
        <v>82</v>
      </c>
      <c r="G33" s="178" t="s">
        <v>78</v>
      </c>
      <c r="H33" s="205" t="s">
        <v>83</v>
      </c>
      <c r="I33" s="180" t="s">
        <v>11</v>
      </c>
      <c r="J33" s="181" t="s">
        <v>12</v>
      </c>
      <c r="K33" s="181" t="s">
        <v>13</v>
      </c>
      <c r="L33" s="182" t="s">
        <v>14</v>
      </c>
      <c r="M33" s="180" t="s">
        <v>84</v>
      </c>
      <c r="N33" s="182" t="s">
        <v>85</v>
      </c>
      <c r="P33" s="364"/>
      <c r="R33" s="132"/>
      <c r="S33" s="132"/>
    </row>
    <row r="34" spans="1:19" ht="15.65" customHeight="1" x14ac:dyDescent="0.35">
      <c r="A34" s="156" t="s">
        <v>151</v>
      </c>
      <c r="B34" s="207">
        <v>20</v>
      </c>
      <c r="C34" s="208">
        <v>23801</v>
      </c>
      <c r="D34" s="208">
        <f>5*C34</f>
        <v>119005</v>
      </c>
      <c r="E34" s="208">
        <v>123170</v>
      </c>
      <c r="F34" s="208" t="s">
        <v>45</v>
      </c>
      <c r="G34" s="208">
        <v>27336</v>
      </c>
      <c r="H34" s="208">
        <v>150506</v>
      </c>
      <c r="I34" s="208">
        <v>8400</v>
      </c>
      <c r="J34" s="208">
        <v>168000</v>
      </c>
      <c r="K34" s="208">
        <f>L34-J34</f>
        <v>95580</v>
      </c>
      <c r="L34" s="208">
        <v>263580</v>
      </c>
      <c r="M34" s="210">
        <v>1.46E-2</v>
      </c>
      <c r="N34" s="220">
        <v>3.44E-2</v>
      </c>
      <c r="P34" s="364"/>
    </row>
    <row r="35" spans="1:19" ht="15.65" customHeight="1" x14ac:dyDescent="0.35">
      <c r="A35" s="164" t="s">
        <v>64</v>
      </c>
      <c r="B35" s="165">
        <v>20</v>
      </c>
      <c r="C35" s="173">
        <v>23630.400000000001</v>
      </c>
      <c r="D35" s="173">
        <f t="shared" ref="D35:D39" si="8">5*C35</f>
        <v>118152</v>
      </c>
      <c r="E35" s="173">
        <v>123575</v>
      </c>
      <c r="F35" s="212" t="str">
        <f>IF(E35&gt;=D35,"Yes","No")</f>
        <v>Yes</v>
      </c>
      <c r="G35" s="173">
        <v>13398</v>
      </c>
      <c r="H35" s="212">
        <f t="shared" ref="H35:H39" si="9">E35+G35</f>
        <v>136973</v>
      </c>
      <c r="I35" s="173">
        <v>6480</v>
      </c>
      <c r="J35" s="173">
        <v>162000</v>
      </c>
      <c r="K35" s="212">
        <f>L35-J35</f>
        <v>116085</v>
      </c>
      <c r="L35" s="173">
        <v>278085</v>
      </c>
      <c r="M35" s="213">
        <v>1.2999999999999999E-2</v>
      </c>
      <c r="N35" s="224">
        <v>3.5700000000000003E-2</v>
      </c>
      <c r="P35" s="364"/>
    </row>
    <row r="36" spans="1:19" ht="15.65" customHeight="1" x14ac:dyDescent="0.35">
      <c r="A36" s="164" t="s">
        <v>67</v>
      </c>
      <c r="B36" s="165">
        <v>20</v>
      </c>
      <c r="C36" s="173">
        <v>24000</v>
      </c>
      <c r="D36" s="173">
        <f t="shared" si="8"/>
        <v>120000</v>
      </c>
      <c r="E36" s="173">
        <f>D36</f>
        <v>120000</v>
      </c>
      <c r="F36" s="173" t="str">
        <f>IF(E36&gt;=D36,"Yes","No")</f>
        <v>Yes</v>
      </c>
      <c r="G36" s="173">
        <v>18000</v>
      </c>
      <c r="H36" s="212">
        <f t="shared" si="9"/>
        <v>138000</v>
      </c>
      <c r="I36" s="173">
        <v>8308.7999999999993</v>
      </c>
      <c r="J36" s="212">
        <f t="shared" ref="J36:J39" si="10">I36*20</f>
        <v>166176</v>
      </c>
      <c r="K36" s="173">
        <v>140284</v>
      </c>
      <c r="L36" s="173">
        <f t="shared" ref="L36:L39" si="11">J36+K36</f>
        <v>306460</v>
      </c>
      <c r="M36" s="223">
        <v>1.38E-2</v>
      </c>
      <c r="N36" s="221">
        <v>4.1000000000000002E-2</v>
      </c>
      <c r="P36" s="364"/>
    </row>
    <row r="37" spans="1:19" ht="15.65" customHeight="1" x14ac:dyDescent="0.35">
      <c r="A37" s="164" t="s">
        <v>26</v>
      </c>
      <c r="B37" s="165">
        <v>20</v>
      </c>
      <c r="C37" s="173">
        <v>24259.7</v>
      </c>
      <c r="D37" s="173">
        <f t="shared" si="8"/>
        <v>121298.5</v>
      </c>
      <c r="E37" s="173">
        <v>121299</v>
      </c>
      <c r="F37" s="173" t="s">
        <v>45</v>
      </c>
      <c r="G37" s="173">
        <v>25817</v>
      </c>
      <c r="H37" s="173">
        <f t="shared" si="9"/>
        <v>147116</v>
      </c>
      <c r="I37" s="173">
        <v>7200</v>
      </c>
      <c r="J37" s="173">
        <f t="shared" si="10"/>
        <v>144000</v>
      </c>
      <c r="K37" s="173">
        <f>L37-J37</f>
        <v>130140</v>
      </c>
      <c r="L37" s="173">
        <v>274140</v>
      </c>
      <c r="M37" s="213">
        <v>7.4000000000000003E-3</v>
      </c>
      <c r="N37" s="224">
        <v>3.2899999999999999E-2</v>
      </c>
      <c r="P37" s="364"/>
    </row>
    <row r="38" spans="1:19" x14ac:dyDescent="0.35">
      <c r="A38" s="164" t="s">
        <v>27</v>
      </c>
      <c r="B38" s="165">
        <v>20</v>
      </c>
      <c r="C38" s="173">
        <v>23908.76</v>
      </c>
      <c r="D38" s="212">
        <f t="shared" si="8"/>
        <v>119543.79999999999</v>
      </c>
      <c r="E38" s="173">
        <f>D38</f>
        <v>119543.79999999999</v>
      </c>
      <c r="F38" s="173" t="s">
        <v>45</v>
      </c>
      <c r="G38" s="173">
        <v>8966</v>
      </c>
      <c r="H38" s="173">
        <f t="shared" si="9"/>
        <v>128509.79999999999</v>
      </c>
      <c r="I38" s="173">
        <f>580*12</f>
        <v>6960</v>
      </c>
      <c r="J38" s="173">
        <f t="shared" si="10"/>
        <v>139200</v>
      </c>
      <c r="K38" s="173">
        <v>130152</v>
      </c>
      <c r="L38" s="173">
        <f t="shared" si="11"/>
        <v>269352</v>
      </c>
      <c r="M38" s="213">
        <v>6.3E-3</v>
      </c>
      <c r="N38" s="224">
        <v>3.5099999999999999E-2</v>
      </c>
      <c r="P38" s="364"/>
    </row>
    <row r="39" spans="1:19" ht="15" thickBot="1" x14ac:dyDescent="0.4">
      <c r="A39" s="168" t="s">
        <v>54</v>
      </c>
      <c r="B39" s="169">
        <v>20</v>
      </c>
      <c r="C39" s="231">
        <v>24000.05</v>
      </c>
      <c r="D39" s="231">
        <f t="shared" si="8"/>
        <v>120000.25</v>
      </c>
      <c r="E39" s="231">
        <v>120043</v>
      </c>
      <c r="F39" s="231" t="s">
        <v>45</v>
      </c>
      <c r="G39" s="231">
        <v>9003</v>
      </c>
      <c r="H39" s="231">
        <f t="shared" si="9"/>
        <v>129046</v>
      </c>
      <c r="I39" s="231">
        <f>574.07*12</f>
        <v>6888.84</v>
      </c>
      <c r="J39" s="231">
        <f t="shared" si="10"/>
        <v>137776.79999999999</v>
      </c>
      <c r="K39" s="231">
        <v>140671</v>
      </c>
      <c r="L39" s="231">
        <f t="shared" si="11"/>
        <v>278447.8</v>
      </c>
      <c r="M39" s="225">
        <v>5.7999999999999996E-3</v>
      </c>
      <c r="N39" s="226">
        <v>3.6600000000000001E-2</v>
      </c>
      <c r="P39" s="365"/>
    </row>
    <row r="40" spans="1:19" x14ac:dyDescent="0.35">
      <c r="A40" s="135" t="s">
        <v>49</v>
      </c>
      <c r="P40" s="141"/>
    </row>
    <row r="41" spans="1:19" x14ac:dyDescent="0.35">
      <c r="A41" s="131" t="s">
        <v>131</v>
      </c>
      <c r="P41" s="141"/>
    </row>
    <row r="42" spans="1:19" x14ac:dyDescent="0.35">
      <c r="A42" s="131" t="s">
        <v>96</v>
      </c>
      <c r="P42" s="141"/>
    </row>
    <row r="43" spans="1:19" x14ac:dyDescent="0.35">
      <c r="A43" s="228"/>
      <c r="P43" s="141"/>
    </row>
    <row r="44" spans="1:19" ht="17.149999999999999" customHeight="1" x14ac:dyDescent="0.35">
      <c r="A44" s="135" t="s">
        <v>256</v>
      </c>
      <c r="B44" s="135"/>
      <c r="J44" s="138" t="s">
        <v>17</v>
      </c>
      <c r="K44" s="139" t="s">
        <v>18</v>
      </c>
      <c r="M44" s="188"/>
      <c r="N44" s="188"/>
      <c r="P44" s="141"/>
    </row>
    <row r="45" spans="1:19" ht="18.649999999999999" customHeight="1" thickBot="1" x14ac:dyDescent="0.4">
      <c r="A45" s="135" t="s">
        <v>262</v>
      </c>
      <c r="B45" s="135"/>
      <c r="J45" s="135"/>
      <c r="K45" s="135"/>
      <c r="M45" s="188"/>
      <c r="N45" s="188"/>
      <c r="P45" s="141"/>
    </row>
    <row r="46" spans="1:19" ht="15" thickBot="1" x14ac:dyDescent="0.4">
      <c r="A46" s="377"/>
      <c r="B46" s="378"/>
      <c r="C46" s="378"/>
      <c r="D46" s="378"/>
      <c r="E46" s="350" t="s">
        <v>80</v>
      </c>
      <c r="F46" s="351"/>
      <c r="G46" s="351"/>
      <c r="H46" s="352"/>
      <c r="I46" s="353" t="s">
        <v>81</v>
      </c>
      <c r="J46" s="354"/>
      <c r="K46" s="354"/>
      <c r="L46" s="354"/>
      <c r="M46" s="354"/>
      <c r="N46" s="355"/>
      <c r="P46" s="141"/>
    </row>
    <row r="47" spans="1:19" ht="44" thickBot="1" x14ac:dyDescent="0.4">
      <c r="A47" s="144" t="s">
        <v>7</v>
      </c>
      <c r="B47" s="175" t="s">
        <v>10</v>
      </c>
      <c r="C47" s="203" t="s">
        <v>8</v>
      </c>
      <c r="D47" s="204" t="s">
        <v>9</v>
      </c>
      <c r="E47" s="177" t="s">
        <v>77</v>
      </c>
      <c r="F47" s="178" t="s">
        <v>82</v>
      </c>
      <c r="G47" s="178" t="s">
        <v>78</v>
      </c>
      <c r="H47" s="205" t="s">
        <v>83</v>
      </c>
      <c r="I47" s="180" t="s">
        <v>11</v>
      </c>
      <c r="J47" s="181" t="s">
        <v>12</v>
      </c>
      <c r="K47" s="181" t="s">
        <v>13</v>
      </c>
      <c r="L47" s="182" t="s">
        <v>14</v>
      </c>
      <c r="M47" s="180" t="s">
        <v>84</v>
      </c>
      <c r="N47" s="182" t="s">
        <v>85</v>
      </c>
      <c r="P47" s="141"/>
    </row>
    <row r="48" spans="1:19" x14ac:dyDescent="0.35">
      <c r="A48" s="156" t="s">
        <v>151</v>
      </c>
      <c r="B48" s="247">
        <v>20</v>
      </c>
      <c r="C48" s="242">
        <v>23963.4</v>
      </c>
      <c r="D48" s="242">
        <f>10*C48</f>
        <v>239634</v>
      </c>
      <c r="E48" s="242">
        <v>248021</v>
      </c>
      <c r="F48" s="208" t="s">
        <v>45</v>
      </c>
      <c r="G48" s="242">
        <v>44561</v>
      </c>
      <c r="H48" s="242">
        <f>E48+G48</f>
        <v>292582</v>
      </c>
      <c r="I48" s="242">
        <f>1330*12</f>
        <v>15960</v>
      </c>
      <c r="J48" s="242">
        <f t="shared" ref="J48:J53" si="12">I48*20</f>
        <v>319200</v>
      </c>
      <c r="K48" s="242">
        <f>54500+89360</f>
        <v>143860</v>
      </c>
      <c r="L48" s="242">
        <f t="shared" ref="L48:L53" si="13">J48+K48</f>
        <v>463060</v>
      </c>
      <c r="M48" s="210">
        <v>1.35E-2</v>
      </c>
      <c r="N48" s="220">
        <v>3.1600000000000003E-2</v>
      </c>
    </row>
    <row r="49" spans="1:14" x14ac:dyDescent="0.35">
      <c r="A49" s="164" t="s">
        <v>64</v>
      </c>
      <c r="B49" s="165">
        <v>20</v>
      </c>
      <c r="C49" s="244">
        <v>23912</v>
      </c>
      <c r="D49" s="244">
        <f t="shared" ref="D49:D53" si="14">10*C49</f>
        <v>239120</v>
      </c>
      <c r="E49" s="244">
        <v>245830</v>
      </c>
      <c r="F49" s="212" t="str">
        <f>IF(E49&gt;=D49,"Yes","No")</f>
        <v>Yes</v>
      </c>
      <c r="G49" s="244">
        <v>27669</v>
      </c>
      <c r="H49" s="212">
        <f>E49+G49</f>
        <v>273499</v>
      </c>
      <c r="I49" s="244">
        <v>11760</v>
      </c>
      <c r="J49" s="244">
        <v>294000</v>
      </c>
      <c r="K49" s="212">
        <f>L49-J49</f>
        <v>213267</v>
      </c>
      <c r="L49" s="244">
        <v>507267</v>
      </c>
      <c r="M49" s="213">
        <v>9.4000000000000004E-3</v>
      </c>
      <c r="N49" s="221">
        <v>3.4700000000000002E-2</v>
      </c>
    </row>
    <row r="50" spans="1:14" x14ac:dyDescent="0.35">
      <c r="A50" s="164" t="s">
        <v>67</v>
      </c>
      <c r="B50" s="165">
        <v>20</v>
      </c>
      <c r="C50" s="244">
        <v>24000</v>
      </c>
      <c r="D50" s="244">
        <f t="shared" si="14"/>
        <v>240000</v>
      </c>
      <c r="E50" s="244">
        <f>D50</f>
        <v>240000</v>
      </c>
      <c r="F50" s="173" t="str">
        <f>IF(E50&gt;=D50,"Yes","No")</f>
        <v>Yes</v>
      </c>
      <c r="G50" s="244">
        <v>24000</v>
      </c>
      <c r="H50" s="173">
        <f>SUM(E50,G50)</f>
        <v>264000</v>
      </c>
      <c r="I50" s="244">
        <f>1276.08*12</f>
        <v>15312.96</v>
      </c>
      <c r="J50" s="212">
        <f t="shared" si="12"/>
        <v>306259.19999999995</v>
      </c>
      <c r="K50" s="244">
        <v>221990</v>
      </c>
      <c r="L50" s="173">
        <f t="shared" si="13"/>
        <v>528249.19999999995</v>
      </c>
      <c r="M50" s="223">
        <v>1.15E-2</v>
      </c>
      <c r="N50" s="221">
        <v>3.8300000000000001E-2</v>
      </c>
    </row>
    <row r="51" spans="1:14" x14ac:dyDescent="0.35">
      <c r="A51" s="164" t="s">
        <v>26</v>
      </c>
      <c r="B51" s="248">
        <v>20</v>
      </c>
      <c r="C51" s="244">
        <v>24197.8</v>
      </c>
      <c r="D51" s="244">
        <f t="shared" si="14"/>
        <v>241978</v>
      </c>
      <c r="E51" s="244">
        <v>241980</v>
      </c>
      <c r="F51" s="173" t="s">
        <v>45</v>
      </c>
      <c r="G51" s="244">
        <v>41209</v>
      </c>
      <c r="H51" s="244">
        <f>E51+G51</f>
        <v>283189</v>
      </c>
      <c r="I51" s="244">
        <v>14400</v>
      </c>
      <c r="J51" s="244">
        <f t="shared" si="12"/>
        <v>288000</v>
      </c>
      <c r="K51" s="173">
        <f>L51-J51</f>
        <v>188999</v>
      </c>
      <c r="L51" s="244">
        <v>476999</v>
      </c>
      <c r="M51" s="213">
        <v>8.3999999999999995E-3</v>
      </c>
      <c r="N51" s="224">
        <v>3.15E-2</v>
      </c>
    </row>
    <row r="52" spans="1:14" x14ac:dyDescent="0.35">
      <c r="A52" s="164" t="s">
        <v>27</v>
      </c>
      <c r="B52" s="248">
        <v>20</v>
      </c>
      <c r="C52" s="244">
        <v>23942.28</v>
      </c>
      <c r="D52" s="244">
        <f t="shared" si="14"/>
        <v>239422.8</v>
      </c>
      <c r="E52" s="244">
        <f>D52</f>
        <v>239422.8</v>
      </c>
      <c r="F52" s="173" t="s">
        <v>45</v>
      </c>
      <c r="G52" s="244">
        <v>20829</v>
      </c>
      <c r="H52" s="244">
        <f>E52+G52</f>
        <v>260251.8</v>
      </c>
      <c r="I52" s="244">
        <f>1140*12</f>
        <v>13680</v>
      </c>
      <c r="J52" s="244">
        <f t="shared" si="12"/>
        <v>273600</v>
      </c>
      <c r="K52" s="244">
        <v>218925</v>
      </c>
      <c r="L52" s="244">
        <f t="shared" si="13"/>
        <v>492525</v>
      </c>
      <c r="M52" s="213">
        <v>6.1999999999999998E-3</v>
      </c>
      <c r="N52" s="221">
        <v>3.4700000000000002E-2</v>
      </c>
    </row>
    <row r="53" spans="1:14" ht="15" thickBot="1" x14ac:dyDescent="0.4">
      <c r="A53" s="168" t="s">
        <v>54</v>
      </c>
      <c r="B53" s="169">
        <v>20</v>
      </c>
      <c r="C53" s="231">
        <v>24000</v>
      </c>
      <c r="D53" s="231">
        <f t="shared" si="14"/>
        <v>240000</v>
      </c>
      <c r="E53" s="231">
        <v>244545</v>
      </c>
      <c r="F53" s="217" t="s">
        <v>45</v>
      </c>
      <c r="G53" s="231">
        <v>13695</v>
      </c>
      <c r="H53" s="231">
        <f>E53+G53</f>
        <v>258240</v>
      </c>
      <c r="I53" s="231">
        <f>1106.72*12</f>
        <v>13280.64</v>
      </c>
      <c r="J53" s="231">
        <f t="shared" si="12"/>
        <v>265612.79999999999</v>
      </c>
      <c r="K53" s="231">
        <v>219900</v>
      </c>
      <c r="L53" s="231">
        <f t="shared" si="13"/>
        <v>485512.8</v>
      </c>
      <c r="M53" s="225">
        <v>4.7000000000000002E-3</v>
      </c>
      <c r="N53" s="240">
        <v>3.4099999999999998E-2</v>
      </c>
    </row>
    <row r="54" spans="1:14" x14ac:dyDescent="0.35">
      <c r="A54" s="135" t="s">
        <v>49</v>
      </c>
    </row>
    <row r="55" spans="1:14" x14ac:dyDescent="0.35">
      <c r="A55" s="131" t="s">
        <v>131</v>
      </c>
    </row>
    <row r="56" spans="1:14" x14ac:dyDescent="0.35">
      <c r="A56" s="131" t="s">
        <v>96</v>
      </c>
    </row>
  </sheetData>
  <sheetProtection algorithmName="SHA-512" hashValue="AXgApADoh7xlviFhwKLg+Q9ju10Y4xL0PnJJWGi3NbuqbKfIIwagjBsz2pVhZgnvPzRknpVaspgmF74Ul7Ax8A==" saltValue="TErAefGRfdyA8hRhcBqO7A==" spinCount="100000" sheet="1" objects="1" scenarios="1" selectLockedCells="1" autoFilter="0" selectUnlockedCells="1"/>
  <mergeCells count="13">
    <mergeCell ref="P6:P39"/>
    <mergeCell ref="A46:D46"/>
    <mergeCell ref="E46:H46"/>
    <mergeCell ref="I46:N46"/>
    <mergeCell ref="A4:D4"/>
    <mergeCell ref="E4:H4"/>
    <mergeCell ref="I4:N4"/>
    <mergeCell ref="A18:D18"/>
    <mergeCell ref="E18:H18"/>
    <mergeCell ref="I18:N18"/>
    <mergeCell ref="A32:D32"/>
    <mergeCell ref="E32:H32"/>
    <mergeCell ref="I32:N32"/>
  </mergeCells>
  <conditionalFormatting sqref="M6:M11">
    <cfRule type="top10" dxfId="55" priority="1" rank="1"/>
    <cfRule type="top10" dxfId="54" priority="2" rank="2"/>
  </conditionalFormatting>
  <conditionalFormatting sqref="M20:M25">
    <cfRule type="top10" dxfId="53" priority="5" rank="1"/>
    <cfRule type="top10" dxfId="52" priority="6" rank="2"/>
  </conditionalFormatting>
  <conditionalFormatting sqref="M34:M39">
    <cfRule type="top10" dxfId="51" priority="9" rank="1"/>
    <cfRule type="top10" dxfId="50" priority="10" rank="2"/>
  </conditionalFormatting>
  <conditionalFormatting sqref="M48:M53">
    <cfRule type="top10" dxfId="49" priority="13" rank="1"/>
    <cfRule type="top10" dxfId="48" priority="14" rank="2"/>
  </conditionalFormatting>
  <conditionalFormatting sqref="N6:N11">
    <cfRule type="top10" dxfId="47" priority="3" rank="1"/>
    <cfRule type="top10" dxfId="46" priority="4" rank="2"/>
  </conditionalFormatting>
  <conditionalFormatting sqref="N20:N25">
    <cfRule type="top10" dxfId="45" priority="7" rank="1"/>
    <cfRule type="top10" dxfId="44" priority="8" rank="2"/>
  </conditionalFormatting>
  <conditionalFormatting sqref="N34:N39">
    <cfRule type="top10" dxfId="43" priority="11" rank="1"/>
    <cfRule type="top10" dxfId="42" priority="12" rank="2"/>
  </conditionalFormatting>
  <conditionalFormatting sqref="N48:N53">
    <cfRule type="top10" dxfId="41" priority="15" rank="1"/>
    <cfRule type="top10" dxfId="40" priority="16"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56"/>
  <sheetViews>
    <sheetView showGridLines="0" topLeftCell="A5" zoomScale="70" zoomScaleNormal="70" workbookViewId="0">
      <selection activeCell="A37" sqref="A37:XFD37"/>
    </sheetView>
  </sheetViews>
  <sheetFormatPr defaultColWidth="9.1796875" defaultRowHeight="14.5" x14ac:dyDescent="0.35"/>
  <cols>
    <col min="1" max="1" width="35.1796875" style="1" customWidth="1"/>
    <col min="2" max="2" width="12.1796875" style="1" bestFit="1" customWidth="1"/>
    <col min="3" max="3" width="11.54296875" style="1" bestFit="1" customWidth="1"/>
    <col min="4" max="4" width="12.54296875" style="1" bestFit="1" customWidth="1"/>
    <col min="5" max="5" width="17.54296875" style="1" customWidth="1"/>
    <col min="6" max="6" width="22.1796875" style="1" bestFit="1" customWidth="1"/>
    <col min="7" max="7" width="18.81640625" style="1" customWidth="1"/>
    <col min="8" max="8" width="13.453125" style="1" bestFit="1" customWidth="1"/>
    <col min="9" max="9" width="13.54296875" style="1" customWidth="1"/>
    <col min="10" max="10" width="13.453125" style="1" bestFit="1" customWidth="1"/>
    <col min="11" max="11" width="13.81640625" style="1" customWidth="1"/>
    <col min="12" max="12" width="13.1796875" style="1" customWidth="1"/>
    <col min="13" max="13" width="16.81640625" style="1" customWidth="1"/>
    <col min="14" max="14" width="13.453125" style="1" customWidth="1"/>
    <col min="15" max="15" width="4.81640625" style="1" customWidth="1"/>
    <col min="16" max="16" width="13.1796875" style="1" bestFit="1" customWidth="1"/>
    <col min="17" max="17" width="11.54296875" style="1" customWidth="1"/>
    <col min="18" max="18" width="12" style="1" customWidth="1"/>
    <col min="19" max="19" width="10" style="1" bestFit="1" customWidth="1"/>
    <col min="20" max="20" width="11.453125" style="1" customWidth="1"/>
    <col min="21" max="21" width="12.453125" style="1" customWidth="1"/>
    <col min="22" max="22" width="11.453125" style="1" customWidth="1"/>
    <col min="23" max="23" width="10" style="1" bestFit="1" customWidth="1"/>
    <col min="24" max="24" width="20.54296875" style="1" customWidth="1"/>
    <col min="25" max="16384" width="9.1796875" style="1"/>
  </cols>
  <sheetData>
    <row r="1" spans="1:21" ht="15.65" customHeight="1" x14ac:dyDescent="0.35">
      <c r="D1" s="2"/>
      <c r="E1" s="2"/>
      <c r="F1" s="2"/>
      <c r="K1" s="2"/>
    </row>
    <row r="2" spans="1:21" ht="21" customHeight="1" x14ac:dyDescent="0.35">
      <c r="A2" s="4" t="s">
        <v>33</v>
      </c>
      <c r="B2" s="4"/>
      <c r="J2" s="28" t="s">
        <v>17</v>
      </c>
      <c r="K2" s="29" t="s">
        <v>18</v>
      </c>
      <c r="M2" s="95"/>
      <c r="N2" s="95"/>
      <c r="O2" s="4"/>
      <c r="P2" s="30"/>
      <c r="Q2" s="30"/>
      <c r="R2" s="30"/>
      <c r="S2" s="30"/>
      <c r="T2" s="30"/>
    </row>
    <row r="3" spans="1:21" ht="15" customHeight="1" thickBot="1" x14ac:dyDescent="0.4">
      <c r="A3" s="4" t="s">
        <v>112</v>
      </c>
      <c r="B3" s="4"/>
      <c r="J3" s="4"/>
      <c r="K3" s="4"/>
      <c r="M3" s="95"/>
      <c r="N3" s="95"/>
      <c r="O3" s="4"/>
      <c r="P3" s="30"/>
      <c r="Q3" s="30"/>
      <c r="R3" s="30"/>
      <c r="S3" s="30"/>
      <c r="T3" s="30"/>
    </row>
    <row r="4" spans="1:21" ht="15" thickBot="1" x14ac:dyDescent="0.4">
      <c r="A4" s="379"/>
      <c r="B4" s="380"/>
      <c r="C4" s="380"/>
      <c r="D4" s="380"/>
      <c r="E4" s="369" t="s">
        <v>80</v>
      </c>
      <c r="F4" s="370"/>
      <c r="G4" s="370"/>
      <c r="H4" s="371"/>
      <c r="I4" s="372" t="s">
        <v>81</v>
      </c>
      <c r="J4" s="373"/>
      <c r="K4" s="373"/>
      <c r="L4" s="373"/>
      <c r="M4" s="373"/>
      <c r="N4" s="374"/>
      <c r="P4" s="30"/>
      <c r="Q4" s="30"/>
      <c r="R4" s="30"/>
      <c r="S4" s="30"/>
      <c r="T4" s="30"/>
    </row>
    <row r="5" spans="1:21" ht="62.25" customHeight="1" thickBot="1" x14ac:dyDescent="0.4">
      <c r="A5" s="38" t="s">
        <v>7</v>
      </c>
      <c r="B5" s="39" t="s">
        <v>10</v>
      </c>
      <c r="C5" s="84" t="s">
        <v>8</v>
      </c>
      <c r="D5" s="94" t="s">
        <v>9</v>
      </c>
      <c r="E5" s="90" t="s">
        <v>77</v>
      </c>
      <c r="F5" s="87" t="s">
        <v>82</v>
      </c>
      <c r="G5" s="87" t="s">
        <v>78</v>
      </c>
      <c r="H5" s="91" t="s">
        <v>83</v>
      </c>
      <c r="I5" s="92" t="s">
        <v>11</v>
      </c>
      <c r="J5" s="31" t="s">
        <v>12</v>
      </c>
      <c r="K5" s="31" t="s">
        <v>13</v>
      </c>
      <c r="L5" s="93" t="s">
        <v>14</v>
      </c>
      <c r="M5" s="92" t="s">
        <v>84</v>
      </c>
      <c r="N5" s="93" t="s">
        <v>85</v>
      </c>
      <c r="P5" s="384" t="s">
        <v>15</v>
      </c>
      <c r="Q5" s="385"/>
      <c r="R5" s="385"/>
      <c r="S5" s="385"/>
      <c r="T5" s="385"/>
      <c r="U5" s="386"/>
    </row>
    <row r="6" spans="1:21" ht="15" customHeight="1" x14ac:dyDescent="0.35">
      <c r="A6" s="13" t="s">
        <v>71</v>
      </c>
      <c r="B6" s="15">
        <v>20</v>
      </c>
      <c r="C6" s="14">
        <v>31567.35</v>
      </c>
      <c r="D6" s="14">
        <f>5*C6</f>
        <v>157836.75</v>
      </c>
      <c r="E6" s="10">
        <v>167306</v>
      </c>
      <c r="F6" s="10" t="s">
        <v>45</v>
      </c>
      <c r="G6" s="10">
        <v>51135</v>
      </c>
      <c r="H6" s="10">
        <f>E6+G6</f>
        <v>218441</v>
      </c>
      <c r="I6" s="14">
        <v>12000</v>
      </c>
      <c r="J6" s="14">
        <v>240000</v>
      </c>
      <c r="K6" s="14">
        <f>62540+131760</f>
        <v>194300</v>
      </c>
      <c r="L6" s="14">
        <f>J6+K6</f>
        <v>434300</v>
      </c>
      <c r="M6" s="96">
        <v>1.47E-2</v>
      </c>
      <c r="N6" s="52">
        <v>3.6200000000000003E-2</v>
      </c>
      <c r="P6" s="387" t="s">
        <v>134</v>
      </c>
      <c r="Q6" s="388"/>
      <c r="R6" s="388"/>
      <c r="S6" s="388"/>
      <c r="T6" s="388"/>
      <c r="U6" s="389"/>
    </row>
    <row r="7" spans="1:21" ht="15" customHeight="1" x14ac:dyDescent="0.35">
      <c r="A7" s="9" t="s">
        <v>64</v>
      </c>
      <c r="B7" s="11">
        <v>20</v>
      </c>
      <c r="C7" s="10">
        <v>39600</v>
      </c>
      <c r="D7" s="10">
        <v>198000</v>
      </c>
      <c r="E7" s="10">
        <v>209167</v>
      </c>
      <c r="F7" s="23" t="str">
        <f>IF(E7&gt;=D7,"Yes","No")</f>
        <v>Yes</v>
      </c>
      <c r="G7" s="10">
        <v>27799</v>
      </c>
      <c r="H7" s="23">
        <f>E7+G7</f>
        <v>236966</v>
      </c>
      <c r="I7" s="10">
        <v>12000</v>
      </c>
      <c r="J7" s="10">
        <v>306000</v>
      </c>
      <c r="K7" s="10">
        <f>L7-J7</f>
        <v>313740</v>
      </c>
      <c r="L7" s="10">
        <v>619740</v>
      </c>
      <c r="M7" s="62">
        <v>1.4800000000000001E-2</v>
      </c>
      <c r="N7" s="53">
        <v>3.9600000000000003E-2</v>
      </c>
      <c r="P7" s="390"/>
      <c r="Q7" s="391"/>
      <c r="R7" s="391"/>
      <c r="S7" s="391"/>
      <c r="T7" s="391"/>
      <c r="U7" s="392"/>
    </row>
    <row r="8" spans="1:21" ht="15" customHeight="1" x14ac:dyDescent="0.35">
      <c r="A8" s="9" t="s">
        <v>67</v>
      </c>
      <c r="B8" s="11">
        <v>20</v>
      </c>
      <c r="C8" s="10">
        <v>31295</v>
      </c>
      <c r="D8" s="10">
        <f>5*C8</f>
        <v>156475</v>
      </c>
      <c r="E8" s="10">
        <v>156475</v>
      </c>
      <c r="F8" s="10" t="str">
        <f>IF(E8&gt;=D8,"Yes","No")</f>
        <v>Yes</v>
      </c>
      <c r="G8" s="10">
        <v>34424</v>
      </c>
      <c r="H8" s="10">
        <f>SUM(E8,G8)</f>
        <v>190899</v>
      </c>
      <c r="I8" s="10">
        <f>1000.03*12</f>
        <v>12000.36</v>
      </c>
      <c r="J8" s="23">
        <v>240009</v>
      </c>
      <c r="K8" s="10">
        <v>263028</v>
      </c>
      <c r="L8" s="10">
        <f>K8+J8</f>
        <v>503037</v>
      </c>
      <c r="M8" s="62">
        <v>1.4999999999999999E-2</v>
      </c>
      <c r="N8" s="63">
        <v>4.2099999999999999E-2</v>
      </c>
      <c r="P8" s="390"/>
      <c r="Q8" s="391"/>
      <c r="R8" s="391"/>
      <c r="S8" s="391"/>
      <c r="T8" s="391"/>
      <c r="U8" s="392"/>
    </row>
    <row r="9" spans="1:21" x14ac:dyDescent="0.35">
      <c r="A9" s="9" t="s">
        <v>26</v>
      </c>
      <c r="B9" s="11">
        <v>20</v>
      </c>
      <c r="C9" s="10">
        <v>38506.400000000001</v>
      </c>
      <c r="D9" s="10">
        <f>5*C9</f>
        <v>192532</v>
      </c>
      <c r="E9" s="10">
        <v>192535</v>
      </c>
      <c r="F9" s="10" t="s">
        <v>45</v>
      </c>
      <c r="G9" s="10">
        <v>64239</v>
      </c>
      <c r="H9" s="10">
        <f>E9+G9</f>
        <v>256774</v>
      </c>
      <c r="I9" s="10">
        <v>12000</v>
      </c>
      <c r="J9" s="10">
        <v>240000</v>
      </c>
      <c r="K9" s="10">
        <f>156768+141483</f>
        <v>298251</v>
      </c>
      <c r="L9" s="10">
        <f>J9+K9</f>
        <v>538251</v>
      </c>
      <c r="M9" s="56">
        <v>7.7999999999999996E-3</v>
      </c>
      <c r="N9" s="53">
        <v>3.4500000000000003E-2</v>
      </c>
      <c r="P9" s="390"/>
      <c r="Q9" s="391"/>
      <c r="R9" s="391"/>
      <c r="S9" s="391"/>
      <c r="T9" s="391"/>
      <c r="U9" s="392"/>
    </row>
    <row r="10" spans="1:21" ht="14.15" customHeight="1" x14ac:dyDescent="0.35">
      <c r="A10" s="9" t="s">
        <v>27</v>
      </c>
      <c r="B10" s="8">
        <v>20</v>
      </c>
      <c r="C10" s="10">
        <v>37535</v>
      </c>
      <c r="D10" s="10">
        <f>5*C10</f>
        <v>187675</v>
      </c>
      <c r="E10" s="10">
        <v>187675</v>
      </c>
      <c r="F10" s="10" t="s">
        <v>45</v>
      </c>
      <c r="G10" s="10">
        <v>19411</v>
      </c>
      <c r="H10" s="10">
        <f>E10+G10</f>
        <v>207086</v>
      </c>
      <c r="I10" s="10">
        <v>12000</v>
      </c>
      <c r="J10" s="10">
        <v>240000</v>
      </c>
      <c r="K10" s="10">
        <v>294218</v>
      </c>
      <c r="L10" s="10">
        <f>J10+K10</f>
        <v>534218</v>
      </c>
      <c r="M10" s="56">
        <v>8.5000000000000006E-3</v>
      </c>
      <c r="N10" s="53">
        <v>3.7400000000000003E-2</v>
      </c>
      <c r="P10" s="390"/>
      <c r="Q10" s="391"/>
      <c r="R10" s="391"/>
      <c r="S10" s="391"/>
      <c r="T10" s="391"/>
      <c r="U10" s="392"/>
    </row>
    <row r="11" spans="1:21" ht="13.4" customHeight="1" thickBot="1" x14ac:dyDescent="0.4">
      <c r="A11" s="20" t="s">
        <v>54</v>
      </c>
      <c r="B11" s="24">
        <v>20</v>
      </c>
      <c r="C11" s="21">
        <v>36108.15</v>
      </c>
      <c r="D11" s="21">
        <f>5*C11</f>
        <v>180540.75</v>
      </c>
      <c r="E11" s="21">
        <v>180662</v>
      </c>
      <c r="F11" s="10" t="s">
        <v>45</v>
      </c>
      <c r="G11" s="21">
        <v>15176</v>
      </c>
      <c r="H11" s="21">
        <v>195837</v>
      </c>
      <c r="I11" s="21">
        <v>12000</v>
      </c>
      <c r="J11" s="21">
        <v>240000</v>
      </c>
      <c r="K11" s="21">
        <v>309888</v>
      </c>
      <c r="L11" s="21">
        <f>J11+K11</f>
        <v>549888</v>
      </c>
      <c r="M11" s="57">
        <v>9.9000000000000008E-3</v>
      </c>
      <c r="N11" s="61">
        <v>4.0099999999999997E-2</v>
      </c>
      <c r="O11" s="34"/>
      <c r="P11" s="390"/>
      <c r="Q11" s="391"/>
      <c r="R11" s="391"/>
      <c r="S11" s="391"/>
      <c r="T11" s="391"/>
      <c r="U11" s="392"/>
    </row>
    <row r="12" spans="1:21" x14ac:dyDescent="0.35">
      <c r="A12" s="4" t="s">
        <v>49</v>
      </c>
      <c r="B12" s="64"/>
      <c r="C12" s="64"/>
      <c r="D12" s="64"/>
      <c r="E12" s="64"/>
      <c r="F12" s="64"/>
      <c r="G12" s="64"/>
      <c r="H12" s="64"/>
      <c r="I12" s="34"/>
      <c r="J12" s="34"/>
      <c r="K12" s="34"/>
      <c r="L12" s="34"/>
      <c r="M12" s="34"/>
      <c r="N12" s="34"/>
      <c r="P12" s="390"/>
      <c r="Q12" s="391"/>
      <c r="R12" s="391"/>
      <c r="S12" s="391"/>
      <c r="T12" s="391"/>
      <c r="U12" s="392"/>
    </row>
    <row r="13" spans="1:21" x14ac:dyDescent="0.35">
      <c r="A13" s="1" t="s">
        <v>95</v>
      </c>
      <c r="B13" s="34"/>
      <c r="C13" s="34"/>
      <c r="D13" s="34"/>
      <c r="E13" s="34"/>
      <c r="F13" s="34"/>
      <c r="G13" s="34"/>
      <c r="H13" s="34"/>
      <c r="I13" s="34"/>
      <c r="J13" s="34"/>
      <c r="K13" s="34"/>
      <c r="L13" s="34"/>
      <c r="M13" s="34"/>
      <c r="N13" s="34"/>
      <c r="P13" s="390"/>
      <c r="Q13" s="391"/>
      <c r="R13" s="391"/>
      <c r="S13" s="391"/>
      <c r="T13" s="391"/>
      <c r="U13" s="392"/>
    </row>
    <row r="14" spans="1:21" x14ac:dyDescent="0.35">
      <c r="A14" s="1" t="s">
        <v>96</v>
      </c>
      <c r="B14" s="34"/>
      <c r="C14" s="34"/>
      <c r="D14" s="34"/>
      <c r="E14" s="34"/>
      <c r="F14" s="34"/>
      <c r="G14" s="34"/>
      <c r="H14" s="34"/>
      <c r="I14" s="34"/>
      <c r="J14" s="34"/>
      <c r="K14" s="34"/>
      <c r="L14" s="34"/>
      <c r="M14" s="34"/>
      <c r="N14" s="34"/>
      <c r="P14" s="390"/>
      <c r="Q14" s="391"/>
      <c r="R14" s="391"/>
      <c r="S14" s="391"/>
      <c r="T14" s="391"/>
      <c r="U14" s="392"/>
    </row>
    <row r="15" spans="1:21" x14ac:dyDescent="0.35">
      <c r="B15" s="34"/>
      <c r="C15" s="34"/>
      <c r="D15" s="34"/>
      <c r="E15" s="34"/>
      <c r="F15" s="34"/>
      <c r="G15" s="34"/>
      <c r="H15" s="34"/>
      <c r="I15" s="34"/>
      <c r="J15" s="34"/>
      <c r="K15" s="34"/>
      <c r="L15" s="34"/>
      <c r="M15" s="34"/>
      <c r="N15" s="34"/>
      <c r="P15" s="390"/>
      <c r="Q15" s="391"/>
      <c r="R15" s="391"/>
      <c r="S15" s="391"/>
      <c r="T15" s="391"/>
      <c r="U15" s="392"/>
    </row>
    <row r="16" spans="1:21" ht="18" customHeight="1" x14ac:dyDescent="0.35">
      <c r="A16" s="4" t="s">
        <v>34</v>
      </c>
      <c r="B16" s="4"/>
      <c r="J16" s="28" t="s">
        <v>17</v>
      </c>
      <c r="K16" s="29" t="s">
        <v>18</v>
      </c>
      <c r="M16" s="95"/>
      <c r="N16" s="95"/>
      <c r="O16" s="7"/>
      <c r="P16" s="390"/>
      <c r="Q16" s="391"/>
      <c r="R16" s="391"/>
      <c r="S16" s="391"/>
      <c r="T16" s="391"/>
      <c r="U16" s="392"/>
    </row>
    <row r="17" spans="1:21" ht="17.899999999999999" customHeight="1" thickBot="1" x14ac:dyDescent="0.4">
      <c r="A17" s="4" t="s">
        <v>113</v>
      </c>
      <c r="B17" s="4"/>
      <c r="J17" s="4"/>
      <c r="K17" s="4"/>
      <c r="M17" s="95"/>
      <c r="N17" s="95"/>
      <c r="O17" s="7"/>
      <c r="P17" s="390"/>
      <c r="Q17" s="391"/>
      <c r="R17" s="391"/>
      <c r="S17" s="391"/>
      <c r="T17" s="391"/>
      <c r="U17" s="392"/>
    </row>
    <row r="18" spans="1:21" ht="15" thickBot="1" x14ac:dyDescent="0.4">
      <c r="A18" s="379"/>
      <c r="B18" s="380"/>
      <c r="C18" s="380"/>
      <c r="D18" s="396"/>
      <c r="E18" s="369" t="s">
        <v>80</v>
      </c>
      <c r="F18" s="370"/>
      <c r="G18" s="370"/>
      <c r="H18" s="371"/>
      <c r="I18" s="372" t="s">
        <v>81</v>
      </c>
      <c r="J18" s="373"/>
      <c r="K18" s="373"/>
      <c r="L18" s="373"/>
      <c r="M18" s="373"/>
      <c r="N18" s="374"/>
      <c r="O18" s="4"/>
      <c r="P18" s="390"/>
      <c r="Q18" s="391"/>
      <c r="R18" s="391"/>
      <c r="S18" s="391"/>
      <c r="T18" s="391"/>
      <c r="U18" s="392"/>
    </row>
    <row r="19" spans="1:21" ht="44" thickBot="1" x14ac:dyDescent="0.4">
      <c r="A19" s="38" t="s">
        <v>7</v>
      </c>
      <c r="B19" s="39" t="s">
        <v>10</v>
      </c>
      <c r="C19" s="84" t="s">
        <v>8</v>
      </c>
      <c r="D19" s="94" t="s">
        <v>9</v>
      </c>
      <c r="E19" s="90" t="s">
        <v>77</v>
      </c>
      <c r="F19" s="87" t="s">
        <v>82</v>
      </c>
      <c r="G19" s="87" t="s">
        <v>78</v>
      </c>
      <c r="H19" s="91" t="s">
        <v>83</v>
      </c>
      <c r="I19" s="92" t="s">
        <v>11</v>
      </c>
      <c r="J19" s="31" t="s">
        <v>12</v>
      </c>
      <c r="K19" s="31" t="s">
        <v>13</v>
      </c>
      <c r="L19" s="93" t="s">
        <v>14</v>
      </c>
      <c r="M19" s="92" t="s">
        <v>84</v>
      </c>
      <c r="N19" s="93" t="s">
        <v>85</v>
      </c>
      <c r="P19" s="390"/>
      <c r="Q19" s="391"/>
      <c r="R19" s="391"/>
      <c r="S19" s="391"/>
      <c r="T19" s="391"/>
      <c r="U19" s="392"/>
    </row>
    <row r="20" spans="1:21" ht="15" customHeight="1" x14ac:dyDescent="0.35">
      <c r="A20" s="13" t="s">
        <v>71</v>
      </c>
      <c r="B20" s="15">
        <v>20</v>
      </c>
      <c r="C20" s="14">
        <v>16379.1</v>
      </c>
      <c r="D20" s="14">
        <f>10*C20</f>
        <v>163791</v>
      </c>
      <c r="E20" s="14">
        <v>173618</v>
      </c>
      <c r="F20" s="14" t="s">
        <v>45</v>
      </c>
      <c r="G20" s="14">
        <v>45344</v>
      </c>
      <c r="H20" s="14">
        <f t="shared" ref="H20:H25" si="0">E20+G20</f>
        <v>218962</v>
      </c>
      <c r="I20" s="32">
        <v>12000</v>
      </c>
      <c r="J20" s="14">
        <v>240000</v>
      </c>
      <c r="K20" s="14">
        <f>55460+97920</f>
        <v>153380</v>
      </c>
      <c r="L20" s="14">
        <f>J20+K20</f>
        <v>393380</v>
      </c>
      <c r="M20" s="60">
        <v>1.46E-2</v>
      </c>
      <c r="N20" s="52">
        <v>3.4099999999999998E-2</v>
      </c>
      <c r="P20" s="390"/>
      <c r="Q20" s="391"/>
      <c r="R20" s="391"/>
      <c r="S20" s="391"/>
      <c r="T20" s="391"/>
      <c r="U20" s="392"/>
    </row>
    <row r="21" spans="1:21" ht="15" customHeight="1" x14ac:dyDescent="0.35">
      <c r="A21" s="9" t="s">
        <v>64</v>
      </c>
      <c r="B21" s="11">
        <v>20</v>
      </c>
      <c r="C21" s="10">
        <v>21920</v>
      </c>
      <c r="D21" s="10">
        <v>219200</v>
      </c>
      <c r="E21" s="10">
        <v>225863</v>
      </c>
      <c r="F21" s="23" t="str">
        <f>IF(E21&gt;=D21,"Yes","No")</f>
        <v>Yes</v>
      </c>
      <c r="G21" s="10">
        <v>30775</v>
      </c>
      <c r="H21" s="23">
        <f t="shared" si="0"/>
        <v>256638</v>
      </c>
      <c r="I21" s="23">
        <f>1000.06*12</f>
        <v>12000.72</v>
      </c>
      <c r="J21" s="10">
        <v>306000</v>
      </c>
      <c r="K21" s="10">
        <f>L21-J21</f>
        <v>316496</v>
      </c>
      <c r="L21" s="10">
        <v>622496</v>
      </c>
      <c r="M21" s="56">
        <v>1.23E-2</v>
      </c>
      <c r="N21" s="63">
        <v>3.9399999999999998E-2</v>
      </c>
      <c r="P21" s="390"/>
      <c r="Q21" s="391"/>
      <c r="R21" s="391"/>
      <c r="S21" s="391"/>
      <c r="T21" s="391"/>
      <c r="U21" s="392"/>
    </row>
    <row r="22" spans="1:21" ht="15" customHeight="1" x14ac:dyDescent="0.35">
      <c r="A22" s="9" t="s">
        <v>67</v>
      </c>
      <c r="B22" s="11">
        <v>20</v>
      </c>
      <c r="C22" s="10">
        <v>16653</v>
      </c>
      <c r="D22" s="10">
        <f>10*C22</f>
        <v>166530</v>
      </c>
      <c r="E22" s="10">
        <v>166530</v>
      </c>
      <c r="F22" s="10" t="str">
        <f>IF(E22&gt;=D22,"Yes","No")</f>
        <v>Yes</v>
      </c>
      <c r="G22" s="10">
        <v>26644</v>
      </c>
      <c r="H22" s="23">
        <f t="shared" si="0"/>
        <v>193174</v>
      </c>
      <c r="I22" s="23">
        <f>1000.03*12</f>
        <v>12000.36</v>
      </c>
      <c r="J22" s="23">
        <v>240004</v>
      </c>
      <c r="K22" s="10">
        <v>227971</v>
      </c>
      <c r="L22" s="10">
        <f>K22+J22</f>
        <v>467975</v>
      </c>
      <c r="M22" s="62">
        <v>1.4E-2</v>
      </c>
      <c r="N22" s="63">
        <v>4.0599999999999997E-2</v>
      </c>
      <c r="P22" s="390"/>
      <c r="Q22" s="391"/>
      <c r="R22" s="391"/>
      <c r="S22" s="391"/>
      <c r="T22" s="391"/>
      <c r="U22" s="392"/>
    </row>
    <row r="23" spans="1:21" x14ac:dyDescent="0.35">
      <c r="A23" s="9" t="s">
        <v>26</v>
      </c>
      <c r="B23" s="11">
        <v>20</v>
      </c>
      <c r="C23" s="10">
        <v>19161.400000000001</v>
      </c>
      <c r="D23" s="10">
        <f>10*C23</f>
        <v>191614</v>
      </c>
      <c r="E23" s="10">
        <v>191620</v>
      </c>
      <c r="F23" s="10" t="s">
        <v>45</v>
      </c>
      <c r="G23" s="10">
        <v>54476</v>
      </c>
      <c r="H23" s="10">
        <f t="shared" si="0"/>
        <v>246096</v>
      </c>
      <c r="I23" s="10">
        <v>12000</v>
      </c>
      <c r="J23" s="10">
        <v>240000</v>
      </c>
      <c r="K23" s="10">
        <f>131040+111390</f>
        <v>242430</v>
      </c>
      <c r="L23" s="10">
        <f>J23+K23</f>
        <v>482430</v>
      </c>
      <c r="M23" s="56">
        <v>8.6999999999999994E-3</v>
      </c>
      <c r="N23" s="53">
        <v>3.4000000000000002E-2</v>
      </c>
      <c r="O23" s="4"/>
      <c r="P23" s="390"/>
      <c r="Q23" s="391"/>
      <c r="R23" s="391"/>
      <c r="S23" s="391"/>
      <c r="T23" s="391"/>
      <c r="U23" s="392"/>
    </row>
    <row r="24" spans="1:21" x14ac:dyDescent="0.35">
      <c r="A24" s="9" t="s">
        <v>27</v>
      </c>
      <c r="B24" s="11">
        <v>20</v>
      </c>
      <c r="C24" s="10">
        <v>19274</v>
      </c>
      <c r="D24" s="10">
        <f>10*C24</f>
        <v>192740</v>
      </c>
      <c r="E24" s="10">
        <v>192740</v>
      </c>
      <c r="F24" s="10" t="s">
        <v>45</v>
      </c>
      <c r="G24" s="10">
        <v>24650</v>
      </c>
      <c r="H24" s="10">
        <f t="shared" si="0"/>
        <v>217390</v>
      </c>
      <c r="I24" s="10">
        <v>12000</v>
      </c>
      <c r="J24" s="10">
        <v>240000</v>
      </c>
      <c r="K24" s="10">
        <v>260119</v>
      </c>
      <c r="L24" s="10">
        <f>J24+K24</f>
        <v>500119</v>
      </c>
      <c r="M24" s="56">
        <v>8.3000000000000001E-3</v>
      </c>
      <c r="N24" s="53">
        <v>3.7199999999999997E-2</v>
      </c>
      <c r="O24" s="4"/>
      <c r="P24" s="390"/>
      <c r="Q24" s="391"/>
      <c r="R24" s="391"/>
      <c r="S24" s="391"/>
      <c r="T24" s="391"/>
      <c r="U24" s="392"/>
    </row>
    <row r="25" spans="1:21" ht="15" thickBot="1" x14ac:dyDescent="0.4">
      <c r="A25" s="20" t="s">
        <v>54</v>
      </c>
      <c r="B25" s="24">
        <v>20</v>
      </c>
      <c r="C25" s="21">
        <v>19562.7</v>
      </c>
      <c r="D25" s="21">
        <f>10*C25</f>
        <v>195627</v>
      </c>
      <c r="E25" s="21">
        <v>199621</v>
      </c>
      <c r="F25" s="21" t="s">
        <v>45</v>
      </c>
      <c r="G25" s="21">
        <v>13175</v>
      </c>
      <c r="H25" s="21">
        <f t="shared" si="0"/>
        <v>212796</v>
      </c>
      <c r="I25" s="21">
        <v>12000</v>
      </c>
      <c r="J25" s="21">
        <v>240000</v>
      </c>
      <c r="K25" s="21">
        <v>277032</v>
      </c>
      <c r="L25" s="21">
        <f>J25+K25</f>
        <v>517032</v>
      </c>
      <c r="M25" s="57">
        <v>7.7999999999999996E-3</v>
      </c>
      <c r="N25" s="54">
        <v>3.8100000000000002E-2</v>
      </c>
      <c r="O25" s="4"/>
      <c r="P25" s="390"/>
      <c r="Q25" s="391"/>
      <c r="R25" s="391"/>
      <c r="S25" s="391"/>
      <c r="T25" s="391"/>
      <c r="U25" s="392"/>
    </row>
    <row r="26" spans="1:21" ht="15.65" customHeight="1" x14ac:dyDescent="0.35">
      <c r="A26" s="4" t="s">
        <v>49</v>
      </c>
      <c r="C26" s="10"/>
      <c r="D26" s="10"/>
      <c r="E26" s="10"/>
      <c r="F26" s="10"/>
      <c r="G26" s="10"/>
      <c r="H26" s="10"/>
      <c r="I26" s="10"/>
      <c r="J26" s="10"/>
      <c r="K26" s="10"/>
      <c r="L26" s="10"/>
      <c r="M26" s="12"/>
      <c r="N26" s="12"/>
      <c r="P26" s="390"/>
      <c r="Q26" s="391"/>
      <c r="R26" s="391"/>
      <c r="S26" s="391"/>
      <c r="T26" s="391"/>
      <c r="U26" s="392"/>
    </row>
    <row r="27" spans="1:21" ht="15.65" customHeight="1" x14ac:dyDescent="0.35">
      <c r="A27" s="1" t="s">
        <v>95</v>
      </c>
      <c r="C27" s="10"/>
      <c r="D27" s="10"/>
      <c r="E27" s="10"/>
      <c r="F27" s="10"/>
      <c r="G27" s="10"/>
      <c r="H27" s="10"/>
      <c r="I27" s="10"/>
      <c r="J27" s="10"/>
      <c r="K27" s="10"/>
      <c r="L27" s="10"/>
      <c r="M27" s="12"/>
      <c r="N27" s="12"/>
      <c r="P27" s="390"/>
      <c r="Q27" s="391"/>
      <c r="R27" s="391"/>
      <c r="S27" s="391"/>
      <c r="T27" s="391"/>
      <c r="U27" s="392"/>
    </row>
    <row r="28" spans="1:21" ht="15.65" customHeight="1" x14ac:dyDescent="0.35">
      <c r="A28" s="1" t="s">
        <v>96</v>
      </c>
      <c r="C28" s="10"/>
      <c r="D28" s="10"/>
      <c r="E28" s="10"/>
      <c r="F28" s="10"/>
      <c r="G28" s="10"/>
      <c r="H28" s="10"/>
      <c r="I28" s="10"/>
      <c r="J28" s="10"/>
      <c r="K28" s="10"/>
      <c r="L28" s="10"/>
      <c r="M28" s="12"/>
      <c r="N28" s="12"/>
      <c r="P28" s="390"/>
      <c r="Q28" s="391"/>
      <c r="R28" s="391"/>
      <c r="S28" s="391"/>
      <c r="T28" s="391"/>
      <c r="U28" s="392"/>
    </row>
    <row r="29" spans="1:21" ht="15.65" customHeight="1" x14ac:dyDescent="0.35">
      <c r="C29" s="10"/>
      <c r="D29" s="10"/>
      <c r="E29" s="10"/>
      <c r="F29" s="10"/>
      <c r="G29" s="10"/>
      <c r="H29" s="10"/>
      <c r="I29" s="10"/>
      <c r="J29" s="10"/>
      <c r="K29" s="10"/>
      <c r="L29" s="10"/>
      <c r="M29" s="12"/>
      <c r="N29" s="12"/>
      <c r="P29" s="390"/>
      <c r="Q29" s="391"/>
      <c r="R29" s="391"/>
      <c r="S29" s="391"/>
      <c r="T29" s="391"/>
      <c r="U29" s="392"/>
    </row>
    <row r="30" spans="1:21" ht="15.65" customHeight="1" x14ac:dyDescent="0.35">
      <c r="A30" s="4" t="s">
        <v>35</v>
      </c>
      <c r="B30" s="4"/>
      <c r="C30" s="5"/>
      <c r="D30" s="5"/>
      <c r="E30" s="5"/>
      <c r="F30" s="5"/>
      <c r="G30" s="5"/>
      <c r="H30" s="5"/>
      <c r="I30" s="5"/>
      <c r="J30" s="28" t="s">
        <v>17</v>
      </c>
      <c r="K30" s="29" t="s">
        <v>18</v>
      </c>
      <c r="L30" s="5"/>
      <c r="M30" s="95"/>
      <c r="N30" s="95"/>
      <c r="O30" s="4"/>
      <c r="P30" s="390"/>
      <c r="Q30" s="391"/>
      <c r="R30" s="391"/>
      <c r="S30" s="391"/>
      <c r="T30" s="391"/>
      <c r="U30" s="392"/>
    </row>
    <row r="31" spans="1:21" ht="18" customHeight="1" thickBot="1" x14ac:dyDescent="0.4">
      <c r="A31" s="4" t="s">
        <v>114</v>
      </c>
      <c r="B31" s="4"/>
      <c r="C31" s="5"/>
      <c r="D31" s="5"/>
      <c r="E31" s="5"/>
      <c r="F31" s="5"/>
      <c r="G31" s="5"/>
      <c r="H31" s="5"/>
      <c r="I31" s="5"/>
      <c r="J31" s="4"/>
      <c r="K31" s="4"/>
      <c r="L31" s="5"/>
      <c r="M31" s="95"/>
      <c r="N31" s="95"/>
      <c r="O31" s="4"/>
      <c r="P31" s="390"/>
      <c r="Q31" s="391"/>
      <c r="R31" s="391"/>
      <c r="S31" s="391"/>
      <c r="T31" s="391"/>
      <c r="U31" s="392"/>
    </row>
    <row r="32" spans="1:21" ht="15" thickBot="1" x14ac:dyDescent="0.4">
      <c r="A32" s="379"/>
      <c r="B32" s="380"/>
      <c r="C32" s="380"/>
      <c r="D32" s="380"/>
      <c r="E32" s="369" t="s">
        <v>80</v>
      </c>
      <c r="F32" s="370"/>
      <c r="G32" s="370"/>
      <c r="H32" s="371"/>
      <c r="I32" s="372" t="s">
        <v>81</v>
      </c>
      <c r="J32" s="373"/>
      <c r="K32" s="373"/>
      <c r="L32" s="373"/>
      <c r="M32" s="373"/>
      <c r="N32" s="374"/>
      <c r="P32" s="390"/>
      <c r="Q32" s="391"/>
      <c r="R32" s="391"/>
      <c r="S32" s="391"/>
      <c r="T32" s="391"/>
      <c r="U32" s="392"/>
    </row>
    <row r="33" spans="1:21" ht="51" customHeight="1" thickBot="1" x14ac:dyDescent="0.4">
      <c r="A33" s="38" t="s">
        <v>7</v>
      </c>
      <c r="B33" s="39" t="s">
        <v>10</v>
      </c>
      <c r="C33" s="84" t="s">
        <v>8</v>
      </c>
      <c r="D33" s="94" t="s">
        <v>9</v>
      </c>
      <c r="E33" s="90" t="s">
        <v>77</v>
      </c>
      <c r="F33" s="87" t="s">
        <v>82</v>
      </c>
      <c r="G33" s="87" t="s">
        <v>78</v>
      </c>
      <c r="H33" s="91" t="s">
        <v>83</v>
      </c>
      <c r="I33" s="92" t="s">
        <v>11</v>
      </c>
      <c r="J33" s="31" t="s">
        <v>12</v>
      </c>
      <c r="K33" s="31" t="s">
        <v>13</v>
      </c>
      <c r="L33" s="93" t="s">
        <v>14</v>
      </c>
      <c r="M33" s="92" t="s">
        <v>84</v>
      </c>
      <c r="N33" s="93" t="s">
        <v>85</v>
      </c>
      <c r="P33" s="390"/>
      <c r="Q33" s="391"/>
      <c r="R33" s="391"/>
      <c r="S33" s="391"/>
      <c r="T33" s="391"/>
      <c r="U33" s="392"/>
    </row>
    <row r="34" spans="1:21" ht="15.65" customHeight="1" x14ac:dyDescent="0.35">
      <c r="A34" s="13" t="s">
        <v>71</v>
      </c>
      <c r="B34" s="15">
        <v>20</v>
      </c>
      <c r="C34" s="14">
        <v>34001.4</v>
      </c>
      <c r="D34" s="14">
        <f>5*C34</f>
        <v>170007</v>
      </c>
      <c r="E34" s="14">
        <v>175957</v>
      </c>
      <c r="F34" s="14" t="s">
        <v>45</v>
      </c>
      <c r="G34" s="14">
        <v>39052</v>
      </c>
      <c r="H34" s="14">
        <f t="shared" ref="H34:H39" si="1">E34+G34</f>
        <v>215009</v>
      </c>
      <c r="I34" s="14">
        <v>12000</v>
      </c>
      <c r="J34" s="14">
        <v>240000</v>
      </c>
      <c r="K34" s="14">
        <f>47760+88800</f>
        <v>136560</v>
      </c>
      <c r="L34" s="14">
        <f>J34+K34</f>
        <v>376560</v>
      </c>
      <c r="M34" s="60">
        <v>1.46E-2</v>
      </c>
      <c r="N34" s="52">
        <v>3.44E-2</v>
      </c>
      <c r="P34" s="390"/>
      <c r="Q34" s="391"/>
      <c r="R34" s="391"/>
      <c r="S34" s="391"/>
      <c r="T34" s="391"/>
      <c r="U34" s="392"/>
    </row>
    <row r="35" spans="1:21" ht="15.65" customHeight="1" x14ac:dyDescent="0.35">
      <c r="A35" s="9" t="s">
        <v>64</v>
      </c>
      <c r="B35" s="11">
        <v>20</v>
      </c>
      <c r="C35" s="10">
        <v>43760</v>
      </c>
      <c r="D35" s="10">
        <v>218800</v>
      </c>
      <c r="E35" s="10">
        <v>228842</v>
      </c>
      <c r="F35" s="23" t="str">
        <f>IF(E35&gt;=D35,"Yes","No")</f>
        <v>Yes</v>
      </c>
      <c r="G35" s="10">
        <v>24811</v>
      </c>
      <c r="H35" s="23">
        <f t="shared" si="1"/>
        <v>253653</v>
      </c>
      <c r="I35" s="10">
        <f>1000.02*12</f>
        <v>12000.24</v>
      </c>
      <c r="J35" s="10">
        <v>300000</v>
      </c>
      <c r="K35" s="10">
        <f>L35-J35</f>
        <v>214974</v>
      </c>
      <c r="L35" s="10">
        <v>514974</v>
      </c>
      <c r="M35" s="56">
        <v>1.2999999999999999E-2</v>
      </c>
      <c r="N35" s="53">
        <v>3.5700000000000003E-2</v>
      </c>
      <c r="P35" s="390"/>
      <c r="Q35" s="391"/>
      <c r="R35" s="391"/>
      <c r="S35" s="391"/>
      <c r="T35" s="391"/>
      <c r="U35" s="392"/>
    </row>
    <row r="36" spans="1:21" ht="15.65" customHeight="1" x14ac:dyDescent="0.35">
      <c r="A36" s="9" t="s">
        <v>67</v>
      </c>
      <c r="B36" s="11">
        <v>20</v>
      </c>
      <c r="C36" s="10">
        <v>34663</v>
      </c>
      <c r="D36" s="10">
        <f>5*C36</f>
        <v>173315</v>
      </c>
      <c r="E36" s="10">
        <v>173315</v>
      </c>
      <c r="F36" s="10" t="str">
        <f>IF(E36&gt;=D36,"Yes","No")</f>
        <v>Yes</v>
      </c>
      <c r="G36" s="10">
        <v>25997</v>
      </c>
      <c r="H36" s="23">
        <f t="shared" si="1"/>
        <v>199312</v>
      </c>
      <c r="I36" s="10">
        <f>1000.02*12</f>
        <v>12000.24</v>
      </c>
      <c r="J36" s="23">
        <v>240007</v>
      </c>
      <c r="K36" s="10">
        <v>202610</v>
      </c>
      <c r="L36" s="10">
        <f>K36+J36</f>
        <v>442617</v>
      </c>
      <c r="M36" s="62">
        <v>1.38E-2</v>
      </c>
      <c r="N36" s="63">
        <v>4.1000000000000002E-2</v>
      </c>
      <c r="P36" s="390"/>
      <c r="Q36" s="391"/>
      <c r="R36" s="391"/>
      <c r="S36" s="391"/>
      <c r="T36" s="391"/>
      <c r="U36" s="392"/>
    </row>
    <row r="37" spans="1:21" ht="15.65" customHeight="1" x14ac:dyDescent="0.35">
      <c r="A37" s="9" t="s">
        <v>26</v>
      </c>
      <c r="B37" s="11">
        <v>20</v>
      </c>
      <c r="C37" s="10">
        <v>40432.800000000003</v>
      </c>
      <c r="D37" s="10">
        <f>5*C37</f>
        <v>202164</v>
      </c>
      <c r="E37" s="10">
        <v>202165</v>
      </c>
      <c r="F37" s="10" t="s">
        <v>45</v>
      </c>
      <c r="G37" s="10">
        <v>43028</v>
      </c>
      <c r="H37" s="10">
        <f t="shared" si="1"/>
        <v>245193</v>
      </c>
      <c r="I37" s="10">
        <v>12000</v>
      </c>
      <c r="J37" s="10">
        <v>240000</v>
      </c>
      <c r="K37" s="10">
        <f>104280+112620</f>
        <v>216900</v>
      </c>
      <c r="L37" s="10">
        <f>J37+K37</f>
        <v>456900</v>
      </c>
      <c r="M37" s="56">
        <v>7.4000000000000003E-3</v>
      </c>
      <c r="N37" s="53">
        <v>3.2899999999999999E-2</v>
      </c>
      <c r="P37" s="390"/>
      <c r="Q37" s="391"/>
      <c r="R37" s="391"/>
      <c r="S37" s="391"/>
      <c r="T37" s="391"/>
      <c r="U37" s="392"/>
    </row>
    <row r="38" spans="1:21" x14ac:dyDescent="0.35">
      <c r="A38" s="9" t="s">
        <v>27</v>
      </c>
      <c r="B38" s="11">
        <v>20</v>
      </c>
      <c r="C38" s="10">
        <v>41222</v>
      </c>
      <c r="D38" s="23">
        <f>5*C38</f>
        <v>206110</v>
      </c>
      <c r="E38" s="10">
        <v>206110</v>
      </c>
      <c r="F38" s="10" t="s">
        <v>45</v>
      </c>
      <c r="G38" s="10">
        <v>15458</v>
      </c>
      <c r="H38" s="10">
        <f t="shared" si="1"/>
        <v>221568</v>
      </c>
      <c r="I38" s="10">
        <v>12000</v>
      </c>
      <c r="J38" s="10">
        <v>240000</v>
      </c>
      <c r="K38" s="10">
        <v>224400</v>
      </c>
      <c r="L38" s="10">
        <f>J38+K38</f>
        <v>464400</v>
      </c>
      <c r="M38" s="56">
        <v>6.3E-3</v>
      </c>
      <c r="N38" s="53">
        <v>3.5099999999999999E-2</v>
      </c>
      <c r="P38" s="390"/>
      <c r="Q38" s="391"/>
      <c r="R38" s="391"/>
      <c r="S38" s="391"/>
      <c r="T38" s="391"/>
      <c r="U38" s="392"/>
    </row>
    <row r="39" spans="1:21" ht="15" thickBot="1" x14ac:dyDescent="0.4">
      <c r="A39" s="20" t="s">
        <v>54</v>
      </c>
      <c r="B39" s="24">
        <v>20</v>
      </c>
      <c r="C39" s="33">
        <v>41806.800000000003</v>
      </c>
      <c r="D39" s="33">
        <f>5*C39</f>
        <v>209034</v>
      </c>
      <c r="E39" s="33">
        <v>209109</v>
      </c>
      <c r="F39" s="33" t="s">
        <v>45</v>
      </c>
      <c r="G39" s="33">
        <v>15683</v>
      </c>
      <c r="H39" s="33">
        <f t="shared" si="1"/>
        <v>224792</v>
      </c>
      <c r="I39" s="33">
        <v>12000</v>
      </c>
      <c r="J39" s="33">
        <v>240000</v>
      </c>
      <c r="K39" s="33">
        <v>245040</v>
      </c>
      <c r="L39" s="33">
        <f>J39+K39</f>
        <v>485040</v>
      </c>
      <c r="M39" s="57">
        <v>5.7999999999999996E-3</v>
      </c>
      <c r="N39" s="61">
        <v>3.6600000000000001E-2</v>
      </c>
      <c r="P39" s="393"/>
      <c r="Q39" s="394"/>
      <c r="R39" s="394"/>
      <c r="S39" s="394"/>
      <c r="T39" s="394"/>
      <c r="U39" s="395"/>
    </row>
    <row r="40" spans="1:21" x14ac:dyDescent="0.35">
      <c r="A40" s="4" t="s">
        <v>49</v>
      </c>
      <c r="P40" s="6"/>
    </row>
    <row r="41" spans="1:21" x14ac:dyDescent="0.35">
      <c r="A41" s="1" t="s">
        <v>95</v>
      </c>
      <c r="P41" s="6"/>
    </row>
    <row r="42" spans="1:21" x14ac:dyDescent="0.35">
      <c r="A42" s="1" t="s">
        <v>96</v>
      </c>
      <c r="P42" s="6"/>
    </row>
    <row r="43" spans="1:21" x14ac:dyDescent="0.35">
      <c r="A43" s="25"/>
      <c r="P43" s="6"/>
    </row>
    <row r="44" spans="1:21" ht="17.149999999999999" customHeight="1" x14ac:dyDescent="0.35">
      <c r="A44" s="4" t="s">
        <v>36</v>
      </c>
      <c r="B44" s="4"/>
      <c r="J44" s="28" t="s">
        <v>17</v>
      </c>
      <c r="K44" s="29" t="s">
        <v>18</v>
      </c>
      <c r="M44" s="95"/>
      <c r="N44" s="95"/>
      <c r="P44" s="6"/>
    </row>
    <row r="45" spans="1:21" ht="18.649999999999999" customHeight="1" thickBot="1" x14ac:dyDescent="0.4">
      <c r="A45" s="4" t="s">
        <v>115</v>
      </c>
      <c r="B45" s="4"/>
      <c r="J45" s="4"/>
      <c r="K45" s="4"/>
      <c r="M45" s="95"/>
      <c r="N45" s="95"/>
      <c r="P45" s="6"/>
    </row>
    <row r="46" spans="1:21" ht="15" thickBot="1" x14ac:dyDescent="0.4">
      <c r="A46" s="379"/>
      <c r="B46" s="380"/>
      <c r="C46" s="380"/>
      <c r="D46" s="380"/>
      <c r="E46" s="369" t="s">
        <v>80</v>
      </c>
      <c r="F46" s="370"/>
      <c r="G46" s="370"/>
      <c r="H46" s="371"/>
      <c r="I46" s="372" t="s">
        <v>81</v>
      </c>
      <c r="J46" s="373"/>
      <c r="K46" s="373"/>
      <c r="L46" s="373"/>
      <c r="M46" s="373"/>
      <c r="N46" s="374"/>
      <c r="P46" s="6"/>
    </row>
    <row r="47" spans="1:21" ht="44" thickBot="1" x14ac:dyDescent="0.4">
      <c r="A47" s="38" t="s">
        <v>7</v>
      </c>
      <c r="B47" s="39" t="s">
        <v>10</v>
      </c>
      <c r="C47" s="84" t="s">
        <v>8</v>
      </c>
      <c r="D47" s="94" t="s">
        <v>9</v>
      </c>
      <c r="E47" s="90" t="s">
        <v>77</v>
      </c>
      <c r="F47" s="87" t="s">
        <v>82</v>
      </c>
      <c r="G47" s="87" t="s">
        <v>78</v>
      </c>
      <c r="H47" s="91" t="s">
        <v>83</v>
      </c>
      <c r="I47" s="92" t="s">
        <v>11</v>
      </c>
      <c r="J47" s="31" t="s">
        <v>12</v>
      </c>
      <c r="K47" s="31" t="s">
        <v>13</v>
      </c>
      <c r="L47" s="93" t="s">
        <v>14</v>
      </c>
      <c r="M47" s="92" t="s">
        <v>84</v>
      </c>
      <c r="N47" s="93" t="s">
        <v>85</v>
      </c>
      <c r="P47" s="6"/>
    </row>
    <row r="48" spans="1:21" x14ac:dyDescent="0.35">
      <c r="A48" s="13" t="s">
        <v>71</v>
      </c>
      <c r="B48" s="18">
        <v>20</v>
      </c>
      <c r="C48" s="17">
        <v>18017.599999999999</v>
      </c>
      <c r="D48" s="17">
        <f>10*C48</f>
        <v>180176</v>
      </c>
      <c r="E48" s="17">
        <v>186482</v>
      </c>
      <c r="F48" s="14" t="s">
        <v>45</v>
      </c>
      <c r="G48" s="17">
        <v>33505</v>
      </c>
      <c r="H48" s="17">
        <f>E48+G48</f>
        <v>219987</v>
      </c>
      <c r="I48" s="17">
        <v>12000</v>
      </c>
      <c r="J48" s="17">
        <v>240000</v>
      </c>
      <c r="K48" s="17">
        <f>40980+67200</f>
        <v>108180</v>
      </c>
      <c r="L48" s="17">
        <f>J48+K48</f>
        <v>348180</v>
      </c>
      <c r="M48" s="60">
        <v>1.35E-2</v>
      </c>
      <c r="N48" s="52">
        <v>3.1600000000000003E-2</v>
      </c>
    </row>
    <row r="49" spans="1:14" x14ac:dyDescent="0.35">
      <c r="A49" s="9" t="s">
        <v>64</v>
      </c>
      <c r="B49" s="11">
        <v>20</v>
      </c>
      <c r="C49" s="19">
        <v>24400</v>
      </c>
      <c r="D49" s="19">
        <v>244000</v>
      </c>
      <c r="E49" s="19">
        <v>245830</v>
      </c>
      <c r="F49" s="23" t="str">
        <f>IF(E49&gt;=D49,"Yes","No")</f>
        <v>Yes</v>
      </c>
      <c r="G49" s="19">
        <v>27669</v>
      </c>
      <c r="H49" s="23">
        <f>E49+G49</f>
        <v>273499</v>
      </c>
      <c r="I49" s="19">
        <v>12000</v>
      </c>
      <c r="J49" s="19">
        <v>300000</v>
      </c>
      <c r="K49" s="23">
        <f>L49-J49</f>
        <v>217620</v>
      </c>
      <c r="L49" s="19">
        <v>517620</v>
      </c>
      <c r="M49" s="56">
        <v>9.4000000000000004E-3</v>
      </c>
      <c r="N49" s="63">
        <v>3.4700000000000002E-2</v>
      </c>
    </row>
    <row r="50" spans="1:14" x14ac:dyDescent="0.35">
      <c r="A50" s="9" t="s">
        <v>67</v>
      </c>
      <c r="B50" s="11">
        <v>20</v>
      </c>
      <c r="C50" s="19">
        <v>18808</v>
      </c>
      <c r="D50" s="19">
        <f>10*C50</f>
        <v>188080</v>
      </c>
      <c r="E50" s="19">
        <v>188080</v>
      </c>
      <c r="F50" s="10" t="str">
        <f>IF(E50&gt;=D50,"Yes","No")</f>
        <v>Yes</v>
      </c>
      <c r="G50" s="19">
        <v>18808</v>
      </c>
      <c r="H50" s="10">
        <f>SUM(E50,G50)</f>
        <v>206888</v>
      </c>
      <c r="I50" s="19">
        <f>1000.04*12</f>
        <v>12000.48</v>
      </c>
      <c r="J50" s="23">
        <v>240007</v>
      </c>
      <c r="K50" s="19">
        <v>173966</v>
      </c>
      <c r="L50" s="10">
        <f>K50+J50</f>
        <v>413973</v>
      </c>
      <c r="M50" s="62">
        <v>1.15E-2</v>
      </c>
      <c r="N50" s="63">
        <v>3.8300000000000001E-2</v>
      </c>
    </row>
    <row r="51" spans="1:14" x14ac:dyDescent="0.35">
      <c r="A51" s="9" t="s">
        <v>26</v>
      </c>
      <c r="B51" s="44">
        <v>20</v>
      </c>
      <c r="C51" s="19">
        <v>20164.8</v>
      </c>
      <c r="D51" s="19">
        <f>10*C51</f>
        <v>201648</v>
      </c>
      <c r="E51" s="19">
        <v>201650</v>
      </c>
      <c r="F51" s="10" t="s">
        <v>45</v>
      </c>
      <c r="G51" s="19">
        <v>34341</v>
      </c>
      <c r="H51" s="19">
        <f>E51+G51</f>
        <v>235991</v>
      </c>
      <c r="I51" s="19">
        <v>12000</v>
      </c>
      <c r="J51" s="19">
        <v>240000</v>
      </c>
      <c r="K51" s="19">
        <f>100620+56879</f>
        <v>157499</v>
      </c>
      <c r="L51" s="19">
        <f>J51+K51</f>
        <v>397499</v>
      </c>
      <c r="M51" s="56">
        <v>8.3999999999999995E-3</v>
      </c>
      <c r="N51" s="53">
        <v>3.15E-2</v>
      </c>
    </row>
    <row r="52" spans="1:14" x14ac:dyDescent="0.35">
      <c r="A52" s="9" t="s">
        <v>27</v>
      </c>
      <c r="B52" s="44">
        <v>20</v>
      </c>
      <c r="C52" s="19">
        <v>21002</v>
      </c>
      <c r="D52" s="19">
        <f>10*C52</f>
        <v>210020</v>
      </c>
      <c r="E52" s="19">
        <v>210020</v>
      </c>
      <c r="F52" s="10" t="s">
        <v>45</v>
      </c>
      <c r="G52" s="19">
        <v>18271</v>
      </c>
      <c r="H52" s="19">
        <f>E52+G52</f>
        <v>228291</v>
      </c>
      <c r="I52" s="19">
        <v>12000</v>
      </c>
      <c r="J52" s="19">
        <v>240000</v>
      </c>
      <c r="K52" s="19">
        <v>192038</v>
      </c>
      <c r="L52" s="19">
        <f>J52+K52</f>
        <v>432038</v>
      </c>
      <c r="M52" s="56">
        <v>6.1999999999999998E-3</v>
      </c>
      <c r="N52" s="63">
        <v>3.4700000000000002E-2</v>
      </c>
    </row>
    <row r="53" spans="1:14" ht="15" thickBot="1" x14ac:dyDescent="0.4">
      <c r="A53" s="20" t="s">
        <v>54</v>
      </c>
      <c r="B53" s="24">
        <v>20</v>
      </c>
      <c r="C53" s="33">
        <v>21685.65</v>
      </c>
      <c r="D53" s="33">
        <f>10*C53</f>
        <v>216856.5</v>
      </c>
      <c r="E53" s="33">
        <v>220964</v>
      </c>
      <c r="F53" s="21" t="s">
        <v>45</v>
      </c>
      <c r="G53" s="33">
        <v>12374</v>
      </c>
      <c r="H53" s="33">
        <f>E53+G53</f>
        <v>233338</v>
      </c>
      <c r="I53" s="33">
        <v>12000</v>
      </c>
      <c r="J53" s="33">
        <v>240000</v>
      </c>
      <c r="K53" s="33">
        <v>198696</v>
      </c>
      <c r="L53" s="33">
        <f>J53+K53</f>
        <v>438696</v>
      </c>
      <c r="M53" s="57">
        <v>4.7000000000000002E-3</v>
      </c>
      <c r="N53" s="54">
        <v>3.4099999999999998E-2</v>
      </c>
    </row>
    <row r="54" spans="1:14" x14ac:dyDescent="0.35">
      <c r="A54" s="4" t="s">
        <v>49</v>
      </c>
    </row>
    <row r="55" spans="1:14" x14ac:dyDescent="0.35">
      <c r="A55" s="1" t="s">
        <v>95</v>
      </c>
    </row>
    <row r="56" spans="1:14" x14ac:dyDescent="0.35">
      <c r="A56" s="1" t="s">
        <v>96</v>
      </c>
    </row>
  </sheetData>
  <sheetProtection algorithmName="SHA-512" hashValue="qfdpKuAQGGwmtl27isYvYeOjnvUiUkLo1kfTr8dp/e4XqmfUrfAg0ZcHmWBf5c1LGgRuovfdkGZ313JYxSe63g==" saltValue="y3eY7uqcIIMdErUP7m1mkA==" spinCount="100000" sheet="1" objects="1" scenarios="1"/>
  <mergeCells count="14">
    <mergeCell ref="I46:N46"/>
    <mergeCell ref="A32:D32"/>
    <mergeCell ref="E32:H32"/>
    <mergeCell ref="A46:D46"/>
    <mergeCell ref="E46:H46"/>
    <mergeCell ref="P5:U5"/>
    <mergeCell ref="P6:U39"/>
    <mergeCell ref="A4:D4"/>
    <mergeCell ref="E4:H4"/>
    <mergeCell ref="A18:D18"/>
    <mergeCell ref="E18:H18"/>
    <mergeCell ref="I4:N4"/>
    <mergeCell ref="I18:N18"/>
    <mergeCell ref="I32:N32"/>
  </mergeCells>
  <conditionalFormatting sqref="M6:M11">
    <cfRule type="top10" dxfId="39" priority="1" rank="1"/>
    <cfRule type="top10" dxfId="38" priority="2" rank="2"/>
  </conditionalFormatting>
  <conditionalFormatting sqref="M20:M25">
    <cfRule type="top10" dxfId="37" priority="5" rank="1"/>
    <cfRule type="top10" dxfId="36" priority="6" rank="2"/>
  </conditionalFormatting>
  <conditionalFormatting sqref="M34:M39">
    <cfRule type="top10" dxfId="35" priority="9" rank="1"/>
    <cfRule type="top10" dxfId="34" priority="10" rank="2"/>
  </conditionalFormatting>
  <conditionalFormatting sqref="M48:M53">
    <cfRule type="top10" dxfId="33" priority="13" rank="1"/>
    <cfRule type="top10" dxfId="32" priority="14" rank="2"/>
  </conditionalFormatting>
  <conditionalFormatting sqref="N6:N11">
    <cfRule type="top10" dxfId="31" priority="3" rank="1"/>
    <cfRule type="top10" dxfId="30" priority="4" rank="2"/>
  </conditionalFormatting>
  <conditionalFormatting sqref="N20:N25">
    <cfRule type="top10" dxfId="29" priority="7" rank="1"/>
    <cfRule type="top10" dxfId="28" priority="8" rank="2"/>
  </conditionalFormatting>
  <conditionalFormatting sqref="N34:N39">
    <cfRule type="top10" dxfId="27" priority="11" rank="1"/>
    <cfRule type="top10" dxfId="26" priority="12" rank="2"/>
  </conditionalFormatting>
  <conditionalFormatting sqref="N48:N53">
    <cfRule type="top10" dxfId="25" priority="15" rank="1"/>
    <cfRule type="top10" dxfId="24" priority="16" rank="2"/>
  </conditionalFormatting>
  <printOptions horizontalCentered="1" verticalCentered="1"/>
  <pageMargins left="0" right="0" top="0" bottom="0" header="0" footer="0"/>
  <pageSetup paperSize="9" scale="49" orientation="landscape" r:id="rId1"/>
  <headerFooter>
    <oddFooter>&amp;L_x000D_&amp;1#&amp;"Calibri"&amp;8&amp;K0000FF Internal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128C2-9168-4A4A-839D-3B9EE6A2D191}">
  <sheetPr>
    <pageSetUpPr fitToPage="1"/>
  </sheetPr>
  <dimension ref="A1:T38"/>
  <sheetViews>
    <sheetView showGridLines="0" zoomScale="70" zoomScaleNormal="70" workbookViewId="0">
      <pane xSplit="1" topLeftCell="B1" activePane="topRight" state="frozen"/>
      <selection pane="topRight" activeCell="K41" sqref="K41"/>
    </sheetView>
  </sheetViews>
  <sheetFormatPr defaultColWidth="9.1796875" defaultRowHeight="14.5" x14ac:dyDescent="0.35"/>
  <cols>
    <col min="1" max="1" width="35.1796875" style="131" customWidth="1"/>
    <col min="2" max="2" width="12.1796875" style="131" bestFit="1" customWidth="1"/>
    <col min="3" max="3" width="11.54296875" style="131" bestFit="1" customWidth="1"/>
    <col min="4" max="4" width="12.54296875" style="131" bestFit="1" customWidth="1"/>
    <col min="5" max="5" width="17.54296875" style="131" hidden="1" customWidth="1"/>
    <col min="6" max="6" width="43.36328125" style="131" customWidth="1"/>
    <col min="7" max="7" width="18.81640625" style="131" hidden="1" customWidth="1"/>
    <col min="8" max="8" width="13.453125" style="131" hidden="1" customWidth="1"/>
    <col min="9" max="9" width="15.81640625" style="131" hidden="1" customWidth="1"/>
    <col min="10" max="10" width="14.54296875" style="131" bestFit="1" customWidth="1"/>
    <col min="11" max="11" width="13.81640625" style="131" customWidth="1"/>
    <col min="12" max="12" width="13.1796875" style="131" customWidth="1"/>
    <col min="13" max="13" width="16.81640625" style="131" customWidth="1"/>
    <col min="14" max="14" width="16.08984375" style="131" bestFit="1" customWidth="1"/>
    <col min="15" max="15" width="4.81640625" style="131" customWidth="1"/>
    <col min="16" max="16" width="46" style="131" customWidth="1"/>
    <col min="17" max="17" width="11.54296875" style="131" customWidth="1"/>
    <col min="18" max="18" width="11.81640625" style="131" hidden="1" customWidth="1"/>
    <col min="19" max="19" width="13.1796875" style="131" hidden="1" customWidth="1"/>
    <col min="20" max="20" width="11.453125" style="131" customWidth="1"/>
    <col min="21" max="21" width="12.453125" style="131" customWidth="1"/>
    <col min="22" max="22" width="11.453125" style="131" customWidth="1"/>
    <col min="23" max="23" width="10" style="131" bestFit="1" customWidth="1"/>
    <col min="24" max="24" width="20.54296875" style="131" customWidth="1"/>
    <col min="25" max="16384" width="9.1796875" style="131"/>
  </cols>
  <sheetData>
    <row r="1" spans="1:20" ht="15.65" customHeight="1" x14ac:dyDescent="0.35">
      <c r="D1" s="186"/>
      <c r="E1" s="186"/>
      <c r="F1" s="186"/>
      <c r="K1" s="186"/>
    </row>
    <row r="2" spans="1:20" ht="21" customHeight="1" x14ac:dyDescent="0.35">
      <c r="A2" s="135" t="s">
        <v>263</v>
      </c>
      <c r="B2" s="135"/>
      <c r="J2" s="138" t="s">
        <v>17</v>
      </c>
      <c r="K2" s="139" t="s">
        <v>18</v>
      </c>
      <c r="M2" s="188"/>
      <c r="N2" s="188"/>
      <c r="O2" s="135"/>
      <c r="P2" s="237"/>
      <c r="Q2" s="237"/>
      <c r="T2" s="237"/>
    </row>
    <row r="3" spans="1:20" ht="15" customHeight="1" thickBot="1" x14ac:dyDescent="0.4">
      <c r="A3" s="135" t="s">
        <v>264</v>
      </c>
      <c r="B3" s="135"/>
      <c r="J3" s="135"/>
      <c r="K3" s="135"/>
      <c r="M3" s="188"/>
      <c r="N3" s="188"/>
      <c r="O3" s="135"/>
      <c r="P3" s="237"/>
      <c r="Q3" s="237"/>
      <c r="T3" s="237"/>
    </row>
    <row r="4" spans="1:20" ht="15" thickBot="1" x14ac:dyDescent="0.4">
      <c r="A4" s="377"/>
      <c r="B4" s="378"/>
      <c r="C4" s="378"/>
      <c r="D4" s="378"/>
      <c r="E4" s="350" t="s">
        <v>80</v>
      </c>
      <c r="F4" s="351"/>
      <c r="G4" s="351"/>
      <c r="H4" s="352"/>
      <c r="I4" s="353" t="s">
        <v>81</v>
      </c>
      <c r="J4" s="354"/>
      <c r="K4" s="354"/>
      <c r="L4" s="354"/>
      <c r="M4" s="354"/>
      <c r="N4" s="355"/>
      <c r="P4" s="237"/>
      <c r="Q4" s="237"/>
      <c r="T4" s="237"/>
    </row>
    <row r="5" spans="1:20" ht="62.25" customHeight="1"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P5" s="289" t="s">
        <v>15</v>
      </c>
      <c r="R5" s="132" t="s">
        <v>297</v>
      </c>
      <c r="S5" s="132" t="s">
        <v>298</v>
      </c>
    </row>
    <row r="6" spans="1:20" ht="15" customHeight="1" x14ac:dyDescent="0.35">
      <c r="A6" s="156" t="s">
        <v>151</v>
      </c>
      <c r="B6" s="207">
        <v>20</v>
      </c>
      <c r="C6" s="208">
        <v>11947.55</v>
      </c>
      <c r="D6" s="249">
        <f>5*C6</f>
        <v>59737.75</v>
      </c>
      <c r="E6" s="250">
        <v>59737</v>
      </c>
      <c r="F6" s="250" t="s">
        <v>45</v>
      </c>
      <c r="G6" s="250">
        <v>8495</v>
      </c>
      <c r="H6" s="250">
        <f>E6+G6</f>
        <v>68232</v>
      </c>
      <c r="I6" s="249">
        <f>320*12</f>
        <v>3840</v>
      </c>
      <c r="J6" s="249">
        <f>I6*20</f>
        <v>76800</v>
      </c>
      <c r="K6" s="249">
        <f>10380+20420</f>
        <v>30800</v>
      </c>
      <c r="L6" s="208">
        <f>J6+K6</f>
        <v>107600</v>
      </c>
      <c r="M6" s="251">
        <v>1.34E-2</v>
      </c>
      <c r="N6" s="252">
        <v>3.2199999999999999E-2</v>
      </c>
      <c r="P6" s="363" t="s">
        <v>134</v>
      </c>
      <c r="R6" s="132" t="str" cm="1">
        <f t="array" ref="R6">INDEX(A6:A11,MATCH(MAX(M6:M11),M6:M11,0),0)</f>
        <v>Singlife Flexi Retirement (II)</v>
      </c>
      <c r="S6" s="132" t="str" cm="1">
        <f t="array" ref="S6">INDEX(A6:A11,MATCH(MAX(N6:N11),N6:N11,0),0)</f>
        <v>China Taiping i-Retire (II)</v>
      </c>
    </row>
    <row r="7" spans="1:20" ht="15" customHeight="1" x14ac:dyDescent="0.35">
      <c r="A7" s="164" t="s">
        <v>64</v>
      </c>
      <c r="B7" s="165">
        <v>20</v>
      </c>
      <c r="C7" s="173">
        <v>15960</v>
      </c>
      <c r="D7" s="250">
        <f t="shared" ref="D7:D11" si="0">5*C7</f>
        <v>79800</v>
      </c>
      <c r="E7" s="250">
        <v>80398</v>
      </c>
      <c r="F7" s="253" t="str">
        <f>IF(E7&gt;=D7,"Yes","No")</f>
        <v>Yes</v>
      </c>
      <c r="G7" s="250">
        <v>6894</v>
      </c>
      <c r="H7" s="253">
        <f>E7+G7</f>
        <v>87292</v>
      </c>
      <c r="I7" s="250">
        <f>300*12</f>
        <v>3600</v>
      </c>
      <c r="J7" s="250">
        <v>90000</v>
      </c>
      <c r="K7" s="253">
        <f>L7-J7</f>
        <v>56784</v>
      </c>
      <c r="L7" s="173">
        <v>146784</v>
      </c>
      <c r="M7" s="254">
        <v>6.1000000000000004E-3</v>
      </c>
      <c r="N7" s="255">
        <v>3.1800000000000002E-2</v>
      </c>
      <c r="P7" s="364"/>
      <c r="R7" s="132" t="str" cm="1">
        <f t="array" ref="R7">INDEX(A21:A22,MATCH(MAX(M21:M22),M21:M22,0),0)</f>
        <v>Singlife Flexi Retirement (II)</v>
      </c>
      <c r="S7" s="132" t="str" cm="1">
        <f t="array" ref="S7">INDEX(A21:A22,MATCH(MAX(N21:N22),N21:N22,0),0)</f>
        <v>Singlife Flexi Retirement (II)</v>
      </c>
    </row>
    <row r="8" spans="1:20" ht="15" customHeight="1" x14ac:dyDescent="0.35">
      <c r="A8" s="164" t="s">
        <v>67</v>
      </c>
      <c r="B8" s="165">
        <v>20</v>
      </c>
      <c r="C8" s="173">
        <v>12000</v>
      </c>
      <c r="D8" s="250">
        <f t="shared" si="0"/>
        <v>60000</v>
      </c>
      <c r="E8" s="250">
        <f>D8</f>
        <v>60000</v>
      </c>
      <c r="F8" s="250" t="str">
        <f>IF(E8&gt;=D8,"Yes","No")</f>
        <v>Yes</v>
      </c>
      <c r="G8" s="250">
        <v>4800</v>
      </c>
      <c r="H8" s="250">
        <f>SUM(E8,G8)</f>
        <v>64800</v>
      </c>
      <c r="I8" s="250">
        <f>303.72*12</f>
        <v>3644.6400000000003</v>
      </c>
      <c r="J8" s="253">
        <f t="shared" ref="J8:J11" si="1">I8*20</f>
        <v>72892.800000000003</v>
      </c>
      <c r="K8" s="250">
        <v>46598</v>
      </c>
      <c r="L8" s="173">
        <f t="shared" ref="L8:L11" si="2">J8+K8</f>
        <v>119490.8</v>
      </c>
      <c r="M8" s="223">
        <v>1.04E-2</v>
      </c>
      <c r="N8" s="221">
        <v>3.8199999999999998E-2</v>
      </c>
      <c r="P8" s="364"/>
      <c r="R8" s="132" t="str" cm="1">
        <f t="array" ref="R8">INDEX(A31:A35,MATCH(MAX(M31:M35),M31:M35,0),0)</f>
        <v>Singlife Flexi Retirement (II)</v>
      </c>
      <c r="S8" s="132" t="str" cm="1">
        <f t="array" ref="S8">INDEX(A31:A35,MATCH(MAX(N31:N35),N31:N35,0),0)</f>
        <v>China Taiping i-Retire (II)</v>
      </c>
    </row>
    <row r="9" spans="1:20" x14ac:dyDescent="0.35">
      <c r="A9" s="164" t="s">
        <v>26</v>
      </c>
      <c r="B9" s="165">
        <v>20</v>
      </c>
      <c r="C9" s="173">
        <v>12567</v>
      </c>
      <c r="D9" s="250">
        <f t="shared" si="0"/>
        <v>62835</v>
      </c>
      <c r="E9" s="250">
        <v>62835</v>
      </c>
      <c r="F9" s="250" t="str">
        <f t="shared" ref="F9:F11" si="3">IF(E9&gt;=D9,"Yes","No")</f>
        <v>Yes</v>
      </c>
      <c r="G9" s="250">
        <v>7246</v>
      </c>
      <c r="H9" s="250">
        <f>E9+G9</f>
        <v>70081</v>
      </c>
      <c r="I9" s="250">
        <v>3600</v>
      </c>
      <c r="J9" s="250">
        <f t="shared" si="1"/>
        <v>72000</v>
      </c>
      <c r="K9" s="250">
        <f>L9-J9</f>
        <v>44265.600000000006</v>
      </c>
      <c r="L9" s="173">
        <v>116265.60000000001</v>
      </c>
      <c r="M9" s="213">
        <v>7.4000000000000003E-3</v>
      </c>
      <c r="N9" s="224">
        <v>3.1300000000000001E-2</v>
      </c>
      <c r="P9" s="364"/>
      <c r="R9" s="132"/>
      <c r="S9" s="132"/>
    </row>
    <row r="10" spans="1:20" ht="14.15" customHeight="1" x14ac:dyDescent="0.35">
      <c r="A10" s="164" t="s">
        <v>27</v>
      </c>
      <c r="B10" s="132">
        <v>20</v>
      </c>
      <c r="C10" s="173">
        <v>11935.61</v>
      </c>
      <c r="D10" s="250">
        <f t="shared" si="0"/>
        <v>59678.05</v>
      </c>
      <c r="E10" s="250">
        <f>D10</f>
        <v>59678.05</v>
      </c>
      <c r="F10" s="250" t="str">
        <f t="shared" si="3"/>
        <v>Yes</v>
      </c>
      <c r="G10" s="250">
        <v>2760</v>
      </c>
      <c r="H10" s="250">
        <f>E10+G10</f>
        <v>62438.05</v>
      </c>
      <c r="I10" s="250">
        <f>270*12</f>
        <v>3240</v>
      </c>
      <c r="J10" s="250">
        <f t="shared" si="1"/>
        <v>64800</v>
      </c>
      <c r="K10" s="250">
        <v>37524</v>
      </c>
      <c r="L10" s="173">
        <f t="shared" si="2"/>
        <v>102324</v>
      </c>
      <c r="M10" s="213">
        <v>4.3E-3</v>
      </c>
      <c r="N10" s="224">
        <v>2.9399999999999999E-2</v>
      </c>
      <c r="P10" s="364"/>
      <c r="R10" s="132"/>
      <c r="S10" s="132"/>
    </row>
    <row r="11" spans="1:20" ht="13.4" customHeight="1" thickBot="1" x14ac:dyDescent="0.4">
      <c r="A11" s="168" t="s">
        <v>54</v>
      </c>
      <c r="B11" s="169">
        <v>20</v>
      </c>
      <c r="C11" s="217">
        <v>11999.6</v>
      </c>
      <c r="D11" s="256">
        <f t="shared" si="0"/>
        <v>59998</v>
      </c>
      <c r="E11" s="256">
        <v>59974</v>
      </c>
      <c r="F11" s="250" t="str">
        <f t="shared" si="3"/>
        <v>No</v>
      </c>
      <c r="G11" s="256">
        <v>3119</v>
      </c>
      <c r="H11" s="250">
        <f>E11+G11</f>
        <v>63093</v>
      </c>
      <c r="I11" s="256">
        <f>255.58*12</f>
        <v>3066.96</v>
      </c>
      <c r="J11" s="256">
        <f t="shared" si="1"/>
        <v>61339.199999999997</v>
      </c>
      <c r="K11" s="256">
        <v>45146</v>
      </c>
      <c r="L11" s="217">
        <f t="shared" si="2"/>
        <v>106485.2</v>
      </c>
      <c r="M11" s="225">
        <v>1.1999999999999999E-3</v>
      </c>
      <c r="N11" s="257">
        <v>3.15E-2</v>
      </c>
      <c r="O11" s="189"/>
      <c r="P11" s="364"/>
    </row>
    <row r="12" spans="1:20" x14ac:dyDescent="0.35">
      <c r="A12" s="135" t="s">
        <v>49</v>
      </c>
      <c r="B12" s="239"/>
      <c r="C12" s="239"/>
      <c r="D12" s="239"/>
      <c r="E12" s="239"/>
      <c r="F12" s="239"/>
      <c r="G12" s="239"/>
      <c r="H12" s="239"/>
      <c r="I12" s="189"/>
      <c r="J12" s="189"/>
      <c r="K12" s="189"/>
      <c r="L12" s="189"/>
      <c r="M12" s="189"/>
      <c r="N12" s="189"/>
      <c r="P12" s="364"/>
    </row>
    <row r="13" spans="1:20" x14ac:dyDescent="0.35">
      <c r="A13" s="131" t="s">
        <v>95</v>
      </c>
      <c r="B13" s="189"/>
      <c r="C13" s="189"/>
      <c r="D13" s="189"/>
      <c r="E13" s="189"/>
      <c r="F13" s="189"/>
      <c r="G13" s="189"/>
      <c r="H13" s="189"/>
      <c r="I13" s="189"/>
      <c r="J13" s="189"/>
      <c r="K13" s="189"/>
      <c r="L13" s="189"/>
      <c r="M13" s="189"/>
      <c r="N13" s="189"/>
      <c r="P13" s="364"/>
    </row>
    <row r="14" spans="1:20" x14ac:dyDescent="0.35">
      <c r="A14" s="131" t="s">
        <v>96</v>
      </c>
      <c r="B14" s="189"/>
      <c r="C14" s="189"/>
      <c r="D14" s="189"/>
      <c r="E14" s="189"/>
      <c r="F14" s="189"/>
      <c r="G14" s="189"/>
      <c r="H14" s="189"/>
      <c r="I14" s="189"/>
      <c r="J14" s="189"/>
      <c r="K14" s="189"/>
      <c r="L14" s="189"/>
      <c r="M14" s="189"/>
      <c r="N14" s="189"/>
      <c r="P14" s="364"/>
    </row>
    <row r="15" spans="1:20" x14ac:dyDescent="0.35">
      <c r="A15" s="131" t="s">
        <v>130</v>
      </c>
      <c r="B15" s="189"/>
      <c r="C15" s="189"/>
      <c r="D15" s="189"/>
      <c r="E15" s="189"/>
      <c r="F15" s="189"/>
      <c r="G15" s="189"/>
      <c r="H15" s="189"/>
      <c r="I15" s="189"/>
      <c r="J15" s="189"/>
      <c r="K15" s="189"/>
      <c r="L15" s="189"/>
      <c r="M15" s="189"/>
      <c r="N15" s="189"/>
      <c r="P15" s="364"/>
    </row>
    <row r="16" spans="1:20" x14ac:dyDescent="0.35">
      <c r="B16" s="189"/>
      <c r="C16" s="189"/>
      <c r="D16" s="189"/>
      <c r="E16" s="189"/>
      <c r="F16" s="189"/>
      <c r="G16" s="189"/>
      <c r="H16" s="189"/>
      <c r="I16" s="189"/>
      <c r="J16" s="189"/>
      <c r="K16" s="189"/>
      <c r="L16" s="189"/>
      <c r="M16" s="189"/>
      <c r="N16" s="189"/>
      <c r="P16" s="364"/>
    </row>
    <row r="17" spans="1:19" ht="18" customHeight="1" x14ac:dyDescent="0.35">
      <c r="A17" s="135" t="s">
        <v>265</v>
      </c>
      <c r="B17" s="135"/>
      <c r="J17" s="138" t="s">
        <v>17</v>
      </c>
      <c r="K17" s="139" t="s">
        <v>18</v>
      </c>
      <c r="M17" s="188"/>
      <c r="N17" s="188"/>
      <c r="O17" s="155"/>
      <c r="P17" s="364"/>
    </row>
    <row r="18" spans="1:19" ht="17.899999999999999" customHeight="1" thickBot="1" x14ac:dyDescent="0.4">
      <c r="A18" s="135" t="s">
        <v>266</v>
      </c>
      <c r="B18" s="135"/>
      <c r="J18" s="135"/>
      <c r="K18" s="135"/>
      <c r="M18" s="188"/>
      <c r="N18" s="188"/>
      <c r="O18" s="155"/>
      <c r="P18" s="364"/>
    </row>
    <row r="19" spans="1:19" ht="15" thickBot="1" x14ac:dyDescent="0.4">
      <c r="A19" s="377"/>
      <c r="B19" s="378"/>
      <c r="C19" s="378"/>
      <c r="D19" s="383"/>
      <c r="E19" s="350" t="s">
        <v>80</v>
      </c>
      <c r="F19" s="351"/>
      <c r="G19" s="351"/>
      <c r="H19" s="352"/>
      <c r="I19" s="353" t="s">
        <v>81</v>
      </c>
      <c r="J19" s="354"/>
      <c r="K19" s="354"/>
      <c r="L19" s="354"/>
      <c r="M19" s="354"/>
      <c r="N19" s="355"/>
      <c r="O19" s="135"/>
      <c r="P19" s="364"/>
    </row>
    <row r="20" spans="1:19"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P20" s="364"/>
      <c r="R20" s="132"/>
      <c r="S20" s="132"/>
    </row>
    <row r="21" spans="1:19" ht="15" customHeight="1" x14ac:dyDescent="0.35">
      <c r="A21" s="156" t="s">
        <v>151</v>
      </c>
      <c r="B21" s="207">
        <v>20</v>
      </c>
      <c r="C21" s="208">
        <v>11832.4</v>
      </c>
      <c r="D21" s="208">
        <f>10*C21</f>
        <v>118324</v>
      </c>
      <c r="E21" s="208">
        <v>118324</v>
      </c>
      <c r="F21" s="208" t="s">
        <v>45</v>
      </c>
      <c r="G21" s="208">
        <v>12021</v>
      </c>
      <c r="H21" s="208">
        <f t="shared" ref="H21" si="4">E21+G21</f>
        <v>130345</v>
      </c>
      <c r="I21" s="209">
        <f>610*12</f>
        <v>7320</v>
      </c>
      <c r="J21" s="208">
        <f t="shared" ref="J21" si="5">I21*20</f>
        <v>146400</v>
      </c>
      <c r="K21" s="208">
        <f>14700+27660</f>
        <v>42360</v>
      </c>
      <c r="L21" s="208">
        <f>J21+K21</f>
        <v>188760</v>
      </c>
      <c r="M21" s="258">
        <v>1.3100000000000001E-2</v>
      </c>
      <c r="N21" s="252">
        <v>2.93E-2</v>
      </c>
      <c r="P21" s="364"/>
    </row>
    <row r="22" spans="1:19" ht="15" customHeight="1" thickBot="1" x14ac:dyDescent="0.4">
      <c r="A22" s="168" t="s">
        <v>27</v>
      </c>
      <c r="B22" s="259">
        <v>20</v>
      </c>
      <c r="C22" s="217">
        <v>11850.27</v>
      </c>
      <c r="D22" s="217">
        <f t="shared" ref="D22" si="6">10*C22</f>
        <v>118502.70000000001</v>
      </c>
      <c r="E22" s="217">
        <f>D22</f>
        <v>118502.70000000001</v>
      </c>
      <c r="F22" s="217" t="s">
        <v>45</v>
      </c>
      <c r="G22" s="217">
        <v>5405</v>
      </c>
      <c r="H22" s="217">
        <f>E22+G22</f>
        <v>123907.70000000001</v>
      </c>
      <c r="I22" s="217">
        <f>530*12</f>
        <v>6360</v>
      </c>
      <c r="J22" s="217">
        <f>I22*20</f>
        <v>127200</v>
      </c>
      <c r="K22" s="217">
        <v>55934</v>
      </c>
      <c r="L22" s="217">
        <f t="shared" ref="L22" si="7">J22+K22</f>
        <v>183134</v>
      </c>
      <c r="M22" s="260">
        <v>4.3E-3</v>
      </c>
      <c r="N22" s="261">
        <v>2.7199999999999998E-2</v>
      </c>
      <c r="P22" s="364"/>
    </row>
    <row r="23" spans="1:19" ht="15" customHeight="1" x14ac:dyDescent="0.35">
      <c r="A23" s="135" t="s">
        <v>49</v>
      </c>
      <c r="C23" s="173"/>
      <c r="D23" s="173"/>
      <c r="E23" s="173"/>
      <c r="F23" s="173"/>
      <c r="G23" s="173"/>
      <c r="H23" s="173"/>
      <c r="I23" s="173"/>
      <c r="J23" s="173"/>
      <c r="K23" s="173"/>
      <c r="L23" s="173"/>
      <c r="M23" s="174"/>
      <c r="N23" s="174"/>
      <c r="P23" s="364"/>
    </row>
    <row r="24" spans="1:19" x14ac:dyDescent="0.35">
      <c r="A24" s="131" t="s">
        <v>95</v>
      </c>
      <c r="C24" s="173"/>
      <c r="D24" s="173"/>
      <c r="E24" s="173"/>
      <c r="F24" s="173"/>
      <c r="G24" s="173"/>
      <c r="H24" s="173"/>
      <c r="I24" s="173"/>
      <c r="J24" s="173"/>
      <c r="K24" s="173"/>
      <c r="L24" s="173"/>
      <c r="M24" s="174"/>
      <c r="N24" s="174"/>
      <c r="O24" s="135"/>
      <c r="P24" s="364"/>
    </row>
    <row r="25" spans="1:19" x14ac:dyDescent="0.35">
      <c r="A25" s="131" t="s">
        <v>140</v>
      </c>
      <c r="C25" s="173"/>
      <c r="D25" s="173"/>
      <c r="E25" s="173"/>
      <c r="F25" s="173"/>
      <c r="G25" s="173"/>
      <c r="H25" s="173"/>
      <c r="I25" s="173"/>
      <c r="J25" s="173"/>
      <c r="K25" s="173"/>
      <c r="L25" s="173"/>
      <c r="M25" s="174"/>
      <c r="N25" s="174"/>
      <c r="O25" s="135"/>
      <c r="P25" s="364"/>
    </row>
    <row r="26" spans="1:19" x14ac:dyDescent="0.35">
      <c r="C26" s="173"/>
      <c r="D26" s="173"/>
      <c r="E26" s="173"/>
      <c r="F26" s="173"/>
      <c r="G26" s="173"/>
      <c r="H26" s="173"/>
      <c r="I26" s="173"/>
      <c r="J26" s="173"/>
      <c r="K26" s="173"/>
      <c r="L26" s="173"/>
      <c r="M26" s="174"/>
      <c r="N26" s="174"/>
      <c r="O26" s="135"/>
      <c r="P26" s="364"/>
    </row>
    <row r="27" spans="1:19" ht="15.65" customHeight="1" x14ac:dyDescent="0.35">
      <c r="A27" s="135" t="s">
        <v>267</v>
      </c>
      <c r="B27" s="135"/>
      <c r="J27" s="138" t="s">
        <v>17</v>
      </c>
      <c r="K27" s="139" t="s">
        <v>18</v>
      </c>
      <c r="M27" s="356" t="s">
        <v>145</v>
      </c>
      <c r="N27" s="356"/>
      <c r="P27" s="364"/>
    </row>
    <row r="28" spans="1:19" ht="15.65" customHeight="1" thickBot="1" x14ac:dyDescent="0.4">
      <c r="A28" s="135" t="s">
        <v>268</v>
      </c>
      <c r="B28" s="135"/>
      <c r="J28" s="135"/>
      <c r="K28" s="135"/>
      <c r="M28" s="357"/>
      <c r="N28" s="357"/>
      <c r="P28" s="364"/>
    </row>
    <row r="29" spans="1:19" ht="15.65" customHeight="1" thickBot="1" x14ac:dyDescent="0.4">
      <c r="A29" s="377"/>
      <c r="B29" s="378"/>
      <c r="C29" s="378"/>
      <c r="D29" s="383"/>
      <c r="E29" s="350" t="s">
        <v>80</v>
      </c>
      <c r="F29" s="351"/>
      <c r="G29" s="351"/>
      <c r="H29" s="352"/>
      <c r="I29" s="353" t="s">
        <v>81</v>
      </c>
      <c r="J29" s="354"/>
      <c r="K29" s="354"/>
      <c r="L29" s="354"/>
      <c r="M29" s="354"/>
      <c r="N29" s="355"/>
      <c r="P29" s="364"/>
    </row>
    <row r="30" spans="1:19" ht="44" thickBot="1" x14ac:dyDescent="0.4">
      <c r="A30" s="144" t="s">
        <v>7</v>
      </c>
      <c r="B30" s="175" t="s">
        <v>10</v>
      </c>
      <c r="C30" s="203" t="s">
        <v>8</v>
      </c>
      <c r="D30" s="204" t="s">
        <v>9</v>
      </c>
      <c r="E30" s="177" t="s">
        <v>77</v>
      </c>
      <c r="F30" s="178" t="s">
        <v>82</v>
      </c>
      <c r="G30" s="178" t="s">
        <v>78</v>
      </c>
      <c r="H30" s="205" t="s">
        <v>83</v>
      </c>
      <c r="I30" s="180" t="s">
        <v>11</v>
      </c>
      <c r="J30" s="181" t="s">
        <v>12</v>
      </c>
      <c r="K30" s="181" t="s">
        <v>13</v>
      </c>
      <c r="L30" s="182" t="s">
        <v>14</v>
      </c>
      <c r="M30" s="262" t="s">
        <v>84</v>
      </c>
      <c r="N30" s="263" t="s">
        <v>85</v>
      </c>
      <c r="P30" s="364"/>
    </row>
    <row r="31" spans="1:19" ht="15.65" customHeight="1" thickBot="1" x14ac:dyDescent="0.4">
      <c r="A31" s="156" t="s">
        <v>151</v>
      </c>
      <c r="B31" s="207">
        <v>20</v>
      </c>
      <c r="C31" s="208">
        <v>11947.55</v>
      </c>
      <c r="D31" s="208">
        <f>5*C31</f>
        <v>59737.75</v>
      </c>
      <c r="E31" s="208">
        <v>59737</v>
      </c>
      <c r="F31" s="208" t="s">
        <v>45</v>
      </c>
      <c r="G31" s="208">
        <v>8495</v>
      </c>
      <c r="H31" s="208">
        <f t="shared" ref="H31" si="8">E31+G31</f>
        <v>68232</v>
      </c>
      <c r="I31" s="209">
        <f>320*12</f>
        <v>3840</v>
      </c>
      <c r="J31" s="208">
        <f t="shared" ref="J31" si="9">I31*20</f>
        <v>76800</v>
      </c>
      <c r="K31" s="208">
        <f>10380+20420</f>
        <v>30800</v>
      </c>
      <c r="L31" s="208">
        <f>J31+K31</f>
        <v>107600</v>
      </c>
      <c r="M31" s="264">
        <v>1.34E-2</v>
      </c>
      <c r="N31" s="258">
        <v>3.2199999999999999E-2</v>
      </c>
      <c r="P31" s="365"/>
    </row>
    <row r="32" spans="1:19" x14ac:dyDescent="0.35">
      <c r="A32" s="164" t="s">
        <v>27</v>
      </c>
      <c r="B32" s="165">
        <v>20</v>
      </c>
      <c r="C32" s="250">
        <v>11936.69</v>
      </c>
      <c r="D32" s="250">
        <f>5*C32</f>
        <v>59683.450000000004</v>
      </c>
      <c r="E32" s="250">
        <v>59684</v>
      </c>
      <c r="F32" s="250" t="s">
        <v>45</v>
      </c>
      <c r="G32" s="250">
        <v>2644</v>
      </c>
      <c r="H32" s="250">
        <f>E32+G32</f>
        <v>62328</v>
      </c>
      <c r="I32" s="173">
        <f>270*12</f>
        <v>3240</v>
      </c>
      <c r="J32" s="173">
        <f>I32*20</f>
        <v>64800</v>
      </c>
      <c r="K32" s="173">
        <v>36249</v>
      </c>
      <c r="L32" s="173">
        <f t="shared" ref="L32" si="10">J32+K32</f>
        <v>101049</v>
      </c>
      <c r="M32" s="265">
        <v>4.3E-3</v>
      </c>
      <c r="N32" s="254">
        <v>2.87E-2</v>
      </c>
    </row>
    <row r="33" spans="1:19" x14ac:dyDescent="0.35">
      <c r="A33" s="164" t="s">
        <v>67</v>
      </c>
      <c r="B33" s="165">
        <v>20</v>
      </c>
      <c r="C33" s="250">
        <v>12097</v>
      </c>
      <c r="D33" s="250">
        <f>5*C33</f>
        <v>60485</v>
      </c>
      <c r="E33" s="266">
        <f>D33</f>
        <v>60485</v>
      </c>
      <c r="F33" s="250" t="s">
        <v>45</v>
      </c>
      <c r="G33" s="250">
        <v>4838</v>
      </c>
      <c r="H33" s="250">
        <f>E33+G33</f>
        <v>65323</v>
      </c>
      <c r="I33" s="173">
        <f>300.01*12</f>
        <v>3600.12</v>
      </c>
      <c r="J33" s="173">
        <f>I33*20</f>
        <v>72002.399999999994</v>
      </c>
      <c r="K33" s="173">
        <v>48453</v>
      </c>
      <c r="L33" s="173">
        <f>J33+K33</f>
        <v>120455.4</v>
      </c>
      <c r="M33" s="267">
        <v>9.2999999999999992E-3</v>
      </c>
      <c r="N33" s="268">
        <v>3.8199999999999998E-2</v>
      </c>
      <c r="R33" s="132"/>
      <c r="S33" s="132"/>
    </row>
    <row r="34" spans="1:19" x14ac:dyDescent="0.35">
      <c r="A34" s="164" t="s">
        <v>54</v>
      </c>
      <c r="B34" s="132">
        <v>20</v>
      </c>
      <c r="C34" s="250">
        <v>12000.05</v>
      </c>
      <c r="D34" s="250">
        <f t="shared" ref="D34:D35" si="11">5*C34</f>
        <v>60000.25</v>
      </c>
      <c r="E34" s="250">
        <v>59977</v>
      </c>
      <c r="F34" s="250" t="str">
        <f t="shared" ref="F34" si="12">IF(E34&gt;=D34,"Yes","No")</f>
        <v>No</v>
      </c>
      <c r="G34" s="250">
        <v>3119</v>
      </c>
      <c r="H34" s="250">
        <v>63095</v>
      </c>
      <c r="I34" s="173">
        <f>255.59*12</f>
        <v>3067.08</v>
      </c>
      <c r="J34" s="173">
        <f t="shared" ref="J34" si="13">I34*20</f>
        <v>61341.599999999999</v>
      </c>
      <c r="K34" s="173">
        <v>45146</v>
      </c>
      <c r="L34" s="173">
        <f t="shared" ref="L34" si="14">J34+K34</f>
        <v>106487.6</v>
      </c>
      <c r="M34" s="265">
        <v>1.1999999999999999E-3</v>
      </c>
      <c r="N34" s="254">
        <v>3.15E-2</v>
      </c>
    </row>
    <row r="35" spans="1:19" ht="15" thickBot="1" x14ac:dyDescent="0.4">
      <c r="A35" s="168" t="s">
        <v>64</v>
      </c>
      <c r="B35" s="259">
        <v>20</v>
      </c>
      <c r="C35" s="256">
        <v>16200</v>
      </c>
      <c r="D35" s="256">
        <f t="shared" si="11"/>
        <v>81000</v>
      </c>
      <c r="E35" s="256">
        <v>81607</v>
      </c>
      <c r="F35" s="269" t="str">
        <f>IF(E35&gt;=D35,"Yes","No")</f>
        <v>Yes</v>
      </c>
      <c r="G35" s="256">
        <v>6998</v>
      </c>
      <c r="H35" s="269">
        <f>E35+G35</f>
        <v>88605</v>
      </c>
      <c r="I35" s="217">
        <f>300*12</f>
        <v>3600</v>
      </c>
      <c r="J35" s="217">
        <v>90000</v>
      </c>
      <c r="K35" s="231">
        <f>L35-J35</f>
        <v>56880</v>
      </c>
      <c r="L35" s="217">
        <v>146880</v>
      </c>
      <c r="M35" s="270">
        <v>5.4000000000000003E-3</v>
      </c>
      <c r="N35" s="271">
        <v>3.1E-2</v>
      </c>
    </row>
    <row r="36" spans="1:19" x14ac:dyDescent="0.35">
      <c r="A36" s="135" t="s">
        <v>49</v>
      </c>
      <c r="C36" s="173"/>
      <c r="D36" s="173"/>
      <c r="E36" s="173"/>
      <c r="F36" s="173"/>
      <c r="G36" s="173"/>
      <c r="H36" s="173"/>
      <c r="I36" s="173"/>
    </row>
    <row r="37" spans="1:19" x14ac:dyDescent="0.35">
      <c r="A37" s="131" t="s">
        <v>142</v>
      </c>
      <c r="C37" s="173"/>
      <c r="D37" s="173"/>
      <c r="E37" s="173"/>
      <c r="F37" s="173"/>
      <c r="G37" s="173"/>
      <c r="H37" s="173"/>
      <c r="I37" s="173"/>
    </row>
    <row r="38" spans="1:19" x14ac:dyDescent="0.35">
      <c r="A38" s="131" t="s">
        <v>141</v>
      </c>
      <c r="C38" s="173"/>
      <c r="D38" s="173"/>
      <c r="E38" s="173"/>
      <c r="F38" s="173"/>
      <c r="G38" s="173"/>
      <c r="H38" s="173"/>
      <c r="I38" s="173"/>
    </row>
  </sheetData>
  <sheetProtection algorithmName="SHA-512" hashValue="/oecBzI5GIbnJ/CdGNPLiYCm2RpMXggLS15NVLhWZpKaiLqmjBzU9gLnom7jNk7fpJwQDxMq0O8MIam+wCZTCw==" saltValue="nfNplgrpU/0y7glST+75yg==" spinCount="100000" sheet="1" objects="1" scenarios="1" selectLockedCells="1" autoFilter="0" selectUnlockedCells="1"/>
  <mergeCells count="11">
    <mergeCell ref="A29:D29"/>
    <mergeCell ref="E29:H29"/>
    <mergeCell ref="I29:N29"/>
    <mergeCell ref="M27:N28"/>
    <mergeCell ref="P6:P31"/>
    <mergeCell ref="A4:D4"/>
    <mergeCell ref="E4:H4"/>
    <mergeCell ref="I4:N4"/>
    <mergeCell ref="A19:D19"/>
    <mergeCell ref="E19:H19"/>
    <mergeCell ref="I19:N19"/>
  </mergeCells>
  <conditionalFormatting sqref="M6:M11">
    <cfRule type="top10" dxfId="23" priority="17" rank="1"/>
    <cfRule type="top10" dxfId="22" priority="18" rank="2"/>
  </conditionalFormatting>
  <conditionalFormatting sqref="M21:M22">
    <cfRule type="top10" dxfId="21" priority="43" rank="1"/>
    <cfRule type="top10" dxfId="20" priority="44" rank="2"/>
  </conditionalFormatting>
  <conditionalFormatting sqref="M31:M35">
    <cfRule type="top10" dxfId="19" priority="1" rank="1"/>
    <cfRule type="top10" dxfId="18" priority="2" rank="2"/>
  </conditionalFormatting>
  <conditionalFormatting sqref="N6:N11">
    <cfRule type="top10" dxfId="17" priority="19" rank="1"/>
    <cfRule type="top10" dxfId="16" priority="20" rank="2"/>
  </conditionalFormatting>
  <conditionalFormatting sqref="N21:N22">
    <cfRule type="top10" dxfId="15" priority="45" rank="1"/>
    <cfRule type="top10" dxfId="14" priority="46" rank="2"/>
  </conditionalFormatting>
  <conditionalFormatting sqref="N31:N35">
    <cfRule type="top10" dxfId="13" priority="3" rank="1"/>
    <cfRule type="top10" dxfId="12" priority="4"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99E3-16D6-4611-B15C-B9D4011E3924}">
  <sheetPr>
    <pageSetUpPr fitToPage="1"/>
  </sheetPr>
  <dimension ref="A1:U38"/>
  <sheetViews>
    <sheetView showGridLines="0" zoomScale="70" zoomScaleNormal="70" workbookViewId="0">
      <pane xSplit="1" topLeftCell="B1" activePane="topRight" state="frozen"/>
      <selection pane="topRight" activeCell="F15" sqref="F15"/>
    </sheetView>
  </sheetViews>
  <sheetFormatPr defaultColWidth="9.1796875" defaultRowHeight="14.5" x14ac:dyDescent="0.35"/>
  <cols>
    <col min="1" max="1" width="35.1796875" style="131" customWidth="1"/>
    <col min="2" max="2" width="12.1796875" style="131" bestFit="1" customWidth="1"/>
    <col min="3" max="3" width="11.54296875" style="131" bestFit="1" customWidth="1"/>
    <col min="4" max="4" width="12.54296875" style="131" bestFit="1" customWidth="1"/>
    <col min="5" max="5" width="17.54296875" style="131" hidden="1" customWidth="1"/>
    <col min="6" max="6" width="43" style="131" customWidth="1"/>
    <col min="7" max="7" width="18.81640625" style="131" hidden="1" customWidth="1"/>
    <col min="8" max="8" width="13.453125" style="131" hidden="1" customWidth="1"/>
    <col min="9" max="9" width="15" style="131" hidden="1" customWidth="1"/>
    <col min="10" max="10" width="14.54296875" style="131" bestFit="1" customWidth="1"/>
    <col min="11" max="11" width="13.81640625" style="131" customWidth="1"/>
    <col min="12" max="12" width="13.1796875" style="131" customWidth="1"/>
    <col min="13" max="14" width="16.81640625" style="131" customWidth="1"/>
    <col min="15" max="15" width="4.81640625" style="131" customWidth="1"/>
    <col min="16" max="16" width="47.36328125" style="131" customWidth="1"/>
    <col min="17" max="17" width="11.54296875" style="131" customWidth="1"/>
    <col min="18" max="18" width="11.81640625" style="131" hidden="1" customWidth="1"/>
    <col min="19" max="19" width="13.1796875" style="131" hidden="1" customWidth="1"/>
    <col min="20" max="20" width="11.453125" style="131" customWidth="1"/>
    <col min="21" max="21" width="12.453125" style="131" customWidth="1"/>
    <col min="22" max="22" width="11.453125" style="131" customWidth="1"/>
    <col min="23" max="23" width="10" style="131" bestFit="1" customWidth="1"/>
    <col min="24" max="24" width="20.54296875" style="131" customWidth="1"/>
    <col min="25" max="16384" width="9.1796875" style="131"/>
  </cols>
  <sheetData>
    <row r="1" spans="1:21" ht="15.65" customHeight="1" x14ac:dyDescent="0.35">
      <c r="D1" s="186"/>
      <c r="E1" s="186"/>
      <c r="F1" s="186"/>
      <c r="K1" s="186"/>
    </row>
    <row r="2" spans="1:21" ht="21" customHeight="1" x14ac:dyDescent="0.35">
      <c r="A2" s="135" t="s">
        <v>263</v>
      </c>
      <c r="B2" s="135"/>
      <c r="J2" s="138" t="s">
        <v>17</v>
      </c>
      <c r="K2" s="139" t="s">
        <v>18</v>
      </c>
      <c r="M2" s="188"/>
      <c r="N2" s="188"/>
      <c r="O2" s="135"/>
      <c r="P2" s="237"/>
      <c r="Q2" s="237"/>
      <c r="T2" s="237"/>
    </row>
    <row r="3" spans="1:21" ht="15" customHeight="1" thickBot="1" x14ac:dyDescent="0.4">
      <c r="A3" s="135" t="s">
        <v>269</v>
      </c>
      <c r="B3" s="135"/>
      <c r="J3" s="135"/>
      <c r="K3" s="135"/>
      <c r="M3" s="188"/>
      <c r="N3" s="188"/>
      <c r="O3" s="135"/>
      <c r="P3" s="237"/>
      <c r="Q3" s="237"/>
      <c r="T3" s="237"/>
      <c r="U3" s="237"/>
    </row>
    <row r="4" spans="1:21" ht="15" thickBot="1" x14ac:dyDescent="0.4">
      <c r="A4" s="377"/>
      <c r="B4" s="378"/>
      <c r="C4" s="378"/>
      <c r="D4" s="378"/>
      <c r="E4" s="350" t="s">
        <v>80</v>
      </c>
      <c r="F4" s="351"/>
      <c r="G4" s="351"/>
      <c r="H4" s="352"/>
      <c r="I4" s="353" t="s">
        <v>81</v>
      </c>
      <c r="J4" s="354"/>
      <c r="K4" s="354"/>
      <c r="L4" s="354"/>
      <c r="M4" s="354"/>
      <c r="N4" s="355"/>
      <c r="P4" s="237"/>
      <c r="Q4" s="237"/>
      <c r="T4" s="237"/>
      <c r="U4" s="237"/>
    </row>
    <row r="5" spans="1:21" ht="62.25" customHeight="1" thickBot="1" x14ac:dyDescent="0.4">
      <c r="A5" s="144" t="s">
        <v>7</v>
      </c>
      <c r="B5" s="175" t="s">
        <v>10</v>
      </c>
      <c r="C5" s="203" t="s">
        <v>8</v>
      </c>
      <c r="D5" s="204" t="s">
        <v>9</v>
      </c>
      <c r="E5" s="177" t="s">
        <v>77</v>
      </c>
      <c r="F5" s="178" t="s">
        <v>82</v>
      </c>
      <c r="G5" s="178" t="s">
        <v>78</v>
      </c>
      <c r="H5" s="205" t="s">
        <v>83</v>
      </c>
      <c r="I5" s="180" t="s">
        <v>11</v>
      </c>
      <c r="J5" s="181" t="s">
        <v>12</v>
      </c>
      <c r="K5" s="181" t="s">
        <v>13</v>
      </c>
      <c r="L5" s="182" t="s">
        <v>14</v>
      </c>
      <c r="M5" s="180" t="s">
        <v>84</v>
      </c>
      <c r="N5" s="182" t="s">
        <v>85</v>
      </c>
      <c r="P5" s="290" t="s">
        <v>15</v>
      </c>
      <c r="Q5" s="237"/>
      <c r="R5" s="132" t="s">
        <v>297</v>
      </c>
      <c r="S5" s="132" t="s">
        <v>298</v>
      </c>
      <c r="T5" s="237"/>
      <c r="U5" s="237"/>
    </row>
    <row r="6" spans="1:21" ht="15" customHeight="1" x14ac:dyDescent="0.35">
      <c r="A6" s="156" t="s">
        <v>151</v>
      </c>
      <c r="B6" s="207">
        <v>20</v>
      </c>
      <c r="C6" s="208">
        <v>23895.05</v>
      </c>
      <c r="D6" s="208">
        <f>5*C6</f>
        <v>119475.25</v>
      </c>
      <c r="E6" s="173">
        <v>119475</v>
      </c>
      <c r="F6" s="173" t="s">
        <v>45</v>
      </c>
      <c r="G6" s="173">
        <v>16990</v>
      </c>
      <c r="H6" s="173">
        <f>E6+G6</f>
        <v>136465</v>
      </c>
      <c r="I6" s="208">
        <f>640*12</f>
        <v>7680</v>
      </c>
      <c r="J6" s="208">
        <f>I6*20</f>
        <v>153600</v>
      </c>
      <c r="K6" s="208">
        <f>20780+40840</f>
        <v>61620</v>
      </c>
      <c r="L6" s="208">
        <f>J6+K6</f>
        <v>215220</v>
      </c>
      <c r="M6" s="251">
        <v>1.34E-2</v>
      </c>
      <c r="N6" s="252">
        <v>3.2199999999999999E-2</v>
      </c>
      <c r="P6" s="363" t="s">
        <v>134</v>
      </c>
      <c r="Q6" s="237"/>
      <c r="R6" s="132" t="str" cm="1">
        <f t="array" ref="R6">INDEX(A6:A11,MATCH(MAX(M6:M11),M6:M11,0),0)</f>
        <v>Singlife Flexi Retirement (II)</v>
      </c>
      <c r="S6" s="132" t="str" cm="1">
        <f t="array" ref="S6">INDEX(A6:A11,MATCH(MAX(N6:N11),N6:N11,0),0)</f>
        <v>China Taiping i-Retire (II)</v>
      </c>
      <c r="T6" s="237"/>
      <c r="U6" s="237"/>
    </row>
    <row r="7" spans="1:21" ht="15" customHeight="1" x14ac:dyDescent="0.35">
      <c r="A7" s="164" t="s">
        <v>64</v>
      </c>
      <c r="B7" s="165">
        <v>20</v>
      </c>
      <c r="C7" s="173">
        <v>23940</v>
      </c>
      <c r="D7" s="173">
        <f t="shared" ref="D7:D11" si="0">5*C7</f>
        <v>119700</v>
      </c>
      <c r="E7" s="173">
        <v>120597</v>
      </c>
      <c r="F7" s="212" t="str">
        <f>IF(E7&gt;=D7,"Yes","No")</f>
        <v>Yes</v>
      </c>
      <c r="G7" s="173">
        <v>10342</v>
      </c>
      <c r="H7" s="212">
        <f>E7+G7</f>
        <v>130939</v>
      </c>
      <c r="I7" s="173">
        <f>450*12</f>
        <v>5400</v>
      </c>
      <c r="J7" s="173">
        <v>135000</v>
      </c>
      <c r="K7" s="212">
        <f>L7-J7</f>
        <v>85176</v>
      </c>
      <c r="L7" s="173">
        <v>220176</v>
      </c>
      <c r="M7" s="254">
        <v>6.1000000000000004E-3</v>
      </c>
      <c r="N7" s="255">
        <v>3.1800000000000002E-2</v>
      </c>
      <c r="P7" s="364"/>
      <c r="Q7" s="237"/>
      <c r="R7" s="132" t="str" cm="1">
        <f t="array" ref="R7">INDEX(A21:A22,MATCH(MAX(M21:M22),M21:M22,0),0)</f>
        <v>Singlife Flexi Retirement (II)</v>
      </c>
      <c r="S7" s="132" t="str" cm="1">
        <f t="array" ref="S7">INDEX(A21:A22,MATCH(MAX(N21:N22),N21:N22,0),0)</f>
        <v>Singlife Flexi Retirement (II)</v>
      </c>
      <c r="T7" s="237"/>
      <c r="U7" s="237"/>
    </row>
    <row r="8" spans="1:21" ht="15" customHeight="1" x14ac:dyDescent="0.35">
      <c r="A8" s="164" t="s">
        <v>67</v>
      </c>
      <c r="B8" s="165">
        <v>20</v>
      </c>
      <c r="C8" s="173">
        <v>24000</v>
      </c>
      <c r="D8" s="173">
        <f t="shared" si="0"/>
        <v>120000</v>
      </c>
      <c r="E8" s="173">
        <f>D8</f>
        <v>120000</v>
      </c>
      <c r="F8" s="212" t="str">
        <f t="shared" ref="F8:F11" si="1">IF(E8&gt;=D8,"Yes","No")</f>
        <v>Yes</v>
      </c>
      <c r="G8" s="173">
        <v>9600</v>
      </c>
      <c r="H8" s="173">
        <f>SUM(E8,G8)</f>
        <v>129600</v>
      </c>
      <c r="I8" s="173">
        <f>607.44*12</f>
        <v>7289.2800000000007</v>
      </c>
      <c r="J8" s="212">
        <v>145785</v>
      </c>
      <c r="K8" s="173">
        <v>93196</v>
      </c>
      <c r="L8" s="173">
        <f t="shared" ref="L8:L11" si="2">J8+K8</f>
        <v>238981</v>
      </c>
      <c r="M8" s="268">
        <v>1.04E-2</v>
      </c>
      <c r="N8" s="272">
        <v>3.8199999999999998E-2</v>
      </c>
      <c r="P8" s="364"/>
      <c r="Q8" s="237"/>
      <c r="R8" s="132" t="str" cm="1">
        <f t="array" ref="R8">INDEX(A31:A35,MATCH(MAX(M31:M35),M31:M35,0),0)</f>
        <v>Singlife Flexi Retirement (II)</v>
      </c>
      <c r="S8" s="132" t="str" cm="1">
        <f t="array" ref="S8">INDEX(A31:A35,MATCH(MAX(N31:N35),N31:N35,0),0)</f>
        <v>China Taiping i-Retire (II)</v>
      </c>
      <c r="T8" s="237"/>
      <c r="U8" s="237"/>
    </row>
    <row r="9" spans="1:21" x14ac:dyDescent="0.35">
      <c r="A9" s="164" t="s">
        <v>26</v>
      </c>
      <c r="B9" s="165">
        <v>20</v>
      </c>
      <c r="C9" s="173">
        <v>23039.4</v>
      </c>
      <c r="D9" s="173">
        <f t="shared" si="0"/>
        <v>115197</v>
      </c>
      <c r="E9" s="173">
        <v>115198</v>
      </c>
      <c r="F9" s="212" t="str">
        <f t="shared" si="1"/>
        <v>Yes</v>
      </c>
      <c r="G9" s="173">
        <v>13285</v>
      </c>
      <c r="H9" s="173">
        <f>E9+G9</f>
        <v>128483</v>
      </c>
      <c r="I9" s="173">
        <v>6600</v>
      </c>
      <c r="J9" s="173">
        <f t="shared" ref="J9:J11" si="3">I9*20</f>
        <v>132000</v>
      </c>
      <c r="K9" s="173">
        <f>L9-J9</f>
        <v>81152</v>
      </c>
      <c r="L9" s="173">
        <v>213152</v>
      </c>
      <c r="M9" s="254">
        <v>7.4000000000000003E-3</v>
      </c>
      <c r="N9" s="255">
        <v>3.1300000000000001E-2</v>
      </c>
      <c r="P9" s="364"/>
      <c r="Q9" s="237"/>
      <c r="R9" s="132"/>
      <c r="S9" s="132"/>
      <c r="T9" s="237"/>
      <c r="U9" s="237"/>
    </row>
    <row r="10" spans="1:21" ht="14.15" customHeight="1" x14ac:dyDescent="0.35">
      <c r="A10" s="164" t="s">
        <v>27</v>
      </c>
      <c r="B10" s="132">
        <v>20</v>
      </c>
      <c r="C10" s="173">
        <v>23871.25</v>
      </c>
      <c r="D10" s="173">
        <f t="shared" si="0"/>
        <v>119356.25</v>
      </c>
      <c r="E10" s="173">
        <f>D10</f>
        <v>119356.25</v>
      </c>
      <c r="F10" s="212" t="str">
        <f t="shared" si="1"/>
        <v>Yes</v>
      </c>
      <c r="G10" s="173">
        <v>5521</v>
      </c>
      <c r="H10" s="173">
        <f>E10+G10</f>
        <v>124877.25</v>
      </c>
      <c r="I10" s="173">
        <f>540*12</f>
        <v>6480</v>
      </c>
      <c r="J10" s="173">
        <f t="shared" si="3"/>
        <v>129600</v>
      </c>
      <c r="K10" s="173">
        <v>75048</v>
      </c>
      <c r="L10" s="173">
        <f t="shared" si="2"/>
        <v>204648</v>
      </c>
      <c r="M10" s="254">
        <v>4.3E-3</v>
      </c>
      <c r="N10" s="255">
        <v>2.9399999999999999E-2</v>
      </c>
      <c r="P10" s="364"/>
      <c r="Q10" s="237"/>
      <c r="R10" s="132"/>
      <c r="S10" s="132"/>
      <c r="T10" s="237"/>
      <c r="U10" s="237"/>
    </row>
    <row r="11" spans="1:21" ht="13.4" customHeight="1" thickBot="1" x14ac:dyDescent="0.4">
      <c r="A11" s="168" t="s">
        <v>54</v>
      </c>
      <c r="B11" s="169">
        <v>20</v>
      </c>
      <c r="C11" s="217">
        <v>24000.1</v>
      </c>
      <c r="D11" s="217">
        <f t="shared" si="0"/>
        <v>120000.5</v>
      </c>
      <c r="E11" s="217">
        <v>119953</v>
      </c>
      <c r="F11" s="212" t="str">
        <f t="shared" si="1"/>
        <v>No</v>
      </c>
      <c r="G11" s="217">
        <v>6238</v>
      </c>
      <c r="H11" s="217">
        <f t="shared" ref="H11" si="4">E11+G11</f>
        <v>126191</v>
      </c>
      <c r="I11" s="217">
        <f>511.18*12</f>
        <v>6134.16</v>
      </c>
      <c r="J11" s="217">
        <f t="shared" si="3"/>
        <v>122683.2</v>
      </c>
      <c r="K11" s="217">
        <v>90295</v>
      </c>
      <c r="L11" s="217">
        <f t="shared" si="2"/>
        <v>212978.2</v>
      </c>
      <c r="M11" s="273">
        <v>1.1999999999999999E-3</v>
      </c>
      <c r="N11" s="257">
        <v>3.15E-2</v>
      </c>
      <c r="O11" s="189"/>
      <c r="P11" s="364"/>
      <c r="Q11" s="237"/>
      <c r="T11" s="237"/>
      <c r="U11" s="237"/>
    </row>
    <row r="12" spans="1:21" x14ac:dyDescent="0.35">
      <c r="A12" s="135" t="s">
        <v>49</v>
      </c>
      <c r="B12" s="239"/>
      <c r="C12" s="239"/>
      <c r="D12" s="239"/>
      <c r="E12" s="239"/>
      <c r="F12" s="239"/>
      <c r="G12" s="239"/>
      <c r="H12" s="239"/>
      <c r="I12" s="189"/>
      <c r="J12" s="189"/>
      <c r="K12" s="189"/>
      <c r="L12" s="189"/>
      <c r="M12" s="274"/>
      <c r="N12" s="274"/>
      <c r="P12" s="364"/>
      <c r="Q12" s="237"/>
      <c r="T12" s="237"/>
      <c r="U12" s="237"/>
    </row>
    <row r="13" spans="1:21" x14ac:dyDescent="0.35">
      <c r="A13" s="131" t="s">
        <v>95</v>
      </c>
      <c r="B13" s="189"/>
      <c r="C13" s="189"/>
      <c r="D13" s="189"/>
      <c r="E13" s="189"/>
      <c r="F13" s="189"/>
      <c r="G13" s="189"/>
      <c r="H13" s="189"/>
      <c r="I13" s="189"/>
      <c r="J13" s="189"/>
      <c r="K13" s="189"/>
      <c r="L13" s="189"/>
      <c r="M13" s="189"/>
      <c r="N13" s="189"/>
      <c r="P13" s="364"/>
      <c r="Q13" s="237"/>
      <c r="T13" s="237"/>
      <c r="U13" s="237"/>
    </row>
    <row r="14" spans="1:21" x14ac:dyDescent="0.35">
      <c r="A14" s="131" t="s">
        <v>96</v>
      </c>
      <c r="B14" s="189"/>
      <c r="C14" s="189"/>
      <c r="D14" s="189"/>
      <c r="E14" s="189"/>
      <c r="F14" s="189"/>
      <c r="G14" s="189"/>
      <c r="H14" s="189"/>
      <c r="I14" s="189"/>
      <c r="J14" s="189"/>
      <c r="K14" s="189"/>
      <c r="L14" s="189"/>
      <c r="M14" s="189"/>
      <c r="N14" s="189"/>
      <c r="P14" s="364"/>
      <c r="Q14" s="237"/>
      <c r="T14" s="237"/>
      <c r="U14" s="237"/>
    </row>
    <row r="15" spans="1:21" x14ac:dyDescent="0.35">
      <c r="A15" s="131" t="s">
        <v>130</v>
      </c>
      <c r="B15" s="189"/>
      <c r="C15" s="189"/>
      <c r="D15" s="189"/>
      <c r="E15" s="189"/>
      <c r="F15" s="189"/>
      <c r="G15" s="189"/>
      <c r="H15" s="189"/>
      <c r="I15" s="189"/>
      <c r="J15" s="189"/>
      <c r="K15" s="189"/>
      <c r="L15" s="189"/>
      <c r="M15" s="189"/>
      <c r="N15" s="189"/>
      <c r="P15" s="364"/>
      <c r="Q15" s="237"/>
      <c r="T15" s="237"/>
      <c r="U15" s="237"/>
    </row>
    <row r="16" spans="1:21" x14ac:dyDescent="0.35">
      <c r="B16" s="189"/>
      <c r="C16" s="189"/>
      <c r="D16" s="189"/>
      <c r="E16" s="189"/>
      <c r="F16" s="189"/>
      <c r="G16" s="189"/>
      <c r="H16" s="189"/>
      <c r="I16" s="189"/>
      <c r="J16" s="189"/>
      <c r="K16" s="189"/>
      <c r="L16" s="189"/>
      <c r="M16" s="189"/>
      <c r="N16" s="189"/>
      <c r="P16" s="364"/>
      <c r="Q16" s="237"/>
      <c r="T16" s="237"/>
      <c r="U16" s="237"/>
    </row>
    <row r="17" spans="1:21" ht="18" customHeight="1" x14ac:dyDescent="0.35">
      <c r="A17" s="135" t="s">
        <v>265</v>
      </c>
      <c r="B17" s="135"/>
      <c r="J17" s="138" t="s">
        <v>17</v>
      </c>
      <c r="K17" s="139" t="s">
        <v>18</v>
      </c>
      <c r="M17" s="188"/>
      <c r="N17" s="188"/>
      <c r="O17" s="155"/>
      <c r="P17" s="364"/>
      <c r="Q17" s="237"/>
      <c r="T17" s="237"/>
      <c r="U17" s="237"/>
    </row>
    <row r="18" spans="1:21" ht="17.899999999999999" customHeight="1" thickBot="1" x14ac:dyDescent="0.4">
      <c r="A18" s="135" t="s">
        <v>270</v>
      </c>
      <c r="B18" s="135"/>
      <c r="J18" s="135"/>
      <c r="K18" s="135"/>
      <c r="M18" s="188"/>
      <c r="N18" s="188"/>
      <c r="O18" s="155"/>
      <c r="P18" s="364"/>
      <c r="Q18" s="237"/>
      <c r="T18" s="237"/>
      <c r="U18" s="237"/>
    </row>
    <row r="19" spans="1:21" ht="15" thickBot="1" x14ac:dyDescent="0.4">
      <c r="A19" s="377"/>
      <c r="B19" s="378"/>
      <c r="C19" s="378"/>
      <c r="D19" s="383"/>
      <c r="E19" s="350" t="s">
        <v>80</v>
      </c>
      <c r="F19" s="351"/>
      <c r="G19" s="351"/>
      <c r="H19" s="352"/>
      <c r="I19" s="353" t="s">
        <v>81</v>
      </c>
      <c r="J19" s="354"/>
      <c r="K19" s="354"/>
      <c r="L19" s="354"/>
      <c r="M19" s="354"/>
      <c r="N19" s="355"/>
      <c r="O19" s="135"/>
      <c r="P19" s="364"/>
      <c r="Q19" s="237"/>
      <c r="T19" s="237"/>
      <c r="U19" s="237"/>
    </row>
    <row r="20" spans="1:21" ht="44" thickBot="1" x14ac:dyDescent="0.4">
      <c r="A20" s="144" t="s">
        <v>7</v>
      </c>
      <c r="B20" s="175" t="s">
        <v>10</v>
      </c>
      <c r="C20" s="203" t="s">
        <v>8</v>
      </c>
      <c r="D20" s="204" t="s">
        <v>9</v>
      </c>
      <c r="E20" s="177" t="s">
        <v>77</v>
      </c>
      <c r="F20" s="178" t="s">
        <v>82</v>
      </c>
      <c r="G20" s="178" t="s">
        <v>78</v>
      </c>
      <c r="H20" s="205" t="s">
        <v>83</v>
      </c>
      <c r="I20" s="180" t="s">
        <v>11</v>
      </c>
      <c r="J20" s="181" t="s">
        <v>12</v>
      </c>
      <c r="K20" s="181" t="s">
        <v>13</v>
      </c>
      <c r="L20" s="182" t="s">
        <v>14</v>
      </c>
      <c r="M20" s="180" t="s">
        <v>84</v>
      </c>
      <c r="N20" s="182" t="s">
        <v>85</v>
      </c>
      <c r="P20" s="364"/>
      <c r="Q20" s="237"/>
      <c r="R20" s="132"/>
      <c r="S20" s="132"/>
      <c r="T20" s="237"/>
      <c r="U20" s="237"/>
    </row>
    <row r="21" spans="1:21" ht="15" customHeight="1" x14ac:dyDescent="0.35">
      <c r="A21" s="156" t="s">
        <v>151</v>
      </c>
      <c r="B21" s="207">
        <v>20</v>
      </c>
      <c r="C21" s="208">
        <v>23858.7</v>
      </c>
      <c r="D21" s="208">
        <f>10*C21</f>
        <v>238587</v>
      </c>
      <c r="E21" s="208">
        <v>238587</v>
      </c>
      <c r="F21" s="208" t="s">
        <v>45</v>
      </c>
      <c r="G21" s="208">
        <v>24239</v>
      </c>
      <c r="H21" s="208">
        <f t="shared" ref="H21" si="5">E21+G21</f>
        <v>262826</v>
      </c>
      <c r="I21" s="209">
        <f>1230*12</f>
        <v>14760</v>
      </c>
      <c r="J21" s="208">
        <f t="shared" ref="J21" si="6">I21*20</f>
        <v>295200</v>
      </c>
      <c r="K21" s="208">
        <f>29640+55780</f>
        <v>85420</v>
      </c>
      <c r="L21" s="208">
        <f>J21+K21</f>
        <v>380620</v>
      </c>
      <c r="M21" s="258">
        <v>1.3100000000000001E-2</v>
      </c>
      <c r="N21" s="252">
        <v>2.93E-2</v>
      </c>
      <c r="P21" s="364"/>
      <c r="Q21" s="237"/>
      <c r="T21" s="237"/>
      <c r="U21" s="237"/>
    </row>
    <row r="22" spans="1:21" ht="15" customHeight="1" thickBot="1" x14ac:dyDescent="0.4">
      <c r="A22" s="168" t="s">
        <v>27</v>
      </c>
      <c r="B22" s="259">
        <v>20</v>
      </c>
      <c r="C22" s="275">
        <v>23924.13</v>
      </c>
      <c r="D22" s="217">
        <f>10*C22</f>
        <v>239241.30000000002</v>
      </c>
      <c r="E22" s="217">
        <f>D22</f>
        <v>239241.30000000002</v>
      </c>
      <c r="F22" s="217" t="s">
        <v>45</v>
      </c>
      <c r="G22" s="275">
        <v>10913</v>
      </c>
      <c r="H22" s="217">
        <f>E22+G22</f>
        <v>250154.30000000002</v>
      </c>
      <c r="I22" s="275">
        <f>1070*12</f>
        <v>12840</v>
      </c>
      <c r="J22" s="217">
        <f>I22*20</f>
        <v>256800</v>
      </c>
      <c r="K22" s="275">
        <v>112927</v>
      </c>
      <c r="L22" s="217">
        <f t="shared" ref="L22" si="7">J22+K22</f>
        <v>369727</v>
      </c>
      <c r="M22" s="260">
        <v>4.3E-3</v>
      </c>
      <c r="N22" s="261">
        <v>2.7199999999999998E-2</v>
      </c>
      <c r="P22" s="364"/>
      <c r="Q22" s="237"/>
      <c r="T22" s="237"/>
      <c r="U22" s="237"/>
    </row>
    <row r="23" spans="1:21" ht="15" customHeight="1" x14ac:dyDescent="0.35">
      <c r="A23" s="135" t="s">
        <v>49</v>
      </c>
      <c r="C23" s="173"/>
      <c r="D23" s="173"/>
      <c r="E23" s="173"/>
      <c r="F23" s="173"/>
      <c r="G23" s="173"/>
      <c r="H23" s="173"/>
      <c r="I23" s="173"/>
      <c r="J23" s="173"/>
      <c r="K23" s="173"/>
      <c r="L23" s="173"/>
      <c r="M23" s="174"/>
      <c r="N23" s="174"/>
      <c r="P23" s="364"/>
      <c r="Q23" s="237"/>
      <c r="T23" s="237"/>
      <c r="U23" s="237"/>
    </row>
    <row r="24" spans="1:21" x14ac:dyDescent="0.35">
      <c r="A24" s="131" t="s">
        <v>95</v>
      </c>
      <c r="C24" s="173"/>
      <c r="D24" s="173"/>
      <c r="E24" s="173"/>
      <c r="F24" s="173"/>
      <c r="G24" s="173"/>
      <c r="H24" s="173"/>
      <c r="I24" s="173"/>
      <c r="J24" s="173"/>
      <c r="K24" s="173"/>
      <c r="L24" s="173"/>
      <c r="M24" s="174"/>
      <c r="N24" s="174"/>
      <c r="O24" s="135"/>
      <c r="P24" s="364"/>
      <c r="Q24" s="237"/>
      <c r="T24" s="237"/>
      <c r="U24" s="237"/>
    </row>
    <row r="25" spans="1:21" x14ac:dyDescent="0.35">
      <c r="A25" s="131" t="s">
        <v>140</v>
      </c>
      <c r="C25" s="173"/>
      <c r="D25" s="173"/>
      <c r="E25" s="173"/>
      <c r="F25" s="173"/>
      <c r="G25" s="173"/>
      <c r="H25" s="173"/>
      <c r="I25" s="173"/>
      <c r="J25" s="173"/>
      <c r="K25" s="173"/>
      <c r="L25" s="173"/>
      <c r="M25" s="174"/>
      <c r="N25" s="174"/>
      <c r="O25" s="135"/>
      <c r="P25" s="364"/>
      <c r="Q25" s="237"/>
      <c r="T25" s="237"/>
      <c r="U25" s="237"/>
    </row>
    <row r="26" spans="1:21" x14ac:dyDescent="0.35">
      <c r="C26" s="173"/>
      <c r="D26" s="173"/>
      <c r="E26" s="173"/>
      <c r="F26" s="173"/>
      <c r="G26" s="173"/>
      <c r="H26" s="173"/>
      <c r="I26" s="173"/>
      <c r="J26" s="173"/>
      <c r="K26" s="173"/>
      <c r="L26" s="173"/>
      <c r="M26" s="174"/>
      <c r="N26" s="174"/>
      <c r="O26" s="135"/>
      <c r="P26" s="364"/>
      <c r="Q26" s="237"/>
      <c r="T26" s="237"/>
      <c r="U26" s="237"/>
    </row>
    <row r="27" spans="1:21" ht="15.65" customHeight="1" x14ac:dyDescent="0.35">
      <c r="A27" s="135" t="s">
        <v>267</v>
      </c>
      <c r="B27" s="135"/>
      <c r="J27" s="138" t="s">
        <v>17</v>
      </c>
      <c r="K27" s="139" t="s">
        <v>18</v>
      </c>
      <c r="M27" s="356" t="s">
        <v>145</v>
      </c>
      <c r="N27" s="356"/>
      <c r="P27" s="364"/>
      <c r="Q27" s="237"/>
      <c r="T27" s="237"/>
      <c r="U27" s="237"/>
    </row>
    <row r="28" spans="1:21" ht="15.65" customHeight="1" thickBot="1" x14ac:dyDescent="0.4">
      <c r="A28" s="135" t="s">
        <v>271</v>
      </c>
      <c r="B28" s="135"/>
      <c r="J28" s="135"/>
      <c r="K28" s="135"/>
      <c r="M28" s="357"/>
      <c r="N28" s="357"/>
      <c r="P28" s="364"/>
      <c r="Q28" s="237"/>
      <c r="T28" s="237"/>
      <c r="U28" s="237"/>
    </row>
    <row r="29" spans="1:21" ht="15.65" customHeight="1" thickBot="1" x14ac:dyDescent="0.4">
      <c r="A29" s="377"/>
      <c r="B29" s="378"/>
      <c r="C29" s="378"/>
      <c r="D29" s="383"/>
      <c r="E29" s="350" t="s">
        <v>80</v>
      </c>
      <c r="F29" s="351"/>
      <c r="G29" s="351"/>
      <c r="H29" s="352"/>
      <c r="I29" s="353" t="s">
        <v>81</v>
      </c>
      <c r="J29" s="354"/>
      <c r="K29" s="354"/>
      <c r="L29" s="354"/>
      <c r="M29" s="354"/>
      <c r="N29" s="355"/>
      <c r="P29" s="364"/>
      <c r="Q29" s="237"/>
      <c r="T29" s="237"/>
      <c r="U29" s="237"/>
    </row>
    <row r="30" spans="1:21" ht="44" thickBot="1" x14ac:dyDescent="0.4">
      <c r="A30" s="144" t="s">
        <v>7</v>
      </c>
      <c r="B30" s="175" t="s">
        <v>10</v>
      </c>
      <c r="C30" s="203" t="s">
        <v>8</v>
      </c>
      <c r="D30" s="204" t="s">
        <v>9</v>
      </c>
      <c r="E30" s="177" t="s">
        <v>77</v>
      </c>
      <c r="F30" s="178" t="s">
        <v>82</v>
      </c>
      <c r="G30" s="178" t="s">
        <v>78</v>
      </c>
      <c r="H30" s="205" t="s">
        <v>83</v>
      </c>
      <c r="I30" s="180" t="s">
        <v>11</v>
      </c>
      <c r="J30" s="181" t="s">
        <v>12</v>
      </c>
      <c r="K30" s="181" t="s">
        <v>13</v>
      </c>
      <c r="L30" s="182" t="s">
        <v>14</v>
      </c>
      <c r="M30" s="180" t="s">
        <v>84</v>
      </c>
      <c r="N30" s="182" t="s">
        <v>85</v>
      </c>
      <c r="P30" s="364"/>
      <c r="Q30" s="237"/>
      <c r="T30" s="237"/>
      <c r="U30" s="237"/>
    </row>
    <row r="31" spans="1:21" x14ac:dyDescent="0.35">
      <c r="A31" s="156" t="s">
        <v>151</v>
      </c>
      <c r="B31" s="207">
        <v>20</v>
      </c>
      <c r="C31" s="208">
        <v>23895.05</v>
      </c>
      <c r="D31" s="208">
        <f>5*C31</f>
        <v>119475.25</v>
      </c>
      <c r="E31" s="208">
        <f>D31</f>
        <v>119475.25</v>
      </c>
      <c r="F31" s="208" t="s">
        <v>45</v>
      </c>
      <c r="G31" s="208">
        <v>16990</v>
      </c>
      <c r="H31" s="208">
        <f t="shared" ref="H31" si="8">E31+G31</f>
        <v>136465.25</v>
      </c>
      <c r="I31" s="209">
        <f>640*12</f>
        <v>7680</v>
      </c>
      <c r="J31" s="208">
        <f t="shared" ref="J31" si="9">I31*20</f>
        <v>153600</v>
      </c>
      <c r="K31" s="208">
        <f>20780+40840</f>
        <v>61620</v>
      </c>
      <c r="L31" s="208">
        <f>J31+K31</f>
        <v>215220</v>
      </c>
      <c r="M31" s="276">
        <v>1.34E-2</v>
      </c>
      <c r="N31" s="258">
        <v>3.2199999999999999E-2</v>
      </c>
      <c r="P31" s="364"/>
      <c r="Q31" s="237"/>
      <c r="T31" s="237"/>
      <c r="U31" s="237"/>
    </row>
    <row r="32" spans="1:21" x14ac:dyDescent="0.35">
      <c r="A32" s="164" t="s">
        <v>27</v>
      </c>
      <c r="B32" s="165">
        <v>20</v>
      </c>
      <c r="C32" s="173">
        <v>23873.4</v>
      </c>
      <c r="D32" s="173">
        <f>5*C32</f>
        <v>119367</v>
      </c>
      <c r="E32" s="173">
        <f>D32</f>
        <v>119367</v>
      </c>
      <c r="F32" s="173" t="s">
        <v>45</v>
      </c>
      <c r="G32" s="173">
        <v>5288</v>
      </c>
      <c r="H32" s="173">
        <f>E32+G32</f>
        <v>124655</v>
      </c>
      <c r="I32" s="173">
        <f>540*12</f>
        <v>6480</v>
      </c>
      <c r="J32" s="173">
        <f>I32*20</f>
        <v>129600</v>
      </c>
      <c r="K32" s="173">
        <v>72499</v>
      </c>
      <c r="L32" s="173">
        <f t="shared" ref="L32" si="10">J32+K32</f>
        <v>202099</v>
      </c>
      <c r="M32" s="277">
        <v>4.3E-3</v>
      </c>
      <c r="N32" s="254">
        <v>2.87E-2</v>
      </c>
      <c r="P32" s="364"/>
      <c r="Q32" s="237"/>
      <c r="T32" s="237"/>
      <c r="U32" s="237"/>
    </row>
    <row r="33" spans="1:21" x14ac:dyDescent="0.35">
      <c r="A33" s="164" t="s">
        <v>67</v>
      </c>
      <c r="B33" s="165">
        <v>20</v>
      </c>
      <c r="C33" s="173">
        <v>24000</v>
      </c>
      <c r="D33" s="173">
        <f>5*C33</f>
        <v>120000</v>
      </c>
      <c r="E33" s="201">
        <f>D33</f>
        <v>120000</v>
      </c>
      <c r="F33" s="173" t="s">
        <v>45</v>
      </c>
      <c r="G33" s="173">
        <v>9600</v>
      </c>
      <c r="H33" s="173">
        <f>E33+G33</f>
        <v>129600</v>
      </c>
      <c r="I33" s="173">
        <f>595.2*12</f>
        <v>7142.4000000000005</v>
      </c>
      <c r="J33" s="173">
        <f>I33*20</f>
        <v>142848</v>
      </c>
      <c r="K33" s="173">
        <v>96134</v>
      </c>
      <c r="L33" s="173">
        <f>J33+K33</f>
        <v>238982</v>
      </c>
      <c r="M33" s="278">
        <v>9.2999999999999992E-3</v>
      </c>
      <c r="N33" s="268">
        <v>3.8199999999999998E-2</v>
      </c>
      <c r="P33" s="364"/>
      <c r="Q33" s="237"/>
      <c r="R33" s="132"/>
      <c r="S33" s="132"/>
      <c r="T33" s="237"/>
      <c r="U33" s="237"/>
    </row>
    <row r="34" spans="1:21" x14ac:dyDescent="0.35">
      <c r="A34" s="164" t="s">
        <v>54</v>
      </c>
      <c r="B34" s="132">
        <v>20</v>
      </c>
      <c r="C34" s="173">
        <v>24000.1</v>
      </c>
      <c r="D34" s="173">
        <f t="shared" ref="D34:D35" si="11">5*C34</f>
        <v>120000.5</v>
      </c>
      <c r="E34" s="173">
        <v>119953</v>
      </c>
      <c r="F34" s="212" t="str">
        <f t="shared" ref="F34" si="12">IF(E34&gt;=D34,"Yes","No")</f>
        <v>No</v>
      </c>
      <c r="G34" s="173">
        <v>6238</v>
      </c>
      <c r="H34" s="173">
        <f t="shared" ref="H34" si="13">E34+G34</f>
        <v>126191</v>
      </c>
      <c r="I34" s="173">
        <f>511.18*12</f>
        <v>6134.16</v>
      </c>
      <c r="J34" s="173">
        <f t="shared" ref="J34" si="14">I34*20</f>
        <v>122683.2</v>
      </c>
      <c r="K34" s="173">
        <v>90295</v>
      </c>
      <c r="L34" s="173">
        <f t="shared" ref="L34" si="15">J34+K34</f>
        <v>212978.2</v>
      </c>
      <c r="M34" s="277">
        <v>1.1999999999999999E-3</v>
      </c>
      <c r="N34" s="254">
        <v>3.15E-2</v>
      </c>
      <c r="P34" s="364"/>
    </row>
    <row r="35" spans="1:21" ht="15" thickBot="1" x14ac:dyDescent="0.4">
      <c r="A35" s="168" t="s">
        <v>64</v>
      </c>
      <c r="B35" s="259">
        <v>20</v>
      </c>
      <c r="C35" s="217">
        <v>23760</v>
      </c>
      <c r="D35" s="217">
        <f t="shared" si="11"/>
        <v>118800</v>
      </c>
      <c r="E35" s="217">
        <v>119691</v>
      </c>
      <c r="F35" s="231" t="str">
        <f>IF(E35&gt;=D35,"Yes","No")</f>
        <v>Yes</v>
      </c>
      <c r="G35" s="217">
        <v>10264</v>
      </c>
      <c r="H35" s="231">
        <f>E35+G35</f>
        <v>129955</v>
      </c>
      <c r="I35" s="217">
        <f>440*12</f>
        <v>5280</v>
      </c>
      <c r="J35" s="217">
        <v>132000</v>
      </c>
      <c r="K35" s="231">
        <f>L35-J35</f>
        <v>83424</v>
      </c>
      <c r="L35" s="217">
        <v>215424</v>
      </c>
      <c r="M35" s="279">
        <v>5.4000000000000003E-3</v>
      </c>
      <c r="N35" s="271">
        <v>3.1E-2</v>
      </c>
      <c r="P35" s="365"/>
    </row>
    <row r="36" spans="1:21" x14ac:dyDescent="0.35">
      <c r="A36" s="135" t="s">
        <v>49</v>
      </c>
      <c r="C36" s="173"/>
      <c r="D36" s="173"/>
      <c r="E36" s="173"/>
      <c r="F36" s="173"/>
      <c r="G36" s="173"/>
      <c r="H36" s="173"/>
      <c r="I36" s="173"/>
    </row>
    <row r="37" spans="1:21" x14ac:dyDescent="0.35">
      <c r="A37" s="131" t="s">
        <v>142</v>
      </c>
      <c r="C37" s="173"/>
      <c r="D37" s="173"/>
      <c r="E37" s="173"/>
      <c r="F37" s="173"/>
      <c r="G37" s="173"/>
      <c r="H37" s="173"/>
      <c r="I37" s="173"/>
    </row>
    <row r="38" spans="1:21" x14ac:dyDescent="0.35">
      <c r="A38" s="131" t="s">
        <v>141</v>
      </c>
      <c r="C38" s="173"/>
      <c r="D38" s="173"/>
      <c r="E38" s="173"/>
      <c r="F38" s="173"/>
      <c r="G38" s="173"/>
      <c r="H38" s="173"/>
      <c r="I38" s="173"/>
    </row>
  </sheetData>
  <sheetProtection algorithmName="SHA-512" hashValue="TSY9fqGC3j6cGtfRf8cPMxU8FkZTwwWJ60wG8ijVPE+FOBE/0x8anXYgg6l50Ai9x/KKiRlb4XSbvAxLfOgZqQ==" saltValue="FB2tI0EPzajFEXXkQNPvRA==" spinCount="100000" sheet="1" objects="1" scenarios="1" selectLockedCells="1" autoFilter="0" selectUnlockedCells="1"/>
  <mergeCells count="11">
    <mergeCell ref="A29:D29"/>
    <mergeCell ref="E29:H29"/>
    <mergeCell ref="I29:N29"/>
    <mergeCell ref="M27:N28"/>
    <mergeCell ref="P6:P35"/>
    <mergeCell ref="A4:D4"/>
    <mergeCell ref="E4:H4"/>
    <mergeCell ref="I4:N4"/>
    <mergeCell ref="A19:D19"/>
    <mergeCell ref="E19:H19"/>
    <mergeCell ref="I19:N19"/>
  </mergeCells>
  <conditionalFormatting sqref="M6:M11">
    <cfRule type="top10" dxfId="11" priority="17" rank="1"/>
    <cfRule type="top10" dxfId="10" priority="18" rank="2"/>
  </conditionalFormatting>
  <conditionalFormatting sqref="M21:M22">
    <cfRule type="top10" dxfId="9" priority="47" rank="1"/>
    <cfRule type="top10" dxfId="8" priority="48" rank="2"/>
  </conditionalFormatting>
  <conditionalFormatting sqref="M31:M35">
    <cfRule type="top10" dxfId="7" priority="1" rank="1"/>
    <cfRule type="top10" dxfId="6" priority="2" rank="2"/>
  </conditionalFormatting>
  <conditionalFormatting sqref="N6:N11">
    <cfRule type="top10" dxfId="5" priority="19" rank="1"/>
    <cfRule type="top10" dxfId="4" priority="20" rank="2"/>
  </conditionalFormatting>
  <conditionalFormatting sqref="N21:N22">
    <cfRule type="top10" dxfId="3" priority="49" rank="1"/>
    <cfRule type="top10" dxfId="2" priority="50" rank="2"/>
  </conditionalFormatting>
  <conditionalFormatting sqref="N31:N35">
    <cfRule type="top10" dxfId="1" priority="3" rank="1"/>
    <cfRule type="top10" dxfId="0" priority="4" rank="2"/>
  </conditionalFormatting>
  <printOptions horizontalCentered="1" verticalCentered="1"/>
  <pageMargins left="0" right="0" top="0" bottom="0" header="0" footer="0"/>
  <pageSetup paperSize="9" scale="46" orientation="landscape" r:id="rId1"/>
  <headerFooter>
    <oddFooter>&amp;L_x000D_&amp;1#&amp;"Calibri"&amp;8&amp;K0000FF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Cover Page</vt:lpstr>
      <vt:lpstr>Overview &amp; Important Notes</vt:lpstr>
      <vt:lpstr>Value Comparison (Summary)</vt:lpstr>
      <vt:lpstr>Non-Provider Plans</vt:lpstr>
      <vt:lpstr>Product Features</vt:lpstr>
      <vt:lpstr>Endowment Retirement (SP 100k)</vt:lpstr>
      <vt:lpstr>Endowment Retirement (SP) </vt:lpstr>
      <vt:lpstr>Endowment Retirement (SP 200k)</vt:lpstr>
      <vt:lpstr>Age 20 - 29  ($12k premiums)</vt:lpstr>
      <vt:lpstr>Age 20 - 29  ($24k premiums)</vt:lpstr>
      <vt:lpstr>Age 20 - 29 </vt:lpstr>
      <vt:lpstr>Age 30 - 39 ($12k premiums)</vt:lpstr>
      <vt:lpstr>Age 30 - 39 ($24k premiums)</vt:lpstr>
      <vt:lpstr>Age 30 - 39</vt:lpstr>
      <vt:lpstr>Age 40 - 49 ($12k premiums)</vt:lpstr>
      <vt:lpstr>Age 40 - 49 ($24k premiums)</vt:lpstr>
      <vt:lpstr>Age 40 - 49</vt:lpstr>
      <vt:lpstr>Age 50 - 59 ($12k premiums)</vt:lpstr>
      <vt:lpstr>Age 50 - 59 ($24k premiums)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Cristtin TEOW Pei Ying</dc:creator>
  <cp:lastModifiedBy>Cristtin Teow</cp:lastModifiedBy>
  <cp:lastPrinted>2021-08-20T04:30:58Z</cp:lastPrinted>
  <dcterms:created xsi:type="dcterms:W3CDTF">2017-10-05T03:04:04Z</dcterms:created>
  <dcterms:modified xsi:type="dcterms:W3CDTF">2025-03-07T08:34:01Z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736c2c-fcb1-4cac-97f3-89b84deb3f53_Enabled">
    <vt:lpwstr>true</vt:lpwstr>
  </property>
  <property fmtid="{D5CDD505-2E9C-101B-9397-08002B2CF9AE}" pid="3" name="MSIP_Label_b4736c2c-fcb1-4cac-97f3-89b84deb3f53_SetDate">
    <vt:lpwstr>2022-02-21T06:05:15Z</vt:lpwstr>
  </property>
  <property fmtid="{D5CDD505-2E9C-101B-9397-08002B2CF9AE}" pid="4" name="MSIP_Label_b4736c2c-fcb1-4cac-97f3-89b84deb3f53_Method">
    <vt:lpwstr>Privileged</vt:lpwstr>
  </property>
  <property fmtid="{D5CDD505-2E9C-101B-9397-08002B2CF9AE}" pid="5" name="MSIP_Label_b4736c2c-fcb1-4cac-97f3-89b84deb3f53_Name">
    <vt:lpwstr>Aviva Singlife Internal</vt:lpwstr>
  </property>
  <property fmtid="{D5CDD505-2E9C-101B-9397-08002B2CF9AE}" pid="6" name="MSIP_Label_b4736c2c-fcb1-4cac-97f3-89b84deb3f53_SiteId">
    <vt:lpwstr>ff2a83c7-ec1d-4cc7-8bbe-6c529a23f41a</vt:lpwstr>
  </property>
  <property fmtid="{D5CDD505-2E9C-101B-9397-08002B2CF9AE}" pid="7" name="MSIP_Label_b4736c2c-fcb1-4cac-97f3-89b84deb3f53_ActionId">
    <vt:lpwstr>b71858c4-5bdc-49f0-8b19-cdf55e38da1e</vt:lpwstr>
  </property>
  <property fmtid="{D5CDD505-2E9C-101B-9397-08002B2CF9AE}" pid="8" name="MSIP_Label_b4736c2c-fcb1-4cac-97f3-89b84deb3f53_ContentBits">
    <vt:lpwstr>2</vt:lpwstr>
  </property>
</Properties>
</file>