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https://singaporelife-my.sharepoint.com/personal/cristtin_teow_singlife_com/Documents/Desktop/PIAS Product Comparisons/PIAS Updated Product Comparisons (as of 21 April 2025)/"/>
    </mc:Choice>
  </mc:AlternateContent>
  <xr:revisionPtr revIDLastSave="0" documentId="14_{FE251200-99A7-4694-A5F6-8F20358B3B95}" xr6:coauthVersionLast="47" xr6:coauthVersionMax="47" xr10:uidLastSave="{00000000-0000-0000-0000-000000000000}"/>
  <bookViews>
    <workbookView xWindow="-110" yWindow="-110" windowWidth="19420" windowHeight="10300" firstSheet="1" activeTab="2" xr2:uid="{00000000-000D-0000-FFFF-FFFF00000000}"/>
  </bookViews>
  <sheets>
    <sheet name="Cover Page" sheetId="2" r:id="rId1"/>
    <sheet name="Disclaimers" sheetId="3" r:id="rId2"/>
    <sheet name="What we like" sheetId="17" r:id="rId3"/>
    <sheet name="Product Features" sheetId="5" r:id="rId4"/>
    <sheet name="Premium Discount Details" sheetId="23" r:id="rId5"/>
    <sheet name="SA 250K,500K" sheetId="6" r:id="rId6"/>
    <sheet name="SA500k" sheetId="16" r:id="rId7"/>
    <sheet name="SA500k (limited pay)" sheetId="20" r:id="rId8"/>
    <sheet name="SA800k" sheetId="8" r:id="rId9"/>
    <sheet name="SA1M" sheetId="9" r:id="rId10"/>
    <sheet name="SA1.5M" sheetId="10" state="hidden" r:id="rId11"/>
    <sheet name="SA1M (limited pay)" sheetId="22" r:id="rId12"/>
    <sheet name="SA2M" sheetId="11" r:id="rId13"/>
    <sheet name="SA5M " sheetId="12" r:id="rId14"/>
    <sheet name="SA10M" sheetId="13" r:id="rId15"/>
    <sheet name="Limited Pay - MNS SA1M" sheetId="14" state="hidden" r:id="rId16"/>
    <sheet name="Limited Pay - FNS SA1M" sheetId="15" state="hidden" r:id="rId17"/>
  </sheets>
  <externalReferences>
    <externalReference r:id="rId18"/>
  </externalReferences>
  <definedNames>
    <definedName name="db_375_60_1015">'[1]D.B. Ratio (MNS)'!$A$41:$I$46</definedName>
    <definedName name="db_375_60_2025">'[1]D.B. Ratio (MNS)'!$A$95:$K$100</definedName>
    <definedName name="db_525_60_1015">'[1]D.B. Ratio (MNS)'!$A$52:$I$57</definedName>
    <definedName name="db_525_60_2025">'[1]D.B. Ratio (MNS)'!$A$106:$K$111</definedName>
    <definedName name="db_gteed_60_1015">'[1]D.B. Ratio (MNS)'!$A$31:$I$36</definedName>
    <definedName name="db_gteed_60_2025">'[1]D.B. Ratio (MNS)'!$A$84:$K$89</definedName>
    <definedName name="dbinception_table_1015">'[1]D.B. Ratio (MNS)'!$A$20:$I$25</definedName>
    <definedName name="dbinception_table_2025">'[1]D.B. Ratio (MNS)'!$A$73:$K$78</definedName>
    <definedName name="fem_525_60_1015">'[1]D.B. Ratio (FNS)'!$A$53:$I$58</definedName>
    <definedName name="fem_db_375_60_1015">'[1]D.B. Ratio (FNS)'!$A$42:$I$47</definedName>
    <definedName name="fem_db_375_60_2025">'[1]D.B. Ratio (FNS)'!$A$97:$K$102</definedName>
    <definedName name="fem_db_525_60_2025">'[1]D.B. Ratio (FNS)'!$A$108:$K$113</definedName>
    <definedName name="fem_db_gteed_60_2025">'[1]D.B. Ratio (FNS)'!$A$86:$K$91</definedName>
    <definedName name="fem_dbgteed_60_1015">'[1]D.B. Ratio (FNS)'!$A$31:$I$36</definedName>
    <definedName name="Fem_dbinception_table_1015">'[1]D.B. Ratio (FNS)'!$A$20:$I$25</definedName>
    <definedName name="fem_dbinception_table_2025">'[1]D.B. Ratio (FNS)'!$A$75:$K$80</definedName>
    <definedName name="_xlnm.Print_Area" localSheetId="0">'Cover Page'!$A$1:$I$55</definedName>
    <definedName name="_xlnm.Print_Area" localSheetId="1">Disclaimers!$A$1:$E$9</definedName>
    <definedName name="_xlnm.Print_Area" localSheetId="10">'SA1.5M'!$A$1:$K$143</definedName>
    <definedName name="_xlnm.Print_Area" localSheetId="14">SA10M!$A$1:$N$141</definedName>
    <definedName name="_xlnm.Print_Area" localSheetId="11">'SA1M (limited pay)'!$A$1:$K$122</definedName>
    <definedName name="_xlnm.Print_Area" localSheetId="12">SA2M!$A$1:$N$141</definedName>
    <definedName name="_xlnm.Print_Area" localSheetId="7">'SA500k (limited pay)'!$A$1:$K$122</definedName>
    <definedName name="_xlnm.Print_Area" localSheetId="13">'SA5M '!$A$1:$N$141</definedName>
    <definedName name="_xlnm.Print_Area" localSheetId="8">SA800k!$A$1:$N$141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1" l="1"/>
  <c r="G101" i="13"/>
  <c r="G107" i="13"/>
  <c r="G95" i="13"/>
  <c r="G89" i="13"/>
  <c r="G83" i="13"/>
  <c r="G36" i="13"/>
  <c r="G30" i="13"/>
  <c r="G24" i="13"/>
  <c r="G18" i="13"/>
  <c r="G12" i="13"/>
  <c r="G107" i="12"/>
  <c r="G101" i="12"/>
  <c r="G95" i="12"/>
  <c r="G89" i="12"/>
  <c r="G83" i="12"/>
  <c r="G36" i="12"/>
  <c r="G30" i="12"/>
  <c r="G24" i="12"/>
  <c r="G18" i="12"/>
  <c r="G12" i="12"/>
  <c r="G107" i="11"/>
  <c r="G101" i="11"/>
  <c r="G95" i="11"/>
  <c r="G89" i="11"/>
  <c r="G83" i="11"/>
  <c r="G36" i="11"/>
  <c r="G30" i="11"/>
  <c r="G24" i="11"/>
  <c r="G12" i="11"/>
  <c r="E94" i="22"/>
  <c r="E92" i="22"/>
  <c r="E89" i="22"/>
  <c r="E87" i="22"/>
  <c r="E84" i="22"/>
  <c r="E82" i="22"/>
  <c r="E79" i="22"/>
  <c r="E77" i="22"/>
  <c r="E74" i="22"/>
  <c r="E72" i="22"/>
  <c r="E33" i="22"/>
  <c r="E31" i="22"/>
  <c r="E28" i="22"/>
  <c r="E26" i="22"/>
  <c r="E23" i="22"/>
  <c r="E21" i="22"/>
  <c r="E18" i="22"/>
  <c r="E16" i="22"/>
  <c r="E13" i="22"/>
  <c r="E11" i="22"/>
  <c r="G107" i="9"/>
  <c r="G101" i="9"/>
  <c r="G95" i="9"/>
  <c r="G89" i="9"/>
  <c r="G83" i="9"/>
  <c r="G36" i="9"/>
  <c r="G30" i="9"/>
  <c r="G24" i="9"/>
  <c r="G18" i="9"/>
  <c r="G12" i="9"/>
  <c r="E94" i="20"/>
  <c r="E92" i="20"/>
  <c r="E89" i="20"/>
  <c r="E87" i="20"/>
  <c r="E84" i="20"/>
  <c r="E82" i="20"/>
  <c r="E79" i="20"/>
  <c r="E77" i="20"/>
  <c r="E74" i="20"/>
  <c r="E72" i="20"/>
  <c r="E33" i="20"/>
  <c r="E31" i="20"/>
  <c r="E28" i="20"/>
  <c r="E26" i="20"/>
  <c r="E23" i="20"/>
  <c r="E21" i="20"/>
  <c r="E18" i="20"/>
  <c r="E16" i="20"/>
  <c r="E13" i="20"/>
  <c r="E11" i="20"/>
  <c r="G42" i="16"/>
  <c r="F42" i="16"/>
  <c r="G14" i="16"/>
  <c r="F14" i="16"/>
  <c r="G107" i="8"/>
  <c r="F107" i="8"/>
  <c r="G101" i="8"/>
  <c r="F101" i="8"/>
  <c r="G95" i="8"/>
  <c r="F95" i="8"/>
  <c r="G89" i="8"/>
  <c r="F89" i="8"/>
  <c r="G83" i="8"/>
  <c r="F83" i="8"/>
  <c r="G36" i="8"/>
  <c r="F36" i="8"/>
  <c r="G30" i="8"/>
  <c r="F30" i="8"/>
  <c r="G24" i="8"/>
  <c r="F24" i="8"/>
  <c r="G18" i="8" l="1"/>
  <c r="F18" i="8"/>
  <c r="G12" i="8"/>
  <c r="F12" i="8"/>
  <c r="C10" i="22" l="1"/>
  <c r="D140" i="13"/>
  <c r="D139" i="13"/>
  <c r="D138" i="13"/>
  <c r="D137" i="13"/>
  <c r="D136" i="13"/>
  <c r="D134" i="13"/>
  <c r="D133" i="13"/>
  <c r="D132" i="13"/>
  <c r="D131" i="13"/>
  <c r="D130" i="13"/>
  <c r="D128" i="13"/>
  <c r="D127" i="13"/>
  <c r="D126" i="13"/>
  <c r="D125" i="13"/>
  <c r="D124" i="13"/>
  <c r="D122" i="13"/>
  <c r="D121" i="13"/>
  <c r="D120" i="13"/>
  <c r="D119" i="13"/>
  <c r="D118" i="13"/>
  <c r="D116" i="13"/>
  <c r="D115" i="13"/>
  <c r="D114" i="13"/>
  <c r="D113" i="13"/>
  <c r="D112" i="13"/>
  <c r="D107" i="13"/>
  <c r="D106" i="13"/>
  <c r="D105" i="13"/>
  <c r="D104" i="13"/>
  <c r="D103" i="13"/>
  <c r="D101" i="13"/>
  <c r="D100" i="13"/>
  <c r="D99" i="13"/>
  <c r="D98" i="13"/>
  <c r="D97" i="13"/>
  <c r="D95" i="13"/>
  <c r="D94" i="13"/>
  <c r="D93" i="13"/>
  <c r="D92" i="13"/>
  <c r="D91" i="13"/>
  <c r="D89" i="13"/>
  <c r="D88" i="13"/>
  <c r="D87" i="13"/>
  <c r="D86" i="13"/>
  <c r="D85" i="13"/>
  <c r="D83" i="13"/>
  <c r="D82" i="13"/>
  <c r="D81" i="13"/>
  <c r="D80" i="13"/>
  <c r="D79" i="13"/>
  <c r="D69" i="13"/>
  <c r="D68" i="13"/>
  <c r="D67" i="13"/>
  <c r="D66" i="13"/>
  <c r="D65" i="13"/>
  <c r="D63" i="13"/>
  <c r="D62" i="13"/>
  <c r="D61" i="13"/>
  <c r="D60" i="13"/>
  <c r="D59" i="13"/>
  <c r="D57" i="13"/>
  <c r="D56" i="13"/>
  <c r="D55" i="13"/>
  <c r="D54" i="13"/>
  <c r="D53" i="13"/>
  <c r="D51" i="13"/>
  <c r="D50" i="13"/>
  <c r="D49" i="13"/>
  <c r="D48" i="13"/>
  <c r="D47" i="13"/>
  <c r="D45" i="13"/>
  <c r="D44" i="13"/>
  <c r="D43" i="13"/>
  <c r="D42" i="13"/>
  <c r="D41" i="13"/>
  <c r="D36" i="13"/>
  <c r="D35" i="13"/>
  <c r="D34" i="13"/>
  <c r="D33" i="13"/>
  <c r="D32" i="13"/>
  <c r="D30" i="13"/>
  <c r="D29" i="13"/>
  <c r="D28" i="13"/>
  <c r="D27" i="13"/>
  <c r="D26" i="13"/>
  <c r="D24" i="13"/>
  <c r="D23" i="13"/>
  <c r="D22" i="13"/>
  <c r="D21" i="13"/>
  <c r="D20" i="13"/>
  <c r="D18" i="13"/>
  <c r="D17" i="13"/>
  <c r="D16" i="13"/>
  <c r="D15" i="13"/>
  <c r="D14" i="13"/>
  <c r="D12" i="13"/>
  <c r="D11" i="13"/>
  <c r="D10" i="13"/>
  <c r="D9" i="13"/>
  <c r="D8" i="13"/>
  <c r="D140" i="12"/>
  <c r="D139" i="12"/>
  <c r="D138" i="12"/>
  <c r="D137" i="12"/>
  <c r="D136" i="12"/>
  <c r="D134" i="12"/>
  <c r="D133" i="12"/>
  <c r="D132" i="12"/>
  <c r="D131" i="12"/>
  <c r="D130" i="12"/>
  <c r="D128" i="12"/>
  <c r="D127" i="12"/>
  <c r="D126" i="12"/>
  <c r="D125" i="12"/>
  <c r="D124" i="12"/>
  <c r="D122" i="12"/>
  <c r="D121" i="12"/>
  <c r="D120" i="12"/>
  <c r="D119" i="12"/>
  <c r="D118" i="12"/>
  <c r="D116" i="12"/>
  <c r="D115" i="12"/>
  <c r="D114" i="12"/>
  <c r="D113" i="12"/>
  <c r="D107" i="12"/>
  <c r="D106" i="12"/>
  <c r="D105" i="12"/>
  <c r="D104" i="12"/>
  <c r="D103" i="12"/>
  <c r="D101" i="12"/>
  <c r="D100" i="12"/>
  <c r="D99" i="12"/>
  <c r="D98" i="12"/>
  <c r="D97" i="12"/>
  <c r="D95" i="12"/>
  <c r="D94" i="12"/>
  <c r="D93" i="12"/>
  <c r="D92" i="12"/>
  <c r="D91" i="12"/>
  <c r="D89" i="12"/>
  <c r="D88" i="12"/>
  <c r="D87" i="12"/>
  <c r="D86" i="12"/>
  <c r="D85" i="12"/>
  <c r="D83" i="12"/>
  <c r="D82" i="12"/>
  <c r="D81" i="12"/>
  <c r="D80" i="12"/>
  <c r="D79" i="12"/>
  <c r="D69" i="12"/>
  <c r="D68" i="12"/>
  <c r="D67" i="12"/>
  <c r="D66" i="12"/>
  <c r="D65" i="12"/>
  <c r="D63" i="12"/>
  <c r="D62" i="12"/>
  <c r="D61" i="12"/>
  <c r="D60" i="12"/>
  <c r="D59" i="12"/>
  <c r="D57" i="12"/>
  <c r="D56" i="12"/>
  <c r="D55" i="12"/>
  <c r="D54" i="12"/>
  <c r="D53" i="12"/>
  <c r="D51" i="12"/>
  <c r="D50" i="12"/>
  <c r="D49" i="12"/>
  <c r="D48" i="12"/>
  <c r="D47" i="12"/>
  <c r="D45" i="12"/>
  <c r="D44" i="12"/>
  <c r="D43" i="12"/>
  <c r="D42" i="12"/>
  <c r="D41" i="12"/>
  <c r="D36" i="12"/>
  <c r="D35" i="12"/>
  <c r="D34" i="12"/>
  <c r="D33" i="12"/>
  <c r="D32" i="12"/>
  <c r="D30" i="12"/>
  <c r="D29" i="12"/>
  <c r="D28" i="12"/>
  <c r="D27" i="12"/>
  <c r="D26" i="12"/>
  <c r="D24" i="12"/>
  <c r="D23" i="12"/>
  <c r="D22" i="12"/>
  <c r="D21" i="12"/>
  <c r="D20" i="12"/>
  <c r="D18" i="12"/>
  <c r="D17" i="12"/>
  <c r="D16" i="12"/>
  <c r="D15" i="12"/>
  <c r="D14" i="12"/>
  <c r="D12" i="12"/>
  <c r="D11" i="12"/>
  <c r="D10" i="12"/>
  <c r="D9" i="12"/>
  <c r="D8" i="12"/>
  <c r="D140" i="11"/>
  <c r="D139" i="11"/>
  <c r="D138" i="11"/>
  <c r="D137" i="11"/>
  <c r="D136" i="11"/>
  <c r="D134" i="11"/>
  <c r="D133" i="11"/>
  <c r="D132" i="11"/>
  <c r="D131" i="11"/>
  <c r="D130" i="11"/>
  <c r="D128" i="11"/>
  <c r="D127" i="11"/>
  <c r="D126" i="11"/>
  <c r="D125" i="11"/>
  <c r="D124" i="11"/>
  <c r="D122" i="11"/>
  <c r="D121" i="11"/>
  <c r="D120" i="11"/>
  <c r="D119" i="11"/>
  <c r="D118" i="11"/>
  <c r="D116" i="11"/>
  <c r="D115" i="11"/>
  <c r="D114" i="11"/>
  <c r="D113" i="11"/>
  <c r="D112" i="11"/>
  <c r="D107" i="11"/>
  <c r="D106" i="11"/>
  <c r="D105" i="11"/>
  <c r="D104" i="11"/>
  <c r="D103" i="11"/>
  <c r="D101" i="11"/>
  <c r="D100" i="11"/>
  <c r="D99" i="11"/>
  <c r="D98" i="11"/>
  <c r="D97" i="11"/>
  <c r="D95" i="11"/>
  <c r="D94" i="11"/>
  <c r="D93" i="11"/>
  <c r="D92" i="11"/>
  <c r="D91" i="11"/>
  <c r="D89" i="11"/>
  <c r="D88" i="11"/>
  <c r="D87" i="11"/>
  <c r="D86" i="11"/>
  <c r="D85" i="11"/>
  <c r="D83" i="11"/>
  <c r="D82" i="11"/>
  <c r="D81" i="11"/>
  <c r="D80" i="11"/>
  <c r="D79" i="11"/>
  <c r="D69" i="11"/>
  <c r="D68" i="11"/>
  <c r="D67" i="11"/>
  <c r="D66" i="11"/>
  <c r="D65" i="11"/>
  <c r="D63" i="11"/>
  <c r="D62" i="11"/>
  <c r="D61" i="11"/>
  <c r="D60" i="11"/>
  <c r="D59" i="11"/>
  <c r="D57" i="11"/>
  <c r="D56" i="11"/>
  <c r="D55" i="11"/>
  <c r="D54" i="11"/>
  <c r="D53" i="11"/>
  <c r="D51" i="11"/>
  <c r="D50" i="11"/>
  <c r="D49" i="11"/>
  <c r="D48" i="11"/>
  <c r="D47" i="11"/>
  <c r="D45" i="11"/>
  <c r="D44" i="11"/>
  <c r="D43" i="11"/>
  <c r="D42" i="11"/>
  <c r="D41" i="11"/>
  <c r="D36" i="11"/>
  <c r="D35" i="11"/>
  <c r="D34" i="11"/>
  <c r="D33" i="11"/>
  <c r="D32" i="11"/>
  <c r="D30" i="11"/>
  <c r="D29" i="11"/>
  <c r="D28" i="11"/>
  <c r="D27" i="11"/>
  <c r="D26" i="11"/>
  <c r="D24" i="11"/>
  <c r="D23" i="11"/>
  <c r="D22" i="11"/>
  <c r="D21" i="11"/>
  <c r="D20" i="11"/>
  <c r="D18" i="11"/>
  <c r="D17" i="11"/>
  <c r="D16" i="11"/>
  <c r="D15" i="11"/>
  <c r="D14" i="11"/>
  <c r="D12" i="11"/>
  <c r="D11" i="11"/>
  <c r="D10" i="11"/>
  <c r="D9" i="11"/>
  <c r="D8" i="11"/>
  <c r="C121" i="22"/>
  <c r="C120" i="22"/>
  <c r="C119" i="22"/>
  <c r="C118" i="22"/>
  <c r="C116" i="22"/>
  <c r="C115" i="22"/>
  <c r="C114" i="22"/>
  <c r="C113" i="22"/>
  <c r="C111" i="22"/>
  <c r="C110" i="22"/>
  <c r="C109" i="22"/>
  <c r="C108" i="22"/>
  <c r="C106" i="22"/>
  <c r="C105" i="22"/>
  <c r="C104" i="22"/>
  <c r="C103" i="22"/>
  <c r="C101" i="22"/>
  <c r="C100" i="22"/>
  <c r="C99" i="22"/>
  <c r="C98" i="22"/>
  <c r="C93" i="22"/>
  <c r="C92" i="22"/>
  <c r="C91" i="22"/>
  <c r="C90" i="22"/>
  <c r="C88" i="22"/>
  <c r="C87" i="22"/>
  <c r="C86" i="22"/>
  <c r="C85" i="22"/>
  <c r="C83" i="22"/>
  <c r="C82" i="22"/>
  <c r="C81" i="22"/>
  <c r="C80" i="22"/>
  <c r="C78" i="22"/>
  <c r="C76" i="22"/>
  <c r="C77" i="22"/>
  <c r="C75" i="22"/>
  <c r="C73" i="22"/>
  <c r="C72" i="22"/>
  <c r="C71" i="22"/>
  <c r="C70" i="22"/>
  <c r="C9" i="22"/>
  <c r="C37" i="22" s="1"/>
  <c r="C60" i="22"/>
  <c r="C59" i="22"/>
  <c r="C58" i="22"/>
  <c r="C57" i="22"/>
  <c r="C55" i="22"/>
  <c r="C54" i="22"/>
  <c r="C53" i="22"/>
  <c r="C52" i="22"/>
  <c r="C50" i="22"/>
  <c r="C49" i="22"/>
  <c r="C48" i="22"/>
  <c r="C47" i="22"/>
  <c r="C45" i="22"/>
  <c r="C44" i="22"/>
  <c r="C43" i="22"/>
  <c r="C42" i="22"/>
  <c r="C40" i="22"/>
  <c r="C39" i="22"/>
  <c r="C38" i="22"/>
  <c r="C32" i="22"/>
  <c r="C31" i="22"/>
  <c r="C30" i="22"/>
  <c r="C29" i="22"/>
  <c r="C27" i="22"/>
  <c r="C26" i="22"/>
  <c r="C25" i="22"/>
  <c r="C24" i="22"/>
  <c r="C22" i="22"/>
  <c r="C21" i="22"/>
  <c r="C20" i="22"/>
  <c r="C19" i="22"/>
  <c r="C17" i="22"/>
  <c r="C16" i="22"/>
  <c r="C15" i="22"/>
  <c r="C14" i="22"/>
  <c r="C12" i="22"/>
  <c r="C11" i="22"/>
  <c r="D140" i="9"/>
  <c r="D139" i="9"/>
  <c r="D138" i="9"/>
  <c r="D137" i="9"/>
  <c r="D136" i="9"/>
  <c r="D134" i="9"/>
  <c r="D133" i="9"/>
  <c r="D132" i="9"/>
  <c r="D131" i="9"/>
  <c r="D130" i="9"/>
  <c r="D128" i="9"/>
  <c r="D127" i="9"/>
  <c r="D126" i="9"/>
  <c r="D125" i="9"/>
  <c r="D124" i="9"/>
  <c r="D122" i="9"/>
  <c r="D121" i="9"/>
  <c r="D120" i="9"/>
  <c r="D119" i="9"/>
  <c r="D118" i="9"/>
  <c r="D116" i="9"/>
  <c r="D115" i="9"/>
  <c r="D114" i="9"/>
  <c r="D113" i="9"/>
  <c r="D112" i="9"/>
  <c r="D107" i="9"/>
  <c r="D106" i="9"/>
  <c r="D105" i="9"/>
  <c r="D104" i="9"/>
  <c r="D103" i="9"/>
  <c r="D101" i="9"/>
  <c r="D100" i="9"/>
  <c r="D99" i="9"/>
  <c r="D98" i="9"/>
  <c r="D97" i="9"/>
  <c r="D95" i="9"/>
  <c r="D94" i="9"/>
  <c r="D93" i="9"/>
  <c r="D92" i="9"/>
  <c r="D91" i="9"/>
  <c r="D89" i="9"/>
  <c r="D88" i="9"/>
  <c r="D87" i="9"/>
  <c r="D86" i="9"/>
  <c r="D85" i="9"/>
  <c r="D83" i="9"/>
  <c r="D82" i="9"/>
  <c r="D81" i="9"/>
  <c r="D80" i="9"/>
  <c r="D79" i="9"/>
  <c r="D69" i="9"/>
  <c r="D68" i="9"/>
  <c r="D67" i="9"/>
  <c r="D66" i="9"/>
  <c r="D65" i="9"/>
  <c r="D63" i="9"/>
  <c r="D62" i="9"/>
  <c r="D61" i="9"/>
  <c r="D60" i="9"/>
  <c r="D59" i="9"/>
  <c r="D57" i="9"/>
  <c r="D56" i="9"/>
  <c r="D55" i="9"/>
  <c r="D54" i="9"/>
  <c r="D53" i="9"/>
  <c r="D51" i="9"/>
  <c r="D50" i="9"/>
  <c r="D49" i="9"/>
  <c r="D48" i="9"/>
  <c r="D47" i="9"/>
  <c r="D45" i="9"/>
  <c r="D44" i="9"/>
  <c r="D43" i="9"/>
  <c r="D42" i="9"/>
  <c r="D41" i="9"/>
  <c r="D36" i="9"/>
  <c r="D35" i="9"/>
  <c r="D34" i="9"/>
  <c r="D33" i="9"/>
  <c r="D32" i="9"/>
  <c r="D30" i="9"/>
  <c r="D29" i="9"/>
  <c r="D28" i="9"/>
  <c r="D27" i="9"/>
  <c r="D26" i="9"/>
  <c r="D24" i="9"/>
  <c r="D23" i="9"/>
  <c r="D22" i="9"/>
  <c r="D21" i="9"/>
  <c r="D20" i="9"/>
  <c r="D18" i="9"/>
  <c r="D17" i="9"/>
  <c r="D16" i="9"/>
  <c r="D15" i="9"/>
  <c r="D14" i="9"/>
  <c r="D12" i="9"/>
  <c r="D11" i="9"/>
  <c r="D10" i="9"/>
  <c r="D9" i="9"/>
  <c r="D8" i="9"/>
  <c r="D140" i="8"/>
  <c r="D139" i="8"/>
  <c r="D138" i="8"/>
  <c r="D137" i="8"/>
  <c r="D136" i="8"/>
  <c r="D134" i="8"/>
  <c r="D133" i="8"/>
  <c r="D132" i="8"/>
  <c r="D131" i="8"/>
  <c r="D130" i="8"/>
  <c r="D128" i="8"/>
  <c r="D127" i="8"/>
  <c r="D126" i="8"/>
  <c r="D125" i="8"/>
  <c r="D124" i="8"/>
  <c r="D122" i="8"/>
  <c r="D121" i="8"/>
  <c r="D120" i="8"/>
  <c r="D119" i="8"/>
  <c r="D118" i="8"/>
  <c r="D116" i="8"/>
  <c r="D115" i="8"/>
  <c r="D114" i="8"/>
  <c r="D113" i="8"/>
  <c r="D107" i="8"/>
  <c r="D106" i="8"/>
  <c r="D105" i="8"/>
  <c r="D104" i="8"/>
  <c r="D103" i="8"/>
  <c r="D101" i="8"/>
  <c r="D100" i="8"/>
  <c r="D99" i="8"/>
  <c r="D98" i="8"/>
  <c r="D97" i="8"/>
  <c r="D95" i="8"/>
  <c r="D94" i="8"/>
  <c r="D93" i="8"/>
  <c r="D92" i="8"/>
  <c r="D91" i="8"/>
  <c r="D89" i="8"/>
  <c r="D88" i="8"/>
  <c r="D87" i="8"/>
  <c r="D86" i="8"/>
  <c r="D85" i="8"/>
  <c r="D83" i="8"/>
  <c r="D82" i="8"/>
  <c r="D81" i="8"/>
  <c r="D80" i="8"/>
  <c r="D69" i="8"/>
  <c r="D68" i="8"/>
  <c r="D67" i="8"/>
  <c r="D66" i="8"/>
  <c r="D65" i="8"/>
  <c r="D63" i="8"/>
  <c r="D62" i="8"/>
  <c r="D61" i="8"/>
  <c r="D60" i="8"/>
  <c r="D59" i="8"/>
  <c r="D57" i="8"/>
  <c r="D56" i="8"/>
  <c r="D55" i="8"/>
  <c r="D54" i="8"/>
  <c r="D53" i="8"/>
  <c r="D51" i="8"/>
  <c r="D50" i="8"/>
  <c r="D49" i="8"/>
  <c r="D48" i="8"/>
  <c r="D47" i="8"/>
  <c r="D45" i="8"/>
  <c r="D44" i="8"/>
  <c r="D43" i="8"/>
  <c r="D42" i="8"/>
  <c r="D41" i="8"/>
  <c r="D36" i="8"/>
  <c r="D35" i="8"/>
  <c r="D34" i="8"/>
  <c r="D33" i="8"/>
  <c r="D32" i="8"/>
  <c r="D30" i="8"/>
  <c r="D29" i="8"/>
  <c r="D28" i="8"/>
  <c r="D27" i="8"/>
  <c r="D26" i="8"/>
  <c r="D24" i="8"/>
  <c r="D23" i="8"/>
  <c r="D22" i="8"/>
  <c r="D21" i="8"/>
  <c r="D20" i="8"/>
  <c r="D18" i="8"/>
  <c r="D17" i="8"/>
  <c r="D16" i="8"/>
  <c r="D15" i="8"/>
  <c r="D14" i="8"/>
  <c r="D12" i="8"/>
  <c r="D11" i="8"/>
  <c r="D10" i="8"/>
  <c r="D9" i="8"/>
  <c r="D8" i="8"/>
  <c r="C121" i="20"/>
  <c r="C120" i="20"/>
  <c r="C119" i="20"/>
  <c r="C118" i="20"/>
  <c r="C116" i="20"/>
  <c r="C115" i="20"/>
  <c r="C114" i="20"/>
  <c r="C113" i="20"/>
  <c r="C111" i="20"/>
  <c r="C110" i="20"/>
  <c r="C109" i="20"/>
  <c r="C108" i="20"/>
  <c r="C106" i="20"/>
  <c r="C105" i="20"/>
  <c r="C104" i="20"/>
  <c r="C103" i="20"/>
  <c r="C101" i="20"/>
  <c r="C100" i="20"/>
  <c r="C99" i="20"/>
  <c r="C98" i="20"/>
  <c r="C93" i="20"/>
  <c r="C92" i="20"/>
  <c r="C91" i="20"/>
  <c r="C90" i="20"/>
  <c r="C88" i="20"/>
  <c r="C87" i="20"/>
  <c r="C86" i="20"/>
  <c r="C85" i="20"/>
  <c r="C83" i="20"/>
  <c r="C82" i="20"/>
  <c r="C81" i="20"/>
  <c r="C80" i="20"/>
  <c r="C78" i="20"/>
  <c r="C77" i="20"/>
  <c r="C76" i="20"/>
  <c r="C75" i="20"/>
  <c r="C73" i="20"/>
  <c r="C72" i="20"/>
  <c r="C71" i="20"/>
  <c r="C70" i="20"/>
  <c r="C60" i="20"/>
  <c r="C59" i="20"/>
  <c r="C58" i="20"/>
  <c r="C57" i="20"/>
  <c r="C55" i="20"/>
  <c r="C54" i="20"/>
  <c r="C53" i="20"/>
  <c r="C52" i="20"/>
  <c r="C50" i="20"/>
  <c r="C49" i="20"/>
  <c r="C48" i="20"/>
  <c r="C47" i="20"/>
  <c r="C45" i="20"/>
  <c r="C44" i="20"/>
  <c r="C43" i="20"/>
  <c r="C42" i="20"/>
  <c r="C40" i="20"/>
  <c r="C39" i="20"/>
  <c r="C38" i="20"/>
  <c r="C37" i="20"/>
  <c r="C32" i="20"/>
  <c r="C31" i="20"/>
  <c r="C30" i="20"/>
  <c r="C29" i="20"/>
  <c r="C27" i="20"/>
  <c r="C26" i="20"/>
  <c r="C25" i="20"/>
  <c r="C24" i="20"/>
  <c r="C22" i="20"/>
  <c r="C21" i="20"/>
  <c r="C20" i="20"/>
  <c r="C19" i="20"/>
  <c r="C17" i="20"/>
  <c r="C16" i="20"/>
  <c r="C15" i="20"/>
  <c r="C14" i="20"/>
  <c r="C12" i="20"/>
  <c r="C11" i="20"/>
  <c r="C10" i="20"/>
  <c r="C9" i="20"/>
  <c r="D52" i="16"/>
  <c r="D51" i="16"/>
  <c r="D50" i="16"/>
  <c r="D49" i="16"/>
  <c r="D48" i="16"/>
  <c r="D42" i="16"/>
  <c r="D41" i="16"/>
  <c r="D40" i="16"/>
  <c r="D38" i="16"/>
  <c r="D39" i="16"/>
  <c r="D24" i="16" l="1"/>
  <c r="D23" i="16"/>
  <c r="D22" i="16"/>
  <c r="D21" i="16"/>
  <c r="D20" i="16"/>
  <c r="D10" i="16"/>
  <c r="D11" i="16"/>
  <c r="D12" i="16"/>
  <c r="D14" i="16"/>
  <c r="D13" i="16"/>
  <c r="I13" i="22" l="1"/>
  <c r="G121" i="20"/>
  <c r="G119" i="20"/>
  <c r="G114" i="20"/>
  <c r="G93" i="20"/>
  <c r="G92" i="20"/>
  <c r="G91" i="20"/>
  <c r="G90" i="20"/>
  <c r="G88" i="20"/>
  <c r="G86" i="20"/>
  <c r="G85" i="20"/>
  <c r="G81" i="20"/>
  <c r="G80" i="20"/>
  <c r="G78" i="20"/>
  <c r="G76" i="20"/>
  <c r="G75" i="20"/>
  <c r="G71" i="20"/>
  <c r="G70" i="20"/>
  <c r="G57" i="20"/>
  <c r="G52" i="20"/>
  <c r="G50" i="20"/>
  <c r="G48" i="20"/>
  <c r="G45" i="20"/>
  <c r="G43" i="20"/>
  <c r="G32" i="20"/>
  <c r="G30" i="20"/>
  <c r="G29" i="20"/>
  <c r="G27" i="20"/>
  <c r="G25" i="20"/>
  <c r="G24" i="20"/>
  <c r="G22" i="20"/>
  <c r="G20" i="20"/>
  <c r="G19" i="20"/>
  <c r="G17" i="20"/>
  <c r="G15" i="20"/>
  <c r="G14" i="20"/>
  <c r="G9" i="20"/>
  <c r="G118" i="20"/>
  <c r="G116" i="20"/>
  <c r="G113" i="20"/>
  <c r="G108" i="20"/>
  <c r="G103" i="20"/>
  <c r="G98" i="20"/>
  <c r="G60" i="20"/>
  <c r="G58" i="20"/>
  <c r="G55" i="20"/>
  <c r="G53" i="20"/>
  <c r="G47" i="20"/>
  <c r="G42" i="20"/>
  <c r="G37" i="20"/>
  <c r="D92" i="22"/>
  <c r="D120" i="22" s="1"/>
  <c r="D91" i="22"/>
  <c r="D119" i="22" s="1"/>
  <c r="D90" i="22"/>
  <c r="D118" i="22" s="1"/>
  <c r="D93" i="22"/>
  <c r="D121" i="22" s="1"/>
  <c r="D88" i="22"/>
  <c r="D116" i="22" s="1"/>
  <c r="D87" i="22"/>
  <c r="D115" i="22" s="1"/>
  <c r="D86" i="22"/>
  <c r="H86" i="22" s="1"/>
  <c r="H114" i="22" s="1"/>
  <c r="D85" i="22"/>
  <c r="D113" i="22" s="1"/>
  <c r="D83" i="22"/>
  <c r="D82" i="22"/>
  <c r="D110" i="22" s="1"/>
  <c r="D81" i="22"/>
  <c r="D109" i="22" s="1"/>
  <c r="D80" i="22"/>
  <c r="H80" i="22" s="1"/>
  <c r="H108" i="22" s="1"/>
  <c r="D78" i="22"/>
  <c r="D106" i="22" s="1"/>
  <c r="D77" i="22"/>
  <c r="D105" i="22" s="1"/>
  <c r="D76" i="22"/>
  <c r="H76" i="22" s="1"/>
  <c r="H104" i="22" s="1"/>
  <c r="D75" i="22"/>
  <c r="D103" i="22" s="1"/>
  <c r="D73" i="22"/>
  <c r="D101" i="22" s="1"/>
  <c r="D72" i="22"/>
  <c r="D100" i="22" s="1"/>
  <c r="D71" i="22"/>
  <c r="D99" i="22" s="1"/>
  <c r="D70" i="22"/>
  <c r="D98" i="22" s="1"/>
  <c r="D32" i="22"/>
  <c r="D60" i="22" s="1"/>
  <c r="D31" i="22"/>
  <c r="D59" i="22" s="1"/>
  <c r="D30" i="22"/>
  <c r="H30" i="22" s="1"/>
  <c r="H58" i="22" s="1"/>
  <c r="D29" i="22"/>
  <c r="D57" i="22" s="1"/>
  <c r="D24" i="22"/>
  <c r="H24" i="22" s="1"/>
  <c r="H52" i="22" s="1"/>
  <c r="D25" i="22"/>
  <c r="D53" i="22" s="1"/>
  <c r="D55" i="22"/>
  <c r="D26" i="22"/>
  <c r="D54" i="22" s="1"/>
  <c r="D22" i="22"/>
  <c r="D50" i="22" s="1"/>
  <c r="D21" i="22"/>
  <c r="D49" i="22" s="1"/>
  <c r="D20" i="22"/>
  <c r="D48" i="22" s="1"/>
  <c r="D19" i="22"/>
  <c r="D47" i="22" s="1"/>
  <c r="D14" i="22"/>
  <c r="D42" i="22" s="1"/>
  <c r="D15" i="22"/>
  <c r="D43" i="22" s="1"/>
  <c r="D16" i="22"/>
  <c r="D44" i="22" s="1"/>
  <c r="D17" i="22"/>
  <c r="H17" i="22" s="1"/>
  <c r="H45" i="22" s="1"/>
  <c r="D12" i="22"/>
  <c r="H12" i="22" s="1"/>
  <c r="D11" i="22"/>
  <c r="D39" i="22" s="1"/>
  <c r="D10" i="22"/>
  <c r="D38" i="22" s="1"/>
  <c r="D9" i="22"/>
  <c r="D37" i="22" s="1"/>
  <c r="J94" i="22"/>
  <c r="J92" i="22"/>
  <c r="J89" i="22"/>
  <c r="I89" i="22"/>
  <c r="J87" i="22"/>
  <c r="J84" i="22"/>
  <c r="J82" i="22"/>
  <c r="J79" i="22"/>
  <c r="J77" i="22"/>
  <c r="I77" i="22"/>
  <c r="J74" i="22"/>
  <c r="J72" i="22"/>
  <c r="J33" i="22"/>
  <c r="J31" i="22"/>
  <c r="J28" i="22"/>
  <c r="H27" i="22"/>
  <c r="H55" i="22" s="1"/>
  <c r="J26" i="22"/>
  <c r="J23" i="22"/>
  <c r="J21" i="22"/>
  <c r="J18" i="22"/>
  <c r="J16" i="22"/>
  <c r="J13" i="22"/>
  <c r="J11" i="22"/>
  <c r="I11" i="22" s="1"/>
  <c r="J72" i="20"/>
  <c r="J11" i="20"/>
  <c r="J74" i="20"/>
  <c r="I74" i="20" s="1"/>
  <c r="J77" i="20"/>
  <c r="J79" i="20"/>
  <c r="D90" i="20"/>
  <c r="H90" i="20" s="1"/>
  <c r="H118" i="20" s="1"/>
  <c r="D91" i="20"/>
  <c r="D119" i="20" s="1"/>
  <c r="D92" i="20"/>
  <c r="H92" i="20" s="1"/>
  <c r="H120" i="20" s="1"/>
  <c r="D93" i="20"/>
  <c r="H93" i="20" s="1"/>
  <c r="H121" i="20" s="1"/>
  <c r="D32" i="20"/>
  <c r="H32" i="20" s="1"/>
  <c r="H60" i="20" s="1"/>
  <c r="D31" i="20"/>
  <c r="D59" i="20" s="1"/>
  <c r="D30" i="20"/>
  <c r="D58" i="20" s="1"/>
  <c r="D29" i="20"/>
  <c r="D57" i="20" s="1"/>
  <c r="D85" i="20"/>
  <c r="H85" i="20" s="1"/>
  <c r="H113" i="20" s="1"/>
  <c r="D86" i="20"/>
  <c r="H86" i="20" s="1"/>
  <c r="H114" i="20" s="1"/>
  <c r="D87" i="20"/>
  <c r="H87" i="20" s="1"/>
  <c r="H115" i="20" s="1"/>
  <c r="D88" i="20"/>
  <c r="H88" i="20" s="1"/>
  <c r="D27" i="20"/>
  <c r="D55" i="20" s="1"/>
  <c r="D26" i="20"/>
  <c r="H26" i="20" s="1"/>
  <c r="H54" i="20" s="1"/>
  <c r="D25" i="20"/>
  <c r="D53" i="20" s="1"/>
  <c r="D24" i="20"/>
  <c r="H24" i="20" s="1"/>
  <c r="H52" i="20" s="1"/>
  <c r="D80" i="20"/>
  <c r="H80" i="20" s="1"/>
  <c r="H108" i="20" s="1"/>
  <c r="D81" i="20"/>
  <c r="D109" i="20" s="1"/>
  <c r="D82" i="20"/>
  <c r="H82" i="20" s="1"/>
  <c r="H110" i="20" s="1"/>
  <c r="D83" i="20"/>
  <c r="H83" i="20" s="1"/>
  <c r="H111" i="20" s="1"/>
  <c r="D22" i="20"/>
  <c r="H22" i="20" s="1"/>
  <c r="D21" i="20"/>
  <c r="D49" i="20" s="1"/>
  <c r="D20" i="20"/>
  <c r="D48" i="20" s="1"/>
  <c r="D19" i="20"/>
  <c r="D47" i="20" s="1"/>
  <c r="D78" i="20"/>
  <c r="H78" i="20" s="1"/>
  <c r="J84" i="20"/>
  <c r="J89" i="20"/>
  <c r="J94" i="20"/>
  <c r="D77" i="20"/>
  <c r="H77" i="20" s="1"/>
  <c r="D76" i="20"/>
  <c r="H76" i="20" s="1"/>
  <c r="H104" i="20" s="1"/>
  <c r="D75" i="20"/>
  <c r="D103" i="20" s="1"/>
  <c r="D17" i="20"/>
  <c r="H17" i="20" s="1"/>
  <c r="D16" i="20"/>
  <c r="D44" i="20" s="1"/>
  <c r="D15" i="20"/>
  <c r="D43" i="20" s="1"/>
  <c r="D14" i="20"/>
  <c r="D42" i="20" s="1"/>
  <c r="D73" i="20"/>
  <c r="D101" i="20" s="1"/>
  <c r="D72" i="20"/>
  <c r="D71" i="20"/>
  <c r="H71" i="20" s="1"/>
  <c r="H99" i="20" s="1"/>
  <c r="D70" i="20"/>
  <c r="H70" i="20" s="1"/>
  <c r="H98" i="20" s="1"/>
  <c r="D12" i="20"/>
  <c r="D40" i="20" s="1"/>
  <c r="H40" i="20" s="1"/>
  <c r="D11" i="20"/>
  <c r="D10" i="20"/>
  <c r="H10" i="20" s="1"/>
  <c r="D9" i="20"/>
  <c r="D37" i="20" s="1"/>
  <c r="J92" i="20"/>
  <c r="J87" i="20"/>
  <c r="J82" i="20"/>
  <c r="J33" i="20"/>
  <c r="I33" i="20" s="1"/>
  <c r="J31" i="20"/>
  <c r="J26" i="20"/>
  <c r="J28" i="20"/>
  <c r="J21" i="20"/>
  <c r="I21" i="20" s="1"/>
  <c r="J23" i="20"/>
  <c r="I23" i="20" s="1"/>
  <c r="J16" i="20"/>
  <c r="J18" i="20"/>
  <c r="I18" i="20" s="1"/>
  <c r="J13" i="20"/>
  <c r="H29" i="20"/>
  <c r="H57" i="20" s="1"/>
  <c r="L51" i="16"/>
  <c r="L49" i="16"/>
  <c r="L15" i="16"/>
  <c r="G87" i="20" l="1"/>
  <c r="G26" i="20"/>
  <c r="I84" i="22"/>
  <c r="H91" i="22"/>
  <c r="H119" i="22" s="1"/>
  <c r="I16" i="22"/>
  <c r="G55" i="22"/>
  <c r="I21" i="22"/>
  <c r="I33" i="22"/>
  <c r="I72" i="22"/>
  <c r="I82" i="22"/>
  <c r="G17" i="22"/>
  <c r="H10" i="22"/>
  <c r="H38" i="22" s="1"/>
  <c r="G38" i="22" s="1"/>
  <c r="I26" i="22"/>
  <c r="I87" i="22"/>
  <c r="I79" i="22"/>
  <c r="G80" i="22"/>
  <c r="G91" i="22"/>
  <c r="G119" i="22"/>
  <c r="H83" i="22"/>
  <c r="I31" i="22"/>
  <c r="I23" i="22"/>
  <c r="I92" i="22"/>
  <c r="D111" i="22"/>
  <c r="H9" i="22"/>
  <c r="H37" i="22" s="1"/>
  <c r="G37" i="22" s="1"/>
  <c r="I18" i="22"/>
  <c r="I28" i="22"/>
  <c r="I74" i="22"/>
  <c r="I94" i="22"/>
  <c r="G30" i="22"/>
  <c r="G24" i="22"/>
  <c r="H32" i="22"/>
  <c r="G86" i="22"/>
  <c r="G76" i="22"/>
  <c r="H85" i="22"/>
  <c r="G12" i="22"/>
  <c r="G27" i="22"/>
  <c r="I16" i="20"/>
  <c r="I89" i="20"/>
  <c r="I87" i="20"/>
  <c r="I11" i="20"/>
  <c r="I77" i="20"/>
  <c r="I26" i="20"/>
  <c r="I13" i="20"/>
  <c r="I31" i="20"/>
  <c r="I82" i="20"/>
  <c r="I28" i="20"/>
  <c r="I92" i="20"/>
  <c r="I79" i="20"/>
  <c r="I94" i="20"/>
  <c r="I84" i="20"/>
  <c r="I72" i="20"/>
  <c r="H71" i="22"/>
  <c r="D108" i="22"/>
  <c r="G108" i="22" s="1"/>
  <c r="D114" i="22"/>
  <c r="G114" i="22" s="1"/>
  <c r="D45" i="22"/>
  <c r="H22" i="22"/>
  <c r="H31" i="22"/>
  <c r="D104" i="22"/>
  <c r="H16" i="20"/>
  <c r="H15" i="20"/>
  <c r="H43" i="20" s="1"/>
  <c r="H14" i="20"/>
  <c r="H45" i="20"/>
  <c r="H12" i="20"/>
  <c r="H11" i="20"/>
  <c r="H9" i="20"/>
  <c r="H38" i="20"/>
  <c r="G82" i="20"/>
  <c r="G10" i="20"/>
  <c r="H91" i="20"/>
  <c r="H119" i="20" s="1"/>
  <c r="G83" i="20"/>
  <c r="G40" i="20"/>
  <c r="G77" i="20"/>
  <c r="H19" i="20"/>
  <c r="H47" i="20" s="1"/>
  <c r="H73" i="20"/>
  <c r="G73" i="20" s="1"/>
  <c r="H92" i="22"/>
  <c r="H87" i="22"/>
  <c r="H82" i="22"/>
  <c r="H81" i="22"/>
  <c r="H72" i="22"/>
  <c r="D58" i="22"/>
  <c r="G58" i="22" s="1"/>
  <c r="H29" i="22"/>
  <c r="D52" i="22"/>
  <c r="G52" i="22" s="1"/>
  <c r="H20" i="22"/>
  <c r="H14" i="22"/>
  <c r="H16" i="22"/>
  <c r="D40" i="22"/>
  <c r="H73" i="22"/>
  <c r="H70" i="22"/>
  <c r="H90" i="22"/>
  <c r="H19" i="22"/>
  <c r="H78" i="22"/>
  <c r="H75" i="22"/>
  <c r="H26" i="22"/>
  <c r="H93" i="22"/>
  <c r="H15" i="22"/>
  <c r="H25" i="22"/>
  <c r="H11" i="22"/>
  <c r="H21" i="22"/>
  <c r="H77" i="22"/>
  <c r="H88" i="22"/>
  <c r="D106" i="20"/>
  <c r="H27" i="20"/>
  <c r="H55" i="20" s="1"/>
  <c r="D52" i="20"/>
  <c r="H30" i="20"/>
  <c r="H58" i="20" s="1"/>
  <c r="D45" i="20"/>
  <c r="H75" i="20"/>
  <c r="H103" i="20" s="1"/>
  <c r="D121" i="20"/>
  <c r="D99" i="20"/>
  <c r="D120" i="20"/>
  <c r="G120" i="20" s="1"/>
  <c r="D39" i="20"/>
  <c r="D60" i="20"/>
  <c r="H25" i="20"/>
  <c r="H53" i="20" s="1"/>
  <c r="D118" i="20"/>
  <c r="H31" i="20"/>
  <c r="H116" i="20"/>
  <c r="D98" i="20"/>
  <c r="D104" i="20"/>
  <c r="D116" i="20"/>
  <c r="D38" i="20"/>
  <c r="H21" i="20"/>
  <c r="G21" i="20" s="1"/>
  <c r="D111" i="20"/>
  <c r="D113" i="20"/>
  <c r="D100" i="20"/>
  <c r="H72" i="20"/>
  <c r="G72" i="20" s="1"/>
  <c r="D114" i="20"/>
  <c r="D115" i="20"/>
  <c r="G115" i="20" s="1"/>
  <c r="D54" i="20"/>
  <c r="G54" i="20" s="1"/>
  <c r="D108" i="20"/>
  <c r="H81" i="20"/>
  <c r="D110" i="20"/>
  <c r="H105" i="20"/>
  <c r="H50" i="20"/>
  <c r="D50" i="20"/>
  <c r="H20" i="20"/>
  <c r="D105" i="20"/>
  <c r="H106" i="20"/>
  <c r="L53" i="16"/>
  <c r="L50" i="16"/>
  <c r="L25" i="16"/>
  <c r="L23" i="16"/>
  <c r="L22" i="16"/>
  <c r="L21" i="16"/>
  <c r="I8" i="8"/>
  <c r="I9" i="8"/>
  <c r="I10" i="8"/>
  <c r="I11" i="8"/>
  <c r="L11" i="8"/>
  <c r="I13" i="8"/>
  <c r="L13" i="8"/>
  <c r="I14" i="8"/>
  <c r="I15" i="8"/>
  <c r="I16" i="8"/>
  <c r="I17" i="8"/>
  <c r="L17" i="8"/>
  <c r="I19" i="8"/>
  <c r="L19" i="8"/>
  <c r="I20" i="8"/>
  <c r="I21" i="8"/>
  <c r="I22" i="8"/>
  <c r="I23" i="8"/>
  <c r="L23" i="8"/>
  <c r="I25" i="8"/>
  <c r="L25" i="8"/>
  <c r="I26" i="8"/>
  <c r="I27" i="8"/>
  <c r="I28" i="8"/>
  <c r="L28" i="8"/>
  <c r="I29" i="8"/>
  <c r="L29" i="8"/>
  <c r="I31" i="8"/>
  <c r="L31" i="8"/>
  <c r="I32" i="8"/>
  <c r="I33" i="8"/>
  <c r="L33" i="8"/>
  <c r="I34" i="8"/>
  <c r="L34" i="8"/>
  <c r="I35" i="8"/>
  <c r="L35" i="8"/>
  <c r="I37" i="8"/>
  <c r="L43" i="16"/>
  <c r="L13" i="16"/>
  <c r="I40" i="16"/>
  <c r="I41" i="16"/>
  <c r="L41" i="16"/>
  <c r="I43" i="16"/>
  <c r="G16" i="20" l="1"/>
  <c r="H59" i="20"/>
  <c r="G59" i="20" s="1"/>
  <c r="G31" i="20"/>
  <c r="G9" i="22"/>
  <c r="G10" i="22"/>
  <c r="H111" i="22"/>
  <c r="G111" i="22" s="1"/>
  <c r="G83" i="22"/>
  <c r="G45" i="22"/>
  <c r="G104" i="22"/>
  <c r="H105" i="22"/>
  <c r="G105" i="22" s="1"/>
  <c r="G77" i="22"/>
  <c r="H106" i="22"/>
  <c r="G106" i="22" s="1"/>
  <c r="G78" i="22"/>
  <c r="H48" i="22"/>
  <c r="G48" i="22" s="1"/>
  <c r="G20" i="22"/>
  <c r="H120" i="22"/>
  <c r="G120" i="22" s="1"/>
  <c r="G92" i="22"/>
  <c r="H60" i="22"/>
  <c r="G60" i="22" s="1"/>
  <c r="G32" i="22"/>
  <c r="H49" i="22"/>
  <c r="G49" i="22" s="1"/>
  <c r="G21" i="22"/>
  <c r="H47" i="22"/>
  <c r="G47" i="22" s="1"/>
  <c r="G19" i="22"/>
  <c r="H59" i="22"/>
  <c r="G59" i="22" s="1"/>
  <c r="G31" i="22"/>
  <c r="H113" i="22"/>
  <c r="G113" i="22" s="1"/>
  <c r="G85" i="22"/>
  <c r="H39" i="22"/>
  <c r="G39" i="22" s="1"/>
  <c r="G11" i="22"/>
  <c r="H118" i="22"/>
  <c r="G118" i="22" s="1"/>
  <c r="G90" i="22"/>
  <c r="H57" i="22"/>
  <c r="G57" i="22" s="1"/>
  <c r="G29" i="22"/>
  <c r="H50" i="22"/>
  <c r="G50" i="22" s="1"/>
  <c r="G22" i="22"/>
  <c r="H53" i="22"/>
  <c r="G53" i="22" s="1"/>
  <c r="G25" i="22"/>
  <c r="H98" i="22"/>
  <c r="G98" i="22" s="1"/>
  <c r="G70" i="22"/>
  <c r="H43" i="22"/>
  <c r="G43" i="22" s="1"/>
  <c r="G15" i="22"/>
  <c r="H101" i="22"/>
  <c r="G101" i="22" s="1"/>
  <c r="G73" i="22"/>
  <c r="H100" i="22"/>
  <c r="G100" i="22" s="1"/>
  <c r="G72" i="22"/>
  <c r="H121" i="22"/>
  <c r="G121" i="22" s="1"/>
  <c r="G93" i="22"/>
  <c r="H40" i="22"/>
  <c r="H109" i="22"/>
  <c r="G109" i="22" s="1"/>
  <c r="G81" i="22"/>
  <c r="H54" i="22"/>
  <c r="G54" i="22" s="1"/>
  <c r="G26" i="22"/>
  <c r="H44" i="22"/>
  <c r="G44" i="22" s="1"/>
  <c r="G16" i="22"/>
  <c r="H110" i="22"/>
  <c r="G110" i="22" s="1"/>
  <c r="G82" i="22"/>
  <c r="H99" i="22"/>
  <c r="G99" i="22" s="1"/>
  <c r="G71" i="22"/>
  <c r="H116" i="22"/>
  <c r="G116" i="22" s="1"/>
  <c r="G88" i="22"/>
  <c r="H103" i="22"/>
  <c r="G103" i="22" s="1"/>
  <c r="G75" i="22"/>
  <c r="H42" i="22"/>
  <c r="G42" i="22" s="1"/>
  <c r="G14" i="22"/>
  <c r="H115" i="22"/>
  <c r="G115" i="22" s="1"/>
  <c r="G87" i="22"/>
  <c r="G12" i="20"/>
  <c r="H44" i="20"/>
  <c r="G44" i="20" s="1"/>
  <c r="G38" i="20"/>
  <c r="H100" i="20"/>
  <c r="G100" i="20" s="1"/>
  <c r="H39" i="20"/>
  <c r="G39" i="20" s="1"/>
  <c r="G11" i="20"/>
  <c r="H42" i="20"/>
  <c r="H109" i="20"/>
  <c r="H49" i="20"/>
  <c r="G49" i="20" s="1"/>
  <c r="H101" i="20"/>
  <c r="H37" i="20"/>
  <c r="H48" i="20"/>
  <c r="G99" i="20"/>
  <c r="G109" i="20"/>
  <c r="G111" i="20"/>
  <c r="G106" i="20"/>
  <c r="G105" i="20"/>
  <c r="G104" i="20"/>
  <c r="G110" i="20"/>
  <c r="L108" i="13"/>
  <c r="L106" i="13"/>
  <c r="L105" i="13"/>
  <c r="L104" i="13"/>
  <c r="L102" i="13"/>
  <c r="L100" i="13"/>
  <c r="L99" i="13"/>
  <c r="L98" i="13"/>
  <c r="L96" i="13"/>
  <c r="L94" i="13"/>
  <c r="L93" i="13"/>
  <c r="L92" i="13"/>
  <c r="L90" i="13"/>
  <c r="L88" i="13"/>
  <c r="L87" i="13"/>
  <c r="L86" i="13"/>
  <c r="L84" i="13"/>
  <c r="L82" i="13"/>
  <c r="L81" i="13"/>
  <c r="L80" i="13"/>
  <c r="L37" i="13"/>
  <c r="L35" i="13"/>
  <c r="L34" i="13"/>
  <c r="L33" i="13"/>
  <c r="L31" i="13"/>
  <c r="L29" i="13"/>
  <c r="L28" i="13"/>
  <c r="L27" i="13"/>
  <c r="L25" i="13"/>
  <c r="L23" i="13"/>
  <c r="L22" i="13"/>
  <c r="L21" i="13"/>
  <c r="L19" i="13"/>
  <c r="L17" i="13"/>
  <c r="L16" i="13"/>
  <c r="L15" i="13"/>
  <c r="L13" i="13"/>
  <c r="L11" i="13"/>
  <c r="L10" i="13"/>
  <c r="L9" i="13"/>
  <c r="L106" i="12"/>
  <c r="L105" i="12"/>
  <c r="L104" i="12"/>
  <c r="L108" i="12"/>
  <c r="L102" i="12"/>
  <c r="L100" i="12"/>
  <c r="L99" i="12"/>
  <c r="L98" i="12"/>
  <c r="L96" i="12"/>
  <c r="L94" i="12"/>
  <c r="L93" i="12"/>
  <c r="L92" i="12"/>
  <c r="L90" i="12"/>
  <c r="L88" i="12"/>
  <c r="L87" i="12"/>
  <c r="L86" i="12"/>
  <c r="L84" i="12"/>
  <c r="L82" i="12"/>
  <c r="L81" i="12"/>
  <c r="L37" i="12"/>
  <c r="L35" i="12"/>
  <c r="L34" i="12"/>
  <c r="L31" i="12"/>
  <c r="L29" i="12"/>
  <c r="L28" i="12"/>
  <c r="L27" i="12"/>
  <c r="L25" i="12"/>
  <c r="L23" i="12"/>
  <c r="L22" i="12"/>
  <c r="L21" i="12"/>
  <c r="L19" i="12"/>
  <c r="L17" i="12"/>
  <c r="L16" i="12"/>
  <c r="L13" i="12"/>
  <c r="L11" i="12"/>
  <c r="L10" i="12"/>
  <c r="L33" i="12"/>
  <c r="L15" i="12"/>
  <c r="L108" i="11"/>
  <c r="L106" i="11"/>
  <c r="L105" i="11"/>
  <c r="L104" i="11"/>
  <c r="L102" i="11"/>
  <c r="L100" i="11"/>
  <c r="L99" i="11"/>
  <c r="L98" i="11"/>
  <c r="L96" i="11"/>
  <c r="L94" i="11"/>
  <c r="L93" i="11"/>
  <c r="L90" i="11"/>
  <c r="L88" i="11"/>
  <c r="L84" i="11"/>
  <c r="L82" i="11"/>
  <c r="L37" i="11"/>
  <c r="L35" i="11"/>
  <c r="L34" i="11"/>
  <c r="L33" i="11"/>
  <c r="L31" i="11"/>
  <c r="L29" i="11"/>
  <c r="L28" i="11"/>
  <c r="L27" i="11"/>
  <c r="L25" i="11"/>
  <c r="L23" i="11"/>
  <c r="L22" i="11"/>
  <c r="L19" i="11"/>
  <c r="L17" i="11"/>
  <c r="L16" i="11"/>
  <c r="L13" i="11"/>
  <c r="L11" i="11"/>
  <c r="L34" i="9"/>
  <c r="L31" i="9"/>
  <c r="L29" i="9"/>
  <c r="L25" i="9"/>
  <c r="L23" i="9"/>
  <c r="L19" i="9"/>
  <c r="L17" i="9"/>
  <c r="L13" i="9"/>
  <c r="L11" i="9"/>
  <c r="L84" i="9"/>
  <c r="L108" i="9"/>
  <c r="L106" i="9"/>
  <c r="L102" i="9"/>
  <c r="L100" i="9"/>
  <c r="L96" i="9"/>
  <c r="L94" i="9"/>
  <c r="L90" i="9"/>
  <c r="L88" i="9"/>
  <c r="L37" i="9"/>
  <c r="L35" i="9"/>
  <c r="L33" i="9"/>
  <c r="L28" i="9"/>
  <c r="L108" i="8"/>
  <c r="L105" i="8"/>
  <c r="L106" i="8"/>
  <c r="L104" i="8"/>
  <c r="L102" i="8"/>
  <c r="L100" i="8"/>
  <c r="L96" i="8"/>
  <c r="L94" i="8"/>
  <c r="L90" i="8"/>
  <c r="L88" i="8"/>
  <c r="L84" i="8"/>
  <c r="L82" i="8"/>
  <c r="G101" i="20" l="1"/>
  <c r="G40" i="22"/>
  <c r="F42" i="15"/>
  <c r="F43" i="15" s="1"/>
  <c r="E42" i="15"/>
  <c r="E43" i="15" s="1"/>
  <c r="C42" i="15"/>
  <c r="C43" i="15" s="1"/>
  <c r="E41" i="15"/>
  <c r="F40" i="15"/>
  <c r="E40" i="15"/>
  <c r="C40" i="15"/>
  <c r="F36" i="15"/>
  <c r="C36" i="15"/>
  <c r="F35" i="15"/>
  <c r="C35" i="15"/>
  <c r="E34" i="15"/>
  <c r="E35" i="15" s="1"/>
  <c r="E36" i="15" s="1"/>
  <c r="F33" i="15"/>
  <c r="E33" i="15"/>
  <c r="C33" i="15"/>
  <c r="F29" i="15"/>
  <c r="C29" i="15"/>
  <c r="F28" i="15"/>
  <c r="E28" i="15"/>
  <c r="E29" i="15" s="1"/>
  <c r="C28" i="15"/>
  <c r="E27" i="15"/>
  <c r="F26" i="15"/>
  <c r="E26" i="15"/>
  <c r="C26" i="15"/>
  <c r="D22" i="15"/>
  <c r="F21" i="15"/>
  <c r="F22" i="15" s="1"/>
  <c r="D21" i="15"/>
  <c r="C21" i="15"/>
  <c r="C22" i="15" s="1"/>
  <c r="E20" i="15"/>
  <c r="E21" i="15" s="1"/>
  <c r="E22" i="15" s="1"/>
  <c r="F19" i="15"/>
  <c r="E19" i="15"/>
  <c r="D19" i="15"/>
  <c r="C19" i="15"/>
  <c r="E15" i="15"/>
  <c r="F14" i="15"/>
  <c r="F15" i="15" s="1"/>
  <c r="E14" i="15"/>
  <c r="C14" i="15"/>
  <c r="C15" i="15" s="1"/>
  <c r="E13" i="15"/>
  <c r="F12" i="15"/>
  <c r="E12" i="15"/>
  <c r="C12" i="15"/>
  <c r="F42" i="14"/>
  <c r="F43" i="14" s="1"/>
  <c r="C42" i="14"/>
  <c r="C43" i="14" s="1"/>
  <c r="F41" i="14"/>
  <c r="E41" i="14"/>
  <c r="E42" i="14" s="1"/>
  <c r="E43" i="14" s="1"/>
  <c r="F40" i="14"/>
  <c r="E40" i="14"/>
  <c r="C40" i="14"/>
  <c r="C36" i="14"/>
  <c r="E35" i="14"/>
  <c r="E36" i="14" s="1"/>
  <c r="C35" i="14"/>
  <c r="F34" i="14"/>
  <c r="F35" i="14" s="1"/>
  <c r="F36" i="14" s="1"/>
  <c r="E34" i="14"/>
  <c r="F33" i="14"/>
  <c r="E33" i="14"/>
  <c r="C33" i="14"/>
  <c r="F28" i="14"/>
  <c r="F29" i="14" s="1"/>
  <c r="C28" i="14"/>
  <c r="C29" i="14" s="1"/>
  <c r="F27" i="14"/>
  <c r="E27" i="14"/>
  <c r="E28" i="14" s="1"/>
  <c r="E29" i="14" s="1"/>
  <c r="F26" i="14"/>
  <c r="E26" i="14"/>
  <c r="C26" i="14"/>
  <c r="D22" i="14"/>
  <c r="F21" i="14"/>
  <c r="F22" i="14" s="1"/>
  <c r="E21" i="14"/>
  <c r="E22" i="14" s="1"/>
  <c r="D21" i="14"/>
  <c r="C21" i="14"/>
  <c r="C22" i="14" s="1"/>
  <c r="F20" i="14"/>
  <c r="E20" i="14"/>
  <c r="F19" i="14"/>
  <c r="E19" i="14"/>
  <c r="D19" i="14"/>
  <c r="C19" i="14"/>
  <c r="C15" i="14"/>
  <c r="F13" i="14"/>
  <c r="F14" i="14" s="1"/>
  <c r="F15" i="14" s="1"/>
  <c r="E13" i="14"/>
  <c r="E14" i="14" s="1"/>
  <c r="E15" i="14" s="1"/>
  <c r="E12" i="14"/>
  <c r="C12" i="14"/>
  <c r="I108" i="13"/>
  <c r="I106" i="13"/>
  <c r="I105" i="13"/>
  <c r="I104" i="13"/>
  <c r="I103" i="13"/>
  <c r="I102" i="13"/>
  <c r="I100" i="13"/>
  <c r="I99" i="13"/>
  <c r="I98" i="13"/>
  <c r="I97" i="13"/>
  <c r="I96" i="13"/>
  <c r="I94" i="13"/>
  <c r="I93" i="13"/>
  <c r="I92" i="13"/>
  <c r="I91" i="13"/>
  <c r="I90" i="13"/>
  <c r="I88" i="13"/>
  <c r="I87" i="13"/>
  <c r="I86" i="13"/>
  <c r="I85" i="13"/>
  <c r="I84" i="13"/>
  <c r="I82" i="13"/>
  <c r="I81" i="13"/>
  <c r="I80" i="13"/>
  <c r="I79" i="13"/>
  <c r="I37" i="13"/>
  <c r="I35" i="13"/>
  <c r="I34" i="13"/>
  <c r="I33" i="13"/>
  <c r="I32" i="13"/>
  <c r="I31" i="13"/>
  <c r="I29" i="13"/>
  <c r="I28" i="13"/>
  <c r="I27" i="13"/>
  <c r="I26" i="13"/>
  <c r="I25" i="13"/>
  <c r="I23" i="13"/>
  <c r="I22" i="13"/>
  <c r="I21" i="13"/>
  <c r="I20" i="13"/>
  <c r="I19" i="13"/>
  <c r="I17" i="13"/>
  <c r="I16" i="13"/>
  <c r="I15" i="13"/>
  <c r="I14" i="13"/>
  <c r="I13" i="13"/>
  <c r="I11" i="13"/>
  <c r="I10" i="13"/>
  <c r="I9" i="13"/>
  <c r="I8" i="13"/>
  <c r="I108" i="12"/>
  <c r="I106" i="12"/>
  <c r="I105" i="12"/>
  <c r="I104" i="12"/>
  <c r="I103" i="12"/>
  <c r="I102" i="12"/>
  <c r="I100" i="12"/>
  <c r="I99" i="12"/>
  <c r="I98" i="12"/>
  <c r="I97" i="12"/>
  <c r="I96" i="12"/>
  <c r="I94" i="12"/>
  <c r="I93" i="12"/>
  <c r="I92" i="12"/>
  <c r="I91" i="12"/>
  <c r="I90" i="12"/>
  <c r="I88" i="12"/>
  <c r="I87" i="12"/>
  <c r="I86" i="12"/>
  <c r="I85" i="12"/>
  <c r="I84" i="12"/>
  <c r="I82" i="12"/>
  <c r="I81" i="12"/>
  <c r="I80" i="12"/>
  <c r="I79" i="12"/>
  <c r="I37" i="12"/>
  <c r="I35" i="12"/>
  <c r="I34" i="12"/>
  <c r="I33" i="12"/>
  <c r="I32" i="12"/>
  <c r="I31" i="12"/>
  <c r="I29" i="12"/>
  <c r="I28" i="12"/>
  <c r="I27" i="12"/>
  <c r="I26" i="12"/>
  <c r="I25" i="12"/>
  <c r="I23" i="12"/>
  <c r="I22" i="12"/>
  <c r="I21" i="12"/>
  <c r="I20" i="12"/>
  <c r="I19" i="12"/>
  <c r="I17" i="12"/>
  <c r="I16" i="12"/>
  <c r="I15" i="12"/>
  <c r="I14" i="12"/>
  <c r="I13" i="12"/>
  <c r="I11" i="12"/>
  <c r="I10" i="12"/>
  <c r="I9" i="12"/>
  <c r="I8" i="12"/>
  <c r="I108" i="11"/>
  <c r="I106" i="11"/>
  <c r="I105" i="11"/>
  <c r="I104" i="11"/>
  <c r="I103" i="11"/>
  <c r="I102" i="11"/>
  <c r="I100" i="11"/>
  <c r="I99" i="11"/>
  <c r="I98" i="11"/>
  <c r="I97" i="11"/>
  <c r="I96" i="11"/>
  <c r="I94" i="11"/>
  <c r="I93" i="11"/>
  <c r="I92" i="11"/>
  <c r="I91" i="11"/>
  <c r="I90" i="11"/>
  <c r="I88" i="11"/>
  <c r="I87" i="11"/>
  <c r="I86" i="11"/>
  <c r="I85" i="11"/>
  <c r="I84" i="11"/>
  <c r="I82" i="11"/>
  <c r="I81" i="11"/>
  <c r="I80" i="11"/>
  <c r="I79" i="11"/>
  <c r="I37" i="11"/>
  <c r="I35" i="11"/>
  <c r="I34" i="11"/>
  <c r="I33" i="11"/>
  <c r="I32" i="11"/>
  <c r="I31" i="11"/>
  <c r="I29" i="11"/>
  <c r="I28" i="11"/>
  <c r="I27" i="11"/>
  <c r="I26" i="11"/>
  <c r="I25" i="11"/>
  <c r="I23" i="11"/>
  <c r="I22" i="11"/>
  <c r="I21" i="11"/>
  <c r="I20" i="11"/>
  <c r="I19" i="11"/>
  <c r="I17" i="11"/>
  <c r="I16" i="11"/>
  <c r="I15" i="11"/>
  <c r="I14" i="11"/>
  <c r="I13" i="11"/>
  <c r="I11" i="11"/>
  <c r="I10" i="11"/>
  <c r="I9" i="11"/>
  <c r="I8" i="11"/>
  <c r="F141" i="10"/>
  <c r="F140" i="10"/>
  <c r="F139" i="10"/>
  <c r="F138" i="10"/>
  <c r="F135" i="10"/>
  <c r="F134" i="10"/>
  <c r="F133" i="10"/>
  <c r="F132" i="10"/>
  <c r="F129" i="10"/>
  <c r="F128" i="10"/>
  <c r="F127" i="10"/>
  <c r="F126" i="10"/>
  <c r="F123" i="10"/>
  <c r="F122" i="10"/>
  <c r="F121" i="10"/>
  <c r="F120" i="10"/>
  <c r="F117" i="10"/>
  <c r="F116" i="10"/>
  <c r="F115" i="10"/>
  <c r="F114" i="10"/>
  <c r="G110" i="10"/>
  <c r="G108" i="10"/>
  <c r="F108" i="10"/>
  <c r="G107" i="10"/>
  <c r="F107" i="10"/>
  <c r="G106" i="10"/>
  <c r="F106" i="10"/>
  <c r="G105" i="10"/>
  <c r="F105" i="10"/>
  <c r="G104" i="10"/>
  <c r="G102" i="10"/>
  <c r="F102" i="10"/>
  <c r="G101" i="10"/>
  <c r="F101" i="10"/>
  <c r="G100" i="10"/>
  <c r="G99" i="10"/>
  <c r="G98" i="10"/>
  <c r="G96" i="10"/>
  <c r="F96" i="10"/>
  <c r="G95" i="10"/>
  <c r="G94" i="10"/>
  <c r="G93" i="10"/>
  <c r="G92" i="10"/>
  <c r="G90" i="10"/>
  <c r="F90" i="10"/>
  <c r="G89" i="10"/>
  <c r="G88" i="10"/>
  <c r="G87" i="10"/>
  <c r="G86" i="10"/>
  <c r="G84" i="10"/>
  <c r="F84" i="10"/>
  <c r="G83" i="10"/>
  <c r="G82" i="10"/>
  <c r="G81" i="10"/>
  <c r="F68" i="10"/>
  <c r="F67" i="10"/>
  <c r="F66" i="10"/>
  <c r="F65" i="10"/>
  <c r="F62" i="10"/>
  <c r="F61" i="10"/>
  <c r="F60" i="10"/>
  <c r="F59" i="10"/>
  <c r="F56" i="10"/>
  <c r="F55" i="10"/>
  <c r="F54" i="10"/>
  <c r="F53" i="10"/>
  <c r="F50" i="10"/>
  <c r="F49" i="10"/>
  <c r="F48" i="10"/>
  <c r="F47" i="10"/>
  <c r="F44" i="10"/>
  <c r="F43" i="10"/>
  <c r="G37" i="10"/>
  <c r="G35" i="10"/>
  <c r="F35" i="10"/>
  <c r="G34" i="10"/>
  <c r="F34" i="10"/>
  <c r="G33" i="10"/>
  <c r="F33" i="10"/>
  <c r="G32" i="10"/>
  <c r="F32" i="10"/>
  <c r="G31" i="10"/>
  <c r="G29" i="10"/>
  <c r="F29" i="10"/>
  <c r="G28" i="10"/>
  <c r="F28" i="10"/>
  <c r="G27" i="10"/>
  <c r="G26" i="10"/>
  <c r="G25" i="10"/>
  <c r="G23" i="10"/>
  <c r="F23" i="10"/>
  <c r="G22" i="10"/>
  <c r="F22" i="10"/>
  <c r="G21" i="10"/>
  <c r="G20" i="10"/>
  <c r="G19" i="10"/>
  <c r="G17" i="10"/>
  <c r="F17" i="10"/>
  <c r="G16" i="10"/>
  <c r="G15" i="10"/>
  <c r="G14" i="10"/>
  <c r="G13" i="10"/>
  <c r="G11" i="10"/>
  <c r="F11" i="10"/>
  <c r="G10" i="10"/>
  <c r="G9" i="10"/>
  <c r="G8" i="10"/>
  <c r="I108" i="9"/>
  <c r="I106" i="9"/>
  <c r="I105" i="9"/>
  <c r="I104" i="9"/>
  <c r="I103" i="9"/>
  <c r="I102" i="9"/>
  <c r="I100" i="9"/>
  <c r="I99" i="9"/>
  <c r="I98" i="9"/>
  <c r="I97" i="9"/>
  <c r="I96" i="9"/>
  <c r="I94" i="9"/>
  <c r="I93" i="9"/>
  <c r="I92" i="9"/>
  <c r="I91" i="9"/>
  <c r="I90" i="9"/>
  <c r="I88" i="9"/>
  <c r="I87" i="9"/>
  <c r="I86" i="9"/>
  <c r="I85" i="9"/>
  <c r="I84" i="9"/>
  <c r="I82" i="9"/>
  <c r="I81" i="9"/>
  <c r="I80" i="9"/>
  <c r="I79" i="9"/>
  <c r="I37" i="9"/>
  <c r="I35" i="9"/>
  <c r="I34" i="9"/>
  <c r="I33" i="9"/>
  <c r="I32" i="9"/>
  <c r="I31" i="9"/>
  <c r="I29" i="9"/>
  <c r="I28" i="9"/>
  <c r="I27" i="9"/>
  <c r="I26" i="9"/>
  <c r="I25" i="9"/>
  <c r="I23" i="9"/>
  <c r="I22" i="9"/>
  <c r="I21" i="9"/>
  <c r="I20" i="9"/>
  <c r="I19" i="9"/>
  <c r="I17" i="9"/>
  <c r="I16" i="9"/>
  <c r="I15" i="9"/>
  <c r="I14" i="9"/>
  <c r="I13" i="9"/>
  <c r="I11" i="9"/>
  <c r="I10" i="9"/>
  <c r="I9" i="9"/>
  <c r="I8" i="9"/>
  <c r="I108" i="8"/>
  <c r="I106" i="8"/>
  <c r="I105" i="8"/>
  <c r="I104" i="8"/>
  <c r="I103" i="8"/>
  <c r="I102" i="8"/>
  <c r="I100" i="8"/>
  <c r="I99" i="8"/>
  <c r="I98" i="8"/>
  <c r="I97" i="8"/>
  <c r="I96" i="8"/>
  <c r="I94" i="8"/>
  <c r="I93" i="8"/>
  <c r="I92" i="8"/>
  <c r="I91" i="8"/>
  <c r="I90" i="8"/>
  <c r="I88" i="8"/>
  <c r="I87" i="8"/>
  <c r="I86" i="8"/>
  <c r="I85" i="8"/>
  <c r="I84" i="8"/>
  <c r="I82" i="8"/>
  <c r="I81" i="8"/>
  <c r="I80" i="8"/>
  <c r="I79" i="8"/>
</calcChain>
</file>

<file path=xl/sharedStrings.xml><?xml version="1.0" encoding="utf-8"?>
<sst xmlns="http://schemas.openxmlformats.org/spreadsheetml/2006/main" count="7916" uniqueCount="435">
  <si>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</si>
  <si>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</si>
  <si>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</si>
  <si>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</si>
  <si>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</si>
  <si>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 xml:space="preserve">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
</t>
  </si>
  <si>
    <t>Features and Benefits
Strictly for PIAS' FA Representatives reference only
(Not for circulation to Prospects or Clients)</t>
  </si>
  <si>
    <t>Provider</t>
  </si>
  <si>
    <t>Singlife</t>
  </si>
  <si>
    <t>China Life</t>
  </si>
  <si>
    <t>China Taiping</t>
  </si>
  <si>
    <t>Etiqa</t>
  </si>
  <si>
    <t>Manulife</t>
  </si>
  <si>
    <t>Income</t>
  </si>
  <si>
    <t>Tokio Marine</t>
  </si>
  <si>
    <t>Plan Name</t>
  </si>
  <si>
    <t>Singlife Simple Term
(formerly known as MySimpleTermPlan)</t>
  </si>
  <si>
    <t>Term Guardian</t>
  </si>
  <si>
    <t>Term Guardian Plus</t>
  </si>
  <si>
    <t>i-Protect</t>
  </si>
  <si>
    <t>Essential Term Life Cover</t>
  </si>
  <si>
    <t>ManuProtect Term II</t>
  </si>
  <si>
    <t>Star Term Protect</t>
  </si>
  <si>
    <t>Termlife Solitaire</t>
  </si>
  <si>
    <t>Term Assure II</t>
  </si>
  <si>
    <t>Basic Coverage</t>
  </si>
  <si>
    <r>
      <t xml:space="preserve">Death / TI / </t>
    </r>
    <r>
      <rPr>
        <b/>
        <sz val="11"/>
        <color rgb="FF0000FF"/>
        <rFont val="Calibri"/>
        <family val="2"/>
        <scheme val="minor"/>
      </rPr>
      <t>TPD</t>
    </r>
  </si>
  <si>
    <t>Death / TI</t>
  </si>
  <si>
    <t>TPD  (max coverage)</t>
  </si>
  <si>
    <t>Compulsory (age 86)</t>
  </si>
  <si>
    <t>Optional (age 85)</t>
  </si>
  <si>
    <t xml:space="preserve">Optional (age 99) </t>
  </si>
  <si>
    <t>Compulsory (age 65)</t>
  </si>
  <si>
    <t>Compulsory (age 85)</t>
  </si>
  <si>
    <t>Optional (age 86)</t>
  </si>
  <si>
    <t>Compulsory (age 70)</t>
  </si>
  <si>
    <t>Optional (age 70)</t>
  </si>
  <si>
    <r>
      <t xml:space="preserve">Policy Term 
</t>
    </r>
    <r>
      <rPr>
        <b/>
        <sz val="11"/>
        <color theme="9" tint="-0.249977111117893"/>
        <rFont val="Calibri"/>
        <family val="2"/>
        <scheme val="minor"/>
      </rPr>
      <t>(Level)</t>
    </r>
  </si>
  <si>
    <t>N.A.</t>
  </si>
  <si>
    <r>
      <t>11 years to 85 ANB (at every one-year interval) or u</t>
    </r>
    <r>
      <rPr>
        <sz val="11"/>
        <color rgb="FF0000FF"/>
        <rFont val="Calibri"/>
        <family val="2"/>
        <scheme val="minor"/>
      </rPr>
      <t>p to 99 ANB</t>
    </r>
  </si>
  <si>
    <t xml:space="preserve">20 years / To age 64 ALB
</t>
  </si>
  <si>
    <t xml:space="preserve">
11 - 40 years (max age 85) at every 1 year interval or up to age 65/75/85
</t>
  </si>
  <si>
    <r>
      <t xml:space="preserve">10 years to 86 ANB (at every one-year interval) or up to </t>
    </r>
    <r>
      <rPr>
        <sz val="11"/>
        <color rgb="FF0000CC"/>
        <rFont val="Calibri"/>
        <family val="2"/>
        <scheme val="minor"/>
      </rPr>
      <t>100 ANB</t>
    </r>
  </si>
  <si>
    <t>11 - 40 years (max age 85) or up to age 65/75/85</t>
  </si>
  <si>
    <t>to age 54 / 64 / 74 ALB</t>
  </si>
  <si>
    <r>
      <t>to age 64 / 74 / 84 /</t>
    </r>
    <r>
      <rPr>
        <sz val="11"/>
        <color rgb="FF0000CC"/>
        <rFont val="Calibri"/>
        <family val="2"/>
        <scheme val="minor"/>
      </rPr>
      <t xml:space="preserve"> 100 ALB</t>
    </r>
  </si>
  <si>
    <t>11 years - 85 ANB</t>
  </si>
  <si>
    <r>
      <t xml:space="preserve">Policy Term </t>
    </r>
    <r>
      <rPr>
        <b/>
        <sz val="11"/>
        <color rgb="FF0070C0"/>
        <rFont val="Calibri"/>
        <family val="2"/>
        <scheme val="minor"/>
      </rPr>
      <t>(Guaranteed Renewability)</t>
    </r>
  </si>
  <si>
    <t xml:space="preserve">Yearly Renewable
(max renewable age 85 ANB) coverage till 86 ANB
</t>
  </si>
  <si>
    <t>5 / 10 years
(max renewal age 99)</t>
  </si>
  <si>
    <t>5 years
(max renewal age 79)</t>
  </si>
  <si>
    <t>To age 75 ALB / To age 85 ALB</t>
  </si>
  <si>
    <t>5 / 10 years 
(max renewal to age 84)</t>
  </si>
  <si>
    <t>5 years 
(max renewable age 85 ANB)</t>
  </si>
  <si>
    <t>5 / 10 years
(max renewal to age 85)</t>
  </si>
  <si>
    <t>5 / 10 / 15 / 20 / 25 / 30 / 35 years
(max renew to age 84)</t>
  </si>
  <si>
    <t>10 / 15 / 20 / 25 / 30 / 35 / 40 years
(max renewal at age 75)</t>
  </si>
  <si>
    <t>5 / 10 years
(max renewal age 80 / 75)</t>
  </si>
  <si>
    <t>Minimum Sum Assured</t>
  </si>
  <si>
    <t>$100,000
(Applicable to all 4 currencies)</t>
  </si>
  <si>
    <t>$2,481
(based on min. annual  premium of $$115.40)</t>
  </si>
  <si>
    <t>Maximum Sum Assured</t>
  </si>
  <si>
    <t>Subject to underwriting</t>
  </si>
  <si>
    <t>Subjected to underwriting</t>
  </si>
  <si>
    <t>$20mil / life</t>
  </si>
  <si>
    <t>$99,999,000 (PI limit)</t>
  </si>
  <si>
    <t>Entry Age (Min - Max)</t>
  </si>
  <si>
    <t xml:space="preserve">Policyholder: 17- 99 (ANB) 
3rd Party Life Insured: 1 - 65 (ANB)
Single Life Insured: 17 - 65 (ANB) 
</t>
  </si>
  <si>
    <t xml:space="preserve">Policyholder: 17- 99 (ANB) 
3rd Party Life Insured: 1 - 75 (ANB)
Single Life Insured: 17 - 75 (ANB) 
</t>
  </si>
  <si>
    <t>Life Insured &amp; Policyholder:
5/20-year term: 18 - 64 (ALB) 
To age 64: 18 - 59 (ALB)</t>
  </si>
  <si>
    <r>
      <t xml:space="preserve">Policyholder:
18 – 70 (ALB)
Life Assured:
</t>
    </r>
    <r>
      <rPr>
        <sz val="11"/>
        <color rgb="FF0000CC"/>
        <rFont val="Calibri"/>
        <family val="2"/>
        <scheme val="minor"/>
      </rPr>
      <t xml:space="preserve">15 days </t>
    </r>
    <r>
      <rPr>
        <sz val="11"/>
        <rFont val="Calibri"/>
        <family val="2"/>
        <scheme val="minor"/>
      </rPr>
      <t>to age 70 (ALB)</t>
    </r>
  </si>
  <si>
    <t>Life Insured &amp; Policyholder:
Renewable 5,10 years = 19 - 70 (ANB)
Level (11-40 years) = 19-70 (ANB)
to age 65 = 19-54 (ANB)
to age 75 = 19-64 (ANB)
to age 85 = 19 - 70 (ANB)</t>
  </si>
  <si>
    <t xml:space="preserve">Policyholder: 17- 75 (ANB) 
Life Assured:
5 years (renewable): 1 - 70 (ANB)
10 years – To age 86: 1 – 70 (ANB) 
To age 100: 1 – 70 (ANB)
</t>
  </si>
  <si>
    <t>Policyholder: 16 - 70 (ALB)
Life Insured: 0 - 70 (ALB)</t>
  </si>
  <si>
    <t>Policyholder: 
16 – N.A. (ALB)
Life Insured:
5, 10, 15, 20, 25, 30, 35 years: 0 - 79 (ALB)
Up to age 54: 0 – 49 (ALB)
Up to age 64: 0 – 59 (ALB)
Up to age 74: 0 – 69 (ALB)</t>
  </si>
  <si>
    <t>Policyholder: 16 – N.A. (ALB)
Life Insured:
Policy term 10, 15 ,20, 25, up to age 84 and up to age 100: 18 - 74 years (ALB)
30: 18 - 70 (ALB)
35: 18 - 65 (ALB)
40: 18 - 60 (ALB)
up to age 64: 18 - 54 (ALB)
up to age 74: 18 - 64 (ALB)</t>
  </si>
  <si>
    <t>Policyholder: 19 - 70
Life Insured: 1 - 70 (ANB)</t>
  </si>
  <si>
    <t>Currency</t>
  </si>
  <si>
    <t>SGD</t>
  </si>
  <si>
    <t>SGD/ USD/ GBP/ EUR/ AUD/ HKD</t>
  </si>
  <si>
    <t>SGD/USD/GBP/AUD</t>
  </si>
  <si>
    <t>Guaranteed Convertibility</t>
  </si>
  <si>
    <t>Up to age 65</t>
  </si>
  <si>
    <t>Up to age 66</t>
  </si>
  <si>
    <t>Up to age 60</t>
  </si>
  <si>
    <t>GIO at life event</t>
  </si>
  <si>
    <t>Increase up to $500K for a maximum of 6 key life events per insured</t>
  </si>
  <si>
    <t>Option to purchase a new whole life or term policy from China Life on the life insured without evidence of insurability up to $200,000 during 4 covered life-stage events.
The maximum coverage amount of the new policy purchased
using this benefit should not be higher than the coverage amount of the original policy in any year, or S$200,000, whichever is lower.</t>
  </si>
  <si>
    <t>Increase up to $500K for a maximum of 2 key life events per insured</t>
  </si>
  <si>
    <t>- Option to purchase a new insurance policy ("GIAI insurance") and a disability benefit made available to the GIAI insurance at TMLS discretion at the time this GIAI option is exercised, on the life assured's life, without further medical evidence of the life assured
-The sum insured of the new policy is limited to a maximum of $500,000 or 50% of the basic sum assured, whichever is lower (for policies issued in other currencies, a conversion rate as determined by TMLS will apply)</t>
  </si>
  <si>
    <t>Increase in Sum Assured
(With exception on the option to increase sum insured due to key life events)</t>
  </si>
  <si>
    <t>Not allowed</t>
  </si>
  <si>
    <t>Yes, allowed before policy is incepted.</t>
  </si>
  <si>
    <t>Yes, allowed within the first 6 months, subject to underwriting and sum assured limits</t>
  </si>
  <si>
    <t>Yes, allowed within the first 12 months, subject to underwriting and sum assured limits</t>
  </si>
  <si>
    <t>Yes, allowed within the first 12 months, subject to underwriting</t>
  </si>
  <si>
    <t xml:space="preserve">Decreased in Sum Assured </t>
  </si>
  <si>
    <t>Yes, allowed and subject to the minimum sum assured.</t>
  </si>
  <si>
    <t>Yes, allowed and subject to minimum
sum insured.</t>
  </si>
  <si>
    <t>Yes, allowed and subject to minimum requirements under the policy.</t>
  </si>
  <si>
    <t>Yes, allowed and subject to the minimum sum assured limit and premium.</t>
  </si>
  <si>
    <t>Yes, allowed and subject to the minimum sum assured limit of the basic policy. It can be done anytime but there is no refund of difference in premium</t>
  </si>
  <si>
    <t>Yes, allowed and subject to the minimum sum assured limit of the basic policy. It can be done anytime but there is no refund of the difference in premium.</t>
  </si>
  <si>
    <t>Joint-Lives Allowed</t>
  </si>
  <si>
    <t>No</t>
  </si>
  <si>
    <t>Yes</t>
  </si>
  <si>
    <t>Option to buy on corporate website</t>
  </si>
  <si>
    <t>Yes (no commission for advisers if customers buy via this option)</t>
  </si>
  <si>
    <t>Other USP</t>
  </si>
  <si>
    <r>
      <t xml:space="preserve">- </t>
    </r>
    <r>
      <rPr>
        <sz val="11"/>
        <color rgb="FF0000FF"/>
        <rFont val="Calibri"/>
        <family val="2"/>
        <scheme val="minor"/>
      </rPr>
      <t>Has a simplified underwriting process as compared to the other term plans where full underwriting is required</t>
    </r>
    <r>
      <rPr>
        <sz val="11"/>
        <color theme="1"/>
        <rFont val="Calibri"/>
        <family val="2"/>
        <scheme val="minor"/>
      </rPr>
      <t xml:space="preserve">
- Unique Personal Accident cover as an optional rider</t>
    </r>
  </si>
  <si>
    <t>- Interim accidental death benefit (up to $500,000 or its equivalent in other currencies )
- Joint lives application</t>
  </si>
  <si>
    <t>-</t>
  </si>
  <si>
    <r>
      <rPr>
        <sz val="11"/>
        <color rgb="FF0000CC"/>
        <rFont val="Calibri"/>
        <family val="2"/>
        <scheme val="minor"/>
      </rPr>
      <t>- Terminal Cancer benefit</t>
    </r>
  </si>
  <si>
    <t>- Total of 55 CI conditions are covered under AdvancedCare Rider</t>
  </si>
  <si>
    <t>- Provides an upfront payment (up to $3,000) of funeral expense financial aid from Death Benefit</t>
  </si>
  <si>
    <t>- Quit Smoking Incentive
- Preferred rates available for $1mil Sum Assured and above</t>
  </si>
  <si>
    <t>- Guaranteed Insurability Option upon milestone events
- Early Critical Illness Coverage (add rider)</t>
  </si>
  <si>
    <t>Riders</t>
  </si>
  <si>
    <t>- Critical Illness cover
- Personal Accident cover</t>
  </si>
  <si>
    <r>
      <rPr>
        <sz val="11"/>
        <rFont val="Calibri"/>
        <family val="2"/>
        <scheme val="minor"/>
      </rPr>
      <t>- MultiPay Critical Illness Cover IV
- Early Critical Illness Cover II</t>
    </r>
    <r>
      <rPr>
        <sz val="11"/>
        <color rgb="FFFF0000"/>
        <rFont val="Calibri"/>
        <family val="2"/>
        <scheme val="minor"/>
      </rPr>
      <t xml:space="preserve">
</t>
    </r>
    <r>
      <rPr>
        <sz val="11"/>
        <rFont val="Calibri"/>
        <family val="2"/>
        <scheme val="minor"/>
      </rPr>
      <t>- Total and Permanent Disability Advance Cover Plus III</t>
    </r>
    <r>
      <rPr>
        <sz val="11"/>
        <color rgb="FFFF0000"/>
        <rFont val="Calibri"/>
        <family val="2"/>
        <scheme val="minor"/>
      </rPr>
      <t xml:space="preserve">
</t>
    </r>
    <r>
      <rPr>
        <sz val="11"/>
        <rFont val="Calibri"/>
        <family val="2"/>
        <scheme val="minor"/>
      </rPr>
      <t>- Critical Illness Advance Cover Plus IV
- Singlife Big 3 Critical Illness Cover</t>
    </r>
    <r>
      <rPr>
        <sz val="11"/>
        <color rgb="FFFF0000"/>
        <rFont val="Calibri"/>
        <family val="2"/>
        <scheme val="minor"/>
      </rPr>
      <t xml:space="preserve">
</t>
    </r>
    <r>
      <rPr>
        <sz val="11"/>
        <rFont val="Calibri"/>
        <family val="2"/>
        <scheme val="minor"/>
      </rPr>
      <t>- Critical Illness Premium Waiver II</t>
    </r>
    <r>
      <rPr>
        <sz val="11"/>
        <color rgb="FFFF0000"/>
        <rFont val="Calibri"/>
        <family val="2"/>
        <scheme val="minor"/>
      </rPr>
      <t xml:space="preserve">
</t>
    </r>
    <r>
      <rPr>
        <sz val="11"/>
        <rFont val="Calibri"/>
        <family val="2"/>
        <scheme val="minor"/>
      </rPr>
      <t>- Payer Critical Illness Premium Waiver II</t>
    </r>
    <r>
      <rPr>
        <sz val="11"/>
        <color rgb="FFFF0000"/>
        <rFont val="Calibri"/>
        <family val="2"/>
        <scheme val="minor"/>
      </rPr>
      <t xml:space="preserve">
</t>
    </r>
    <r>
      <rPr>
        <sz val="11"/>
        <rFont val="Calibri"/>
        <family val="2"/>
        <scheme val="minor"/>
      </rPr>
      <t>- Payer Premium Waiver Benefit</t>
    </r>
  </si>
  <si>
    <t xml:space="preserve">-  Early Critical Care Rider  (attachable to 5-year renewable term and 20-year term only).
- Critical Care Rider
- Premium Waiver Rider
- Payer Benefit Rider
- Enhanced Payer Benefit Rider
</t>
  </si>
  <si>
    <t>- Premium Waiver Rider
- Payer Benefit Rider
- Enhanced Payer Benefit Rider</t>
  </si>
  <si>
    <t>- DisabilityCare Rider
- AdvancedCare Rider
- EarlyCare Rider
- Enhanced Waiver Rider
- Payer Rider
- Enhanced Payer Rider
- Early Waiver Rider
- Early Payer Rider
- Early Spouse Rider</t>
  </si>
  <si>
    <t>- Extra disability care Rider
- Advanced CI Rider
- Early CI Rider
- Extra secure waiver</t>
  </si>
  <si>
    <t>- Critical Care Enhancer Rider (II)
- Accidental Death Benefit
- Total and Permanent Disability Plus Rider (II)
- Critical Care Waiver Rider (II)
- Payor benefit rider (I)
- Payor benefit plus rider (I)
- Payor benefit plus rider (I) spouse
- Early Critical Care Waiver Rider</t>
  </si>
  <si>
    <r>
      <rPr>
        <sz val="11"/>
        <color rgb="FF0000CC"/>
        <rFont val="Calibri"/>
        <family val="2"/>
        <scheme val="minor"/>
      </rPr>
      <t>- Hospital CashAid</t>
    </r>
    <r>
      <rPr>
        <sz val="11"/>
        <color theme="1"/>
        <rFont val="Calibri"/>
        <family val="2"/>
        <scheme val="minor"/>
      </rPr>
      <t xml:space="preserve">
- Disability Accelerator
- Total Protect
- Payor Premium Waiver
- Enhanced Payor Premium Waiver
- Dread Disease Premium Waiver</t>
    </r>
  </si>
  <si>
    <t>- CriticaI Illness Accelerator Rider
- Early Critical Illness Accelerator Rider
- Total and Permanent Disability Rider (embedded)
- Waiver of Premium Rider and Enhanced Payer benefit Rider
- Early Critical Illness Premium Waiver Rider
- KidAssure GIO Rider
- Protect 1 Lite Rider</t>
  </si>
  <si>
    <t>Male, Non Smoker</t>
  </si>
  <si>
    <t>Lowest Premium</t>
  </si>
  <si>
    <t>Sum Assured (Death/TI/TPD/CI)</t>
  </si>
  <si>
    <t>$250K</t>
  </si>
  <si>
    <t>Notes</t>
  </si>
  <si>
    <r>
      <t xml:space="preserve">Simple Term
</t>
    </r>
    <r>
      <rPr>
        <b/>
        <sz val="10"/>
        <color rgb="FF000000"/>
        <rFont val="Calibri"/>
        <family val="2"/>
      </rPr>
      <t>(formerly known as MySimpleTermPlan)</t>
    </r>
    <r>
      <rPr>
        <b/>
        <sz val="12"/>
        <color rgb="FF000000"/>
        <rFont val="Calibri"/>
        <family val="2"/>
      </rPr>
      <t xml:space="preserve">
</t>
    </r>
  </si>
  <si>
    <t>Elite Term II</t>
  </si>
  <si>
    <t>Base Plan + TPD</t>
  </si>
  <si>
    <t>Death/TI/</t>
  </si>
  <si>
    <t>TPD (till age 86)</t>
  </si>
  <si>
    <t>TPD (till age 85)</t>
  </si>
  <si>
    <t>TPD (till age 70)</t>
  </si>
  <si>
    <t>ALB/ANB</t>
  </si>
  <si>
    <t>Policy Term</t>
  </si>
  <si>
    <t>ANB</t>
  </si>
  <si>
    <t>ALB</t>
  </si>
  <si>
    <t>29/30</t>
  </si>
  <si>
    <r>
      <t xml:space="preserve">to age 85 </t>
    </r>
    <r>
      <rPr>
        <sz val="12"/>
        <color rgb="FF0070C0"/>
        <rFont val="Calibri"/>
        <family val="2"/>
      </rPr>
      <t>(55)</t>
    </r>
  </si>
  <si>
    <t>Base Cover: $106.90</t>
  </si>
  <si>
    <t>Base Cover: $184.60</t>
  </si>
  <si>
    <t>Total: $106.90
(Yearly renewal)</t>
  </si>
  <si>
    <t>Total: $184.60
(10 year renewal)</t>
  </si>
  <si>
    <t>Total premium payable: $126,802
(over 55 years)</t>
  </si>
  <si>
    <t>Total premium payable: 
$144,038
(over 55 years)</t>
  </si>
  <si>
    <t>Base Plan + TPD + Accelerated CI</t>
  </si>
  <si>
    <t>CI Cover</t>
  </si>
  <si>
    <t>CI Advance Cover Plus III</t>
  </si>
  <si>
    <t>CI Advance Cover Plus IV</t>
  </si>
  <si>
    <t>AdvancedCare</t>
  </si>
  <si>
    <t>Critical Care Enhancer II</t>
  </si>
  <si>
    <t>CI Rider: $162.50</t>
  </si>
  <si>
    <t>Total: $269.40 
(Yearly renewal)</t>
  </si>
  <si>
    <t>Total premium payable: $427,364
(over 55 years)</t>
  </si>
  <si>
    <t>Female, Non Smoker</t>
  </si>
  <si>
    <t>MySimpleTermPlan</t>
  </si>
  <si>
    <t>Base Cover: $80.75</t>
  </si>
  <si>
    <t>Base Cover: $141.35</t>
  </si>
  <si>
    <t>Total: $80.75
(Yearly renewal)</t>
  </si>
  <si>
    <r>
      <t>Tot</t>
    </r>
    <r>
      <rPr>
        <sz val="12"/>
        <rFont val="Calibri"/>
        <family val="2"/>
      </rPr>
      <t>al: $141.35</t>
    </r>
    <r>
      <rPr>
        <sz val="12"/>
        <color theme="1"/>
        <rFont val="Calibri"/>
        <family val="2"/>
      </rPr>
      <t xml:space="preserve">
(10 year renewal)</t>
    </r>
  </si>
  <si>
    <t>Total premium payable: 
$104,676
(over 55 years)</t>
  </si>
  <si>
    <t>Total premium payable: 
$126,702
(over 55 years)</t>
  </si>
  <si>
    <t>CI Rider: $212.50</t>
  </si>
  <si>
    <t>Total: $293.25
(Yearly renewal)</t>
  </si>
  <si>
    <t>Total premium payable: $265,263.50
(over 55 years)</t>
  </si>
  <si>
    <t>Sum Assured
(Death/TPD/TI)</t>
  </si>
  <si>
    <t>$500K</t>
  </si>
  <si>
    <t>Sum Assured
(CI)</t>
  </si>
  <si>
    <t>$350K</t>
  </si>
  <si>
    <t xml:space="preserve">Simple Term
(formerly known as MySimpleTermPlan)
</t>
  </si>
  <si>
    <t>ALB / ANB</t>
  </si>
  <si>
    <t>39/40</t>
  </si>
  <si>
    <r>
      <t xml:space="preserve">to age 85 </t>
    </r>
    <r>
      <rPr>
        <sz val="12"/>
        <color rgb="FF0070C0"/>
        <rFont val="Calibri"/>
        <family val="2"/>
      </rPr>
      <t>(45)</t>
    </r>
  </si>
  <si>
    <t>Base Cover: $228</t>
  </si>
  <si>
    <t>Base Cover: $264.85
TPD rider: $44.35</t>
  </si>
  <si>
    <t>Base Cover: $329.36
TPD rider: $36.80</t>
  </si>
  <si>
    <t>Total: $228
(Yearly renewable)</t>
  </si>
  <si>
    <t>Total: $309.20
(10 year renewal)</t>
  </si>
  <si>
    <t>Total: $366.16
(10 year renewal)</t>
  </si>
  <si>
    <t>Total premium payable:
 $211,568
(over 45 years)</t>
  </si>
  <si>
    <t>Total premium payable:
 $216,769
(over 45 years)</t>
  </si>
  <si>
    <t>CI Rider: $525</t>
  </si>
  <si>
    <t>CI Rider: $557.50</t>
  </si>
  <si>
    <t>CI Rider: $558.35</t>
  </si>
  <si>
    <t>Total: $753
(Yearly renewable)</t>
  </si>
  <si>
    <t>Total: $866.70
(10 year renewal)</t>
  </si>
  <si>
    <t>Total: $924.51
(10 year renewal)</t>
  </si>
  <si>
    <t>Total premium payable:
 $628,365.50
(over 45 years)</t>
  </si>
  <si>
    <t>Total premium payable:
 $484,043
(over 45 years)</t>
  </si>
  <si>
    <t>Base Cover: $208</t>
  </si>
  <si>
    <t>Base Cover: $244.35
TPD rider: $35.15</t>
  </si>
  <si>
    <t>Base Cover: $283.83
TPD rider: $31.74</t>
  </si>
  <si>
    <t>Total: $208
(yearly renewal)</t>
  </si>
  <si>
    <t>Total: $279.5
(10 year renewal)</t>
  </si>
  <si>
    <t>Total: $315.57
(10 year renewal)</t>
  </si>
  <si>
    <t>Total premium payable:
$174,648
(over 45 years)</t>
  </si>
  <si>
    <t>Total premium payable:
$147,946
(over 45 years)</t>
  </si>
  <si>
    <t>Base Cover: $315.56
TPD rider: $31.74</t>
  </si>
  <si>
    <t>CI Rider: $735</t>
  </si>
  <si>
    <t>CI Rider: $884.20</t>
  </si>
  <si>
    <t>CI Rider: $711.63</t>
  </si>
  <si>
    <t>Total: $943
(yearly renewal)</t>
  </si>
  <si>
    <t>Total: $1,027.18
(10 year renewal)</t>
  </si>
  <si>
    <t>Total premium payable:
 $393,958.00
(over 45 years)</t>
  </si>
  <si>
    <t>Total premium payable:
 $352,683
(over 45 years)</t>
  </si>
  <si>
    <t>2nd Lowest Premium</t>
  </si>
  <si>
    <t>TermLife Solitaire</t>
  </si>
  <si>
    <t>Coverage</t>
  </si>
  <si>
    <t>TPD (till age 65)</t>
  </si>
  <si>
    <r>
      <t>5 (</t>
    </r>
    <r>
      <rPr>
        <sz val="11"/>
        <color rgb="FF0070C0"/>
        <rFont val="Calibri"/>
        <family val="2"/>
      </rPr>
      <t>renewal</t>
    </r>
    <r>
      <rPr>
        <sz val="11"/>
        <color rgb="FF000000"/>
        <rFont val="Calibri"/>
        <family val="2"/>
      </rPr>
      <t>)</t>
    </r>
  </si>
  <si>
    <r>
      <t>10 (</t>
    </r>
    <r>
      <rPr>
        <sz val="11"/>
        <color rgb="FF0070C0"/>
        <rFont val="Calibri"/>
        <family val="2"/>
      </rPr>
      <t>renewal</t>
    </r>
    <r>
      <rPr>
        <sz val="11"/>
        <color rgb="FF000000"/>
        <rFont val="Calibri"/>
        <family val="2"/>
      </rPr>
      <t>)</t>
    </r>
  </si>
  <si>
    <r>
      <t>to age 65 (</t>
    </r>
    <r>
      <rPr>
        <sz val="11"/>
        <color rgb="FF0070C0"/>
        <rFont val="Calibri"/>
        <family val="2"/>
      </rPr>
      <t>25</t>
    </r>
    <r>
      <rPr>
        <sz val="11"/>
        <color rgb="FF000000"/>
        <rFont val="Calibri"/>
        <family val="2"/>
      </rPr>
      <t>)</t>
    </r>
  </si>
  <si>
    <r>
      <t>to age 85 (</t>
    </r>
    <r>
      <rPr>
        <sz val="11"/>
        <color rgb="FF0070C0"/>
        <rFont val="Calibri"/>
        <family val="2"/>
      </rPr>
      <t>45</t>
    </r>
    <r>
      <rPr>
        <sz val="11"/>
        <color rgb="FF000000"/>
        <rFont val="Calibri"/>
        <family val="2"/>
      </rPr>
      <t>)</t>
    </r>
  </si>
  <si>
    <r>
      <t>to age 99 (</t>
    </r>
    <r>
      <rPr>
        <sz val="11"/>
        <color rgb="FF0070C0"/>
        <rFont val="Calibri"/>
        <family val="2"/>
      </rPr>
      <t>59</t>
    </r>
    <r>
      <rPr>
        <sz val="11"/>
        <color rgb="FF000000"/>
        <rFont val="Calibri"/>
        <family val="2"/>
      </rPr>
      <t>)</t>
    </r>
  </si>
  <si>
    <r>
      <t>to age 100 (</t>
    </r>
    <r>
      <rPr>
        <sz val="11"/>
        <color rgb="FF0070C0"/>
        <rFont val="Calibri"/>
        <family val="2"/>
      </rPr>
      <t>60</t>
    </r>
    <r>
      <rPr>
        <sz val="11"/>
        <color rgb="FF000000"/>
        <rFont val="Calibri"/>
        <family val="2"/>
      </rPr>
      <t>)</t>
    </r>
  </si>
  <si>
    <t>Coverage + Accelerated CI</t>
  </si>
  <si>
    <t>Critical Care Rider</t>
  </si>
  <si>
    <t>AdvancedCare Rider</t>
  </si>
  <si>
    <t>Advanced CI Rider</t>
  </si>
  <si>
    <t>Critical Care Enhancer Rider (II)</t>
  </si>
  <si>
    <t>Critical Illness Accelerator</t>
  </si>
  <si>
    <t xml:space="preserve">Singlife
Elite Term II
</t>
  </si>
  <si>
    <t>China Life
Term Guardian</t>
  </si>
  <si>
    <t>China Taiping
i-Protect</t>
  </si>
  <si>
    <t>Etiqa Essential Term Life Cover</t>
  </si>
  <si>
    <t>Manulife
ManuProtect Term II</t>
  </si>
  <si>
    <t>Income
TermLife Solitaire</t>
  </si>
  <si>
    <t>Tokio Marine
Term Assure II</t>
  </si>
  <si>
    <t>Death/TI/
TPD (till age 85)</t>
  </si>
  <si>
    <t>Death/TI/
TPD (till age 65)</t>
  </si>
  <si>
    <t>Death/TI/
TPD (till age 86)</t>
  </si>
  <si>
    <t>Death/TI/
TPD (till age 70)</t>
  </si>
  <si>
    <t>29 / 30</t>
  </si>
  <si>
    <r>
      <t>5 (</t>
    </r>
    <r>
      <rPr>
        <sz val="11"/>
        <color rgb="FF0070C0"/>
        <rFont val="Calibri"/>
        <family val="2"/>
        <scheme val="minor"/>
      </rPr>
      <t>renewal</t>
    </r>
    <r>
      <rPr>
        <sz val="11"/>
        <color theme="1"/>
        <rFont val="Calibri"/>
        <family val="2"/>
        <scheme val="minor"/>
      </rPr>
      <t>)</t>
    </r>
  </si>
  <si>
    <r>
      <t>10 (</t>
    </r>
    <r>
      <rPr>
        <sz val="11"/>
        <color rgb="FF0070C0"/>
        <rFont val="Calibri"/>
        <family val="2"/>
        <scheme val="minor"/>
      </rPr>
      <t>renewal</t>
    </r>
    <r>
      <rPr>
        <sz val="11"/>
        <color theme="1"/>
        <rFont val="Calibri"/>
        <family val="2"/>
        <scheme val="minor"/>
      </rPr>
      <t>)</t>
    </r>
  </si>
  <si>
    <r>
      <t xml:space="preserve">to age 65 </t>
    </r>
    <r>
      <rPr>
        <sz val="11"/>
        <rFont val="Calibri"/>
        <family val="2"/>
        <scheme val="minor"/>
      </rPr>
      <t>(</t>
    </r>
    <r>
      <rPr>
        <sz val="11"/>
        <color rgb="FF0070C0"/>
        <rFont val="Calibri"/>
        <family val="2"/>
        <scheme val="minor"/>
      </rPr>
      <t>35</t>
    </r>
    <r>
      <rPr>
        <sz val="11"/>
        <rFont val="Calibri"/>
        <family val="2"/>
        <scheme val="minor"/>
      </rPr>
      <t>)</t>
    </r>
  </si>
  <si>
    <r>
      <t xml:space="preserve">to age 85 </t>
    </r>
    <r>
      <rPr>
        <sz val="11"/>
        <rFont val="Calibri"/>
        <family val="2"/>
        <scheme val="minor"/>
      </rPr>
      <t>(</t>
    </r>
    <r>
      <rPr>
        <sz val="11"/>
        <color rgb="FF0070C0"/>
        <rFont val="Calibri"/>
        <family val="2"/>
        <scheme val="minor"/>
      </rPr>
      <t>55</t>
    </r>
    <r>
      <rPr>
        <sz val="11"/>
        <rFont val="Calibri"/>
        <family val="2"/>
        <scheme val="minor"/>
      </rPr>
      <t>)</t>
    </r>
  </si>
  <si>
    <r>
      <t xml:space="preserve">to age 99 </t>
    </r>
    <r>
      <rPr>
        <sz val="11"/>
        <rFont val="Calibri"/>
        <family val="2"/>
        <scheme val="minor"/>
      </rPr>
      <t>(</t>
    </r>
    <r>
      <rPr>
        <sz val="11"/>
        <color rgb="FF0070C0"/>
        <rFont val="Calibri"/>
        <family val="2"/>
        <scheme val="minor"/>
      </rPr>
      <t>69</t>
    </r>
    <r>
      <rPr>
        <sz val="11"/>
        <rFont val="Calibri"/>
        <family val="2"/>
        <scheme val="minor"/>
      </rPr>
      <t>)</t>
    </r>
  </si>
  <si>
    <r>
      <t xml:space="preserve">to age 100 </t>
    </r>
    <r>
      <rPr>
        <sz val="11"/>
        <rFont val="Calibri"/>
        <family val="2"/>
      </rPr>
      <t>(</t>
    </r>
    <r>
      <rPr>
        <sz val="11"/>
        <color rgb="FF0070C0"/>
        <rFont val="Calibri"/>
        <family val="2"/>
      </rPr>
      <t>70</t>
    </r>
    <r>
      <rPr>
        <sz val="11"/>
        <rFont val="Calibri"/>
        <family val="2"/>
      </rPr>
      <t>)</t>
    </r>
  </si>
  <si>
    <t>34 / 35</t>
  </si>
  <si>
    <r>
      <t>to age 65 (</t>
    </r>
    <r>
      <rPr>
        <sz val="11"/>
        <color rgb="FF0070C0"/>
        <rFont val="Calibri"/>
        <family val="2"/>
        <scheme val="minor"/>
      </rPr>
      <t>30</t>
    </r>
    <r>
      <rPr>
        <sz val="11"/>
        <rFont val="Calibri"/>
        <family val="2"/>
        <scheme val="minor"/>
      </rPr>
      <t>)</t>
    </r>
  </si>
  <si>
    <r>
      <t>to age 85</t>
    </r>
    <r>
      <rPr>
        <sz val="11"/>
        <rFont val="Calibri"/>
        <family val="2"/>
        <scheme val="minor"/>
      </rPr>
      <t xml:space="preserve"> (</t>
    </r>
    <r>
      <rPr>
        <sz val="11"/>
        <color rgb="FF0070C0"/>
        <rFont val="Calibri"/>
        <family val="2"/>
        <scheme val="minor"/>
      </rPr>
      <t>50</t>
    </r>
    <r>
      <rPr>
        <sz val="11"/>
        <rFont val="Calibri"/>
        <family val="2"/>
        <scheme val="minor"/>
      </rPr>
      <t>)</t>
    </r>
  </si>
  <si>
    <r>
      <t xml:space="preserve">to age 99 </t>
    </r>
    <r>
      <rPr>
        <sz val="11"/>
        <rFont val="Calibri"/>
        <family val="2"/>
        <scheme val="minor"/>
      </rPr>
      <t>(</t>
    </r>
    <r>
      <rPr>
        <sz val="11"/>
        <color rgb="FF0070C0"/>
        <rFont val="Calibri"/>
        <family val="2"/>
        <scheme val="minor"/>
      </rPr>
      <t>64</t>
    </r>
    <r>
      <rPr>
        <sz val="11"/>
        <rFont val="Calibri"/>
        <family val="2"/>
        <scheme val="minor"/>
      </rPr>
      <t>)</t>
    </r>
  </si>
  <si>
    <r>
      <t>to age 10</t>
    </r>
    <r>
      <rPr>
        <sz val="11"/>
        <rFont val="Calibri"/>
        <family val="2"/>
      </rPr>
      <t>0 (</t>
    </r>
    <r>
      <rPr>
        <sz val="11"/>
        <color rgb="FF0070C0"/>
        <rFont val="Calibri"/>
        <family val="2"/>
      </rPr>
      <t>65</t>
    </r>
    <r>
      <rPr>
        <sz val="11"/>
        <rFont val="Calibri"/>
        <family val="2"/>
      </rPr>
      <t>)</t>
    </r>
  </si>
  <si>
    <t>39 / 40</t>
  </si>
  <si>
    <r>
      <t>to age 65</t>
    </r>
    <r>
      <rPr>
        <sz val="11"/>
        <rFont val="Calibri"/>
        <family val="2"/>
        <scheme val="minor"/>
      </rPr>
      <t xml:space="preserve"> (</t>
    </r>
    <r>
      <rPr>
        <sz val="11"/>
        <color rgb="FF0070C0"/>
        <rFont val="Calibri"/>
        <family val="2"/>
        <scheme val="minor"/>
      </rPr>
      <t>25</t>
    </r>
    <r>
      <rPr>
        <sz val="11"/>
        <rFont val="Calibri"/>
        <family val="2"/>
        <scheme val="minor"/>
      </rPr>
      <t>)</t>
    </r>
  </si>
  <si>
    <r>
      <t>to age 85</t>
    </r>
    <r>
      <rPr>
        <sz val="11"/>
        <rFont val="Calibri"/>
        <family val="2"/>
        <scheme val="minor"/>
      </rPr>
      <t xml:space="preserve"> (</t>
    </r>
    <r>
      <rPr>
        <sz val="11"/>
        <color rgb="FF0070C0"/>
        <rFont val="Calibri"/>
        <family val="2"/>
        <scheme val="minor"/>
      </rPr>
      <t>45</t>
    </r>
    <r>
      <rPr>
        <sz val="11"/>
        <rFont val="Calibri"/>
        <family val="2"/>
        <scheme val="minor"/>
      </rPr>
      <t>)</t>
    </r>
  </si>
  <si>
    <r>
      <t xml:space="preserve">to age 99 </t>
    </r>
    <r>
      <rPr>
        <sz val="11"/>
        <rFont val="Calibri"/>
        <family val="2"/>
        <scheme val="minor"/>
      </rPr>
      <t>(</t>
    </r>
    <r>
      <rPr>
        <sz val="11"/>
        <color rgb="FF0070C0"/>
        <rFont val="Calibri"/>
        <family val="2"/>
        <scheme val="minor"/>
      </rPr>
      <t>59</t>
    </r>
    <r>
      <rPr>
        <sz val="11"/>
        <rFont val="Calibri"/>
        <family val="2"/>
        <scheme val="minor"/>
      </rPr>
      <t>)</t>
    </r>
  </si>
  <si>
    <r>
      <t>to age 10</t>
    </r>
    <r>
      <rPr>
        <sz val="11"/>
        <rFont val="Calibri"/>
        <family val="2"/>
      </rPr>
      <t>0 (</t>
    </r>
    <r>
      <rPr>
        <sz val="11"/>
        <color rgb="FF0070C0"/>
        <rFont val="Calibri"/>
        <family val="2"/>
      </rPr>
      <t>60</t>
    </r>
    <r>
      <rPr>
        <sz val="11"/>
        <rFont val="Calibri"/>
        <family val="2"/>
      </rPr>
      <t>)</t>
    </r>
  </si>
  <si>
    <t>44 / 45</t>
  </si>
  <si>
    <r>
      <t>to age 65</t>
    </r>
    <r>
      <rPr>
        <sz val="11"/>
        <rFont val="Calibri"/>
        <family val="2"/>
        <scheme val="minor"/>
      </rPr>
      <t xml:space="preserve"> (</t>
    </r>
    <r>
      <rPr>
        <sz val="11"/>
        <color rgb="FF0070C0"/>
        <rFont val="Calibri"/>
        <family val="2"/>
        <scheme val="minor"/>
      </rPr>
      <t>20</t>
    </r>
    <r>
      <rPr>
        <sz val="11"/>
        <rFont val="Calibri"/>
        <family val="2"/>
        <scheme val="minor"/>
      </rPr>
      <t>)</t>
    </r>
  </si>
  <si>
    <r>
      <t>to age 85</t>
    </r>
    <r>
      <rPr>
        <sz val="11"/>
        <rFont val="Calibri"/>
        <family val="2"/>
        <scheme val="minor"/>
      </rPr>
      <t xml:space="preserve"> (</t>
    </r>
    <r>
      <rPr>
        <sz val="11"/>
        <color rgb="FF0070C0"/>
        <rFont val="Calibri"/>
        <family val="2"/>
        <scheme val="minor"/>
      </rPr>
      <t>40</t>
    </r>
    <r>
      <rPr>
        <sz val="11"/>
        <rFont val="Calibri"/>
        <family val="2"/>
        <scheme val="minor"/>
      </rPr>
      <t>)</t>
    </r>
  </si>
  <si>
    <r>
      <t xml:space="preserve">to age 99 </t>
    </r>
    <r>
      <rPr>
        <sz val="11"/>
        <rFont val="Calibri"/>
        <family val="2"/>
        <scheme val="minor"/>
      </rPr>
      <t>(</t>
    </r>
    <r>
      <rPr>
        <sz val="11"/>
        <color rgb="FF0070C0"/>
        <rFont val="Calibri"/>
        <family val="2"/>
        <scheme val="minor"/>
      </rPr>
      <t>54</t>
    </r>
    <r>
      <rPr>
        <sz val="11"/>
        <rFont val="Calibri"/>
        <family val="2"/>
        <scheme val="minor"/>
      </rPr>
      <t>)</t>
    </r>
  </si>
  <si>
    <r>
      <t>to age 10</t>
    </r>
    <r>
      <rPr>
        <sz val="11"/>
        <rFont val="Calibri"/>
        <family val="2"/>
      </rPr>
      <t>0 (</t>
    </r>
    <r>
      <rPr>
        <sz val="11"/>
        <color rgb="FF0070C0"/>
        <rFont val="Calibri"/>
        <family val="2"/>
      </rPr>
      <t>55</t>
    </r>
    <r>
      <rPr>
        <sz val="11"/>
        <rFont val="Calibri"/>
        <family val="2"/>
      </rPr>
      <t>)</t>
    </r>
  </si>
  <si>
    <t>49 / 50</t>
  </si>
  <si>
    <r>
      <t xml:space="preserve">to age 65 </t>
    </r>
    <r>
      <rPr>
        <sz val="11"/>
        <rFont val="Calibri"/>
        <family val="2"/>
        <scheme val="minor"/>
      </rPr>
      <t>(</t>
    </r>
    <r>
      <rPr>
        <sz val="11"/>
        <color rgb="FF0070C0"/>
        <rFont val="Calibri"/>
        <family val="2"/>
        <scheme val="minor"/>
      </rPr>
      <t>15</t>
    </r>
    <r>
      <rPr>
        <sz val="11"/>
        <rFont val="Calibri"/>
        <family val="2"/>
        <scheme val="minor"/>
      </rPr>
      <t>)</t>
    </r>
  </si>
  <si>
    <r>
      <t xml:space="preserve">to age 85 </t>
    </r>
    <r>
      <rPr>
        <sz val="11"/>
        <rFont val="Calibri"/>
        <family val="2"/>
        <scheme val="minor"/>
      </rPr>
      <t>(</t>
    </r>
    <r>
      <rPr>
        <sz val="11"/>
        <color rgb="FF0070C0"/>
        <rFont val="Calibri"/>
        <family val="2"/>
        <scheme val="minor"/>
      </rPr>
      <t>35</t>
    </r>
    <r>
      <rPr>
        <sz val="11"/>
        <rFont val="Calibri"/>
        <family val="2"/>
        <scheme val="minor"/>
      </rPr>
      <t>)</t>
    </r>
  </si>
  <si>
    <r>
      <t>to age 99 (</t>
    </r>
    <r>
      <rPr>
        <sz val="11"/>
        <color rgb="FF0070C0"/>
        <rFont val="Calibri"/>
        <family val="2"/>
        <scheme val="minor"/>
      </rPr>
      <t>49</t>
    </r>
    <r>
      <rPr>
        <sz val="11"/>
        <color theme="1"/>
        <rFont val="Calibri"/>
        <family val="2"/>
        <scheme val="minor"/>
      </rPr>
      <t>)</t>
    </r>
  </si>
  <si>
    <r>
      <t>to age 100 (</t>
    </r>
    <r>
      <rPr>
        <sz val="11"/>
        <color rgb="FF0070C0"/>
        <rFont val="Calibri"/>
        <family val="2"/>
      </rPr>
      <t>50</t>
    </r>
    <r>
      <rPr>
        <sz val="11"/>
        <color rgb="FF000000"/>
        <rFont val="Calibri"/>
        <family val="2"/>
      </rPr>
      <t>)</t>
    </r>
  </si>
  <si>
    <t>Death/TI/CI
TPD (till age 85)</t>
  </si>
  <si>
    <t>Death/TI/CI/
TPD (till age 85)</t>
  </si>
  <si>
    <t>Death/TI/CI
TPD (till age 65)</t>
  </si>
  <si>
    <t>Death/TI/CI
TPD (till age 86)</t>
  </si>
  <si>
    <t>Death/TI/CI
TPD (till age 70)</t>
  </si>
  <si>
    <t>Death/TI/CI/
TPD (till age 70)</t>
  </si>
  <si>
    <t>44/45</t>
  </si>
  <si>
    <t>Sum Assured (Death/TPD/TI)</t>
  </si>
  <si>
    <t>Sum Assured (CI)</t>
  </si>
  <si>
    <t>Sum Assured (Death/TI)</t>
  </si>
  <si>
    <t>Sum Assured (TPD/CI)</t>
  </si>
  <si>
    <t>Lowest Total Premium</t>
  </si>
  <si>
    <t>2nd Lowest Total Premium</t>
  </si>
  <si>
    <t>Singlife
Elite Term II</t>
  </si>
  <si>
    <t>To age 60 
(30years)</t>
  </si>
  <si>
    <t>To age 60 (30years)</t>
  </si>
  <si>
    <t>Premium Term</t>
  </si>
  <si>
    <t>Basic Annual Premium (A)</t>
  </si>
  <si>
    <t>NA</t>
  </si>
  <si>
    <t xml:space="preserve">Total Basic Premiums Paid </t>
  </si>
  <si>
    <t>Total Rider Premiums
(TPD Rider + Advanced CI Rider) (B)</t>
  </si>
  <si>
    <t>Total Annual Premium Paid, Basic &amp; Riders (A+B)</t>
  </si>
  <si>
    <t>Total Premiums Paid 
(A+B)*Premium Term</t>
  </si>
  <si>
    <t>To age 65 
(30years)</t>
  </si>
  <si>
    <t>To age 65 (30years)</t>
  </si>
  <si>
    <t>To age 70 
(30years)</t>
  </si>
  <si>
    <t>To age 70 (30years)</t>
  </si>
  <si>
    <t>To age 75 
(30years)</t>
  </si>
  <si>
    <t>To age 75 (30years)</t>
  </si>
  <si>
    <t>To age 80 
(30years)</t>
  </si>
  <si>
    <t>To age 80 (30years)</t>
  </si>
  <si>
    <t>Company</t>
  </si>
  <si>
    <t>Plan name</t>
  </si>
  <si>
    <t>What we like about the plan</t>
  </si>
  <si>
    <r>
      <t xml:space="preserve">- </t>
    </r>
    <r>
      <rPr>
        <sz val="11"/>
        <color rgb="FF0000CC"/>
        <rFont val="Calibri"/>
        <family val="2"/>
        <scheme val="minor"/>
      </rPr>
      <t>No frills plain vanilla term plan</t>
    </r>
    <r>
      <rPr>
        <sz val="11"/>
        <color theme="1"/>
        <rFont val="Calibri"/>
        <family val="2"/>
        <scheme val="minor"/>
      </rPr>
      <t xml:space="preserve"> with competitive and affordable premiums that will appeal to clients looking for more affordable protection coverage  
- Yearly renewable term life plan that provides coverage till 86 (max renewable age till 86 ANB)
- Provides coverage for Death, TI and </t>
    </r>
    <r>
      <rPr>
        <sz val="11"/>
        <color rgb="FF0000FF"/>
        <rFont val="Calibri"/>
        <family val="2"/>
        <scheme val="minor"/>
      </rPr>
      <t xml:space="preserve">TPD
</t>
    </r>
    <r>
      <rPr>
        <sz val="11"/>
        <color rgb="FF0000CC"/>
        <rFont val="Calibri"/>
        <family val="2"/>
        <scheme val="minor"/>
      </rPr>
      <t>- Has a simplified underwriting process as compared to the other term plans where full underwriting is required</t>
    </r>
    <r>
      <rPr>
        <sz val="11"/>
        <color rgb="FF0000FF"/>
        <rFont val="Calibri"/>
        <family val="2"/>
        <scheme val="minor"/>
      </rPr>
      <t xml:space="preserve">
</t>
    </r>
    <r>
      <rPr>
        <sz val="11"/>
        <rFont val="Calibri"/>
        <family val="2"/>
        <scheme val="minor"/>
      </rPr>
      <t>- Offers relatively low minimum sum assured @ $150,000
- Provides client with a choice to attach a</t>
    </r>
    <r>
      <rPr>
        <sz val="11"/>
        <color rgb="FF0000CC"/>
        <rFont val="Calibri"/>
        <family val="2"/>
        <scheme val="minor"/>
      </rPr>
      <t xml:space="preserve"> personal accident cover</t>
    </r>
    <r>
      <rPr>
        <sz val="11"/>
        <color rgb="FF0000FF"/>
        <rFont val="Calibri"/>
        <family val="2"/>
        <scheme val="minor"/>
      </rPr>
      <t xml:space="preserve"> </t>
    </r>
    <r>
      <rPr>
        <sz val="11"/>
        <rFont val="Calibri"/>
        <family val="2"/>
        <scheme val="minor"/>
      </rPr>
      <t>rider for additional coverage</t>
    </r>
  </si>
  <si>
    <r>
      <rPr>
        <sz val="11"/>
        <color rgb="FF0000FF"/>
        <rFont val="Calibri"/>
        <family val="2"/>
        <scheme val="minor"/>
      </rPr>
      <t>-</t>
    </r>
    <r>
      <rPr>
        <sz val="11"/>
        <color rgb="FF0000CC"/>
        <rFont val="Calibri"/>
        <family val="2"/>
        <scheme val="minor"/>
      </rPr>
      <t xml:space="preserve"> Lower minimum sum insured </t>
    </r>
    <r>
      <rPr>
        <sz val="11"/>
        <rFont val="Calibri"/>
        <family val="2"/>
        <scheme val="minor"/>
      </rPr>
      <t xml:space="preserve">requirement as compared to Income TermLife Solitaire
- </t>
    </r>
    <r>
      <rPr>
        <sz val="11"/>
        <color rgb="FF0000CC"/>
        <rFont val="Calibri"/>
        <family val="2"/>
        <scheme val="minor"/>
      </rPr>
      <t>Wide range of available policy term between 5 to 35 years</t>
    </r>
    <r>
      <rPr>
        <sz val="11"/>
        <rFont val="Calibri"/>
        <family val="2"/>
        <scheme val="minor"/>
      </rPr>
      <t xml:space="preserve"> (in multiples of 5 years) or up to age 54, 64 and 74
</t>
    </r>
    <r>
      <rPr>
        <sz val="11"/>
        <color rgb="FF0000CC"/>
        <rFont val="Calibri"/>
        <family val="2"/>
        <scheme val="minor"/>
      </rPr>
      <t>- Low entry to buy into a Term policy</t>
    </r>
    <r>
      <rPr>
        <sz val="11"/>
        <rFont val="Calibri"/>
        <family val="2"/>
        <scheme val="minor"/>
      </rPr>
      <t xml:space="preserve"> (Minimum Sum insured @ $2,481) 
- Additional Hospital cash benefit when Hospital CashAid rider is attached 
- Guaranteed renewal up to age 84 last birthday
- Coverage in the event of death, total and permanent disability and terminal illness</t>
    </r>
  </si>
  <si>
    <r>
      <rPr>
        <sz val="11"/>
        <color rgb="FF0000CC"/>
        <rFont val="Calibri"/>
        <family val="2"/>
        <scheme val="minor"/>
      </rPr>
      <t>- Guaranteed renewability for 5-year renewable term</t>
    </r>
    <r>
      <rPr>
        <sz val="11"/>
        <rFont val="Calibri"/>
        <family val="2"/>
        <scheme val="minor"/>
      </rPr>
      <t xml:space="preserve"> (Maximum renewal age at ALB 79)
</t>
    </r>
    <r>
      <rPr>
        <sz val="11"/>
        <color rgb="FF0000CC"/>
        <rFont val="Calibri"/>
        <family val="2"/>
        <scheme val="minor"/>
      </rPr>
      <t xml:space="preserve">- Competitive premium rates for lower Sum Assured to clients, especially females. </t>
    </r>
    <r>
      <rPr>
        <sz val="11"/>
        <rFont val="Calibri"/>
        <family val="2"/>
        <scheme val="minor"/>
      </rPr>
      <t xml:space="preserve">
- </t>
    </r>
    <r>
      <rPr>
        <sz val="11"/>
        <color rgb="FF0000CC"/>
        <rFont val="Calibri"/>
        <family val="2"/>
        <scheme val="minor"/>
      </rPr>
      <t>Embedded TPD coverage</t>
    </r>
    <r>
      <rPr>
        <sz val="11"/>
        <rFont val="Calibri"/>
        <family val="2"/>
        <scheme val="minor"/>
      </rPr>
      <t xml:space="preserve"> for more holistic term coverage
</t>
    </r>
  </si>
  <si>
    <t>- Has the lowest entry age for the life assured amongst the plans in the comparison.
- Has the lowest sum assured requirements which makes it easy to buy into the plan.
- Provide Terminal Cancer benefit which is unique to this plan where it accelerates the death benefit (up to $1,000,000) when life assured is diagnosed with a terminal cancer.</t>
  </si>
  <si>
    <r>
      <t xml:space="preserve">Singlife
Elite Term
(formerly known as MyProtector - Term Plan II)
</t>
    </r>
    <r>
      <rPr>
        <b/>
        <sz val="11"/>
        <color rgb="FFFF0000"/>
        <rFont val="Calibri"/>
        <family val="2"/>
        <scheme val="minor"/>
      </rPr>
      <t>(Withdrawing on 14 April 2024)</t>
    </r>
  </si>
  <si>
    <t>Total premium payable:
$177,767
(over 45 years for death and 40 years for TPD)</t>
  </si>
  <si>
    <t>Total: $1,163.70
(10 year renewal)</t>
  </si>
  <si>
    <t>Total premium payable:
 $281,530
(over 45 years for death and 40 years for TPD/CI)</t>
  </si>
  <si>
    <t>Total premium payable:
 $425,421
(over 45 years for death and 40 years for TPD/CI)</t>
  </si>
  <si>
    <t>Total premium payable:
 $217,259
(over 45 years for death and 40 years for TPD)</t>
  </si>
  <si>
    <t>TPD (till age 99)</t>
  </si>
  <si>
    <t>Death/TI/CI/
TPD (till age 99)</t>
  </si>
  <si>
    <t>Death/TI/
TPD (till age 99)</t>
  </si>
  <si>
    <r>
      <t xml:space="preserve">- Advance CI Riders are attached to the basic term plans for comparison
- </t>
    </r>
    <r>
      <rPr>
        <b/>
        <sz val="11"/>
        <color theme="1"/>
        <rFont val="Calibri"/>
        <family val="2"/>
        <scheme val="minor"/>
      </rPr>
      <t>China Life Term Guardian</t>
    </r>
    <r>
      <rPr>
        <sz val="11"/>
        <color theme="1"/>
        <rFont val="Calibri"/>
        <family val="2"/>
        <scheme val="minor"/>
      </rPr>
      <t xml:space="preserve"> does not offer 10-year policy renewal term. Options for policy term are 5-year/20-year renewal term or up to age 65. 
- </t>
    </r>
    <r>
      <rPr>
        <b/>
        <sz val="11"/>
        <color theme="1"/>
        <rFont val="Calibri"/>
        <family val="2"/>
        <scheme val="minor"/>
      </rPr>
      <t>Income TermLife Solitaire</t>
    </r>
    <r>
      <rPr>
        <sz val="11"/>
        <color theme="1"/>
        <rFont val="Calibri"/>
        <family val="2"/>
        <scheme val="minor"/>
      </rPr>
      <t xml:space="preserve"> does not have an attachable Advance CI rider. </t>
    </r>
    <r>
      <rPr>
        <sz val="11"/>
        <color rgb="FFFF0000"/>
        <rFont val="Calibri"/>
        <family val="2"/>
        <scheme val="minor"/>
      </rPr>
      <t xml:space="preserve">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$1,500,000 sum assured comparison as it exceeds the plan's maximum sum assured of $499,999.
</t>
    </r>
    <r>
      <rPr>
        <b/>
        <sz val="11"/>
        <color rgb="FF0000CC"/>
        <rFont val="Calibri"/>
        <family val="2"/>
        <scheme val="minor"/>
      </rPr>
      <t>Do note the following:</t>
    </r>
    <r>
      <rPr>
        <sz val="11"/>
        <rFont val="Calibri"/>
        <family val="2"/>
        <scheme val="minor"/>
      </rPr>
      <t xml:space="preserve">
(i)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t>
    </r>
    <r>
      <rPr>
        <sz val="11"/>
        <color theme="1"/>
        <rFont val="Calibri"/>
        <family val="2"/>
        <scheme val="minor"/>
      </rPr>
      <t xml:space="preserve">
</t>
    </r>
    <r>
      <rPr>
        <b/>
        <u/>
        <sz val="11"/>
        <color theme="1"/>
        <rFont val="Calibri"/>
        <family val="2"/>
        <scheme val="minor"/>
      </rPr>
      <t>First 3 Years Premium Discount</t>
    </r>
    <r>
      <rPr>
        <sz val="11"/>
        <color theme="1"/>
        <rFont val="Calibri"/>
        <family val="2"/>
        <scheme val="minor"/>
      </rPr>
      <t xml:space="preserve">
</t>
    </r>
    <r>
      <rPr>
        <b/>
        <sz val="11"/>
        <color theme="1"/>
        <rFont val="Calibri"/>
        <family val="2"/>
        <scheme val="minor"/>
      </rPr>
      <t xml:space="preserve">- Tokio Marine Term Assure II: </t>
    </r>
    <r>
      <rPr>
        <sz val="11"/>
        <color theme="1"/>
        <rFont val="Calibri"/>
        <family val="2"/>
        <scheme val="minor"/>
      </rPr>
      <t xml:space="preserve">AApplicable from 01 Jan to 31 Mar 2024 (both dates inclusive), unless extended or withdrawn by TMLS at its sole discretion and the policy must be issued on or before 31 May 2024. PIAS internal cut-off date applies; refer to the promotion email for more details. Premiums shown in the comparison tables are discounted rates.
(i)  5 or 10 years renewable &amp; convertible term: </t>
    </r>
    <r>
      <rPr>
        <sz val="11"/>
        <color rgb="FF0000CC"/>
        <rFont val="Calibri"/>
        <family val="2"/>
        <scheme val="minor"/>
      </rPr>
      <t>30% premium discount for first 3 years</t>
    </r>
    <r>
      <rPr>
        <sz val="11"/>
        <color theme="1"/>
        <rFont val="Calibri"/>
        <family val="2"/>
        <scheme val="minor"/>
      </rPr>
      <t xml:space="preserve">
(ii) 11 years to age 85 level &amp; convertible term: </t>
    </r>
    <r>
      <rPr>
        <sz val="11"/>
        <color rgb="FF0000CC"/>
        <rFont val="Calibri"/>
        <family val="2"/>
        <scheme val="minor"/>
      </rPr>
      <t>40% premium discount for first 3 years</t>
    </r>
    <r>
      <rPr>
        <sz val="11"/>
        <color theme="1"/>
        <rFont val="Calibri"/>
        <family val="2"/>
        <scheme val="minor"/>
      </rPr>
      <t xml:space="preserve">
</t>
    </r>
    <r>
      <rPr>
        <u/>
        <sz val="11"/>
        <color theme="1"/>
        <rFont val="Calibri"/>
        <family val="2"/>
        <scheme val="minor"/>
      </rPr>
      <t xml:space="preserve">
</t>
    </r>
    <r>
      <rPr>
        <b/>
        <u/>
        <sz val="11"/>
        <color theme="1"/>
        <rFont val="Calibri"/>
        <family val="2"/>
        <scheme val="minor"/>
      </rPr>
      <t xml:space="preserve">Perpetual Premium Discount
</t>
    </r>
    <r>
      <rPr>
        <b/>
        <sz val="11"/>
        <color theme="1"/>
        <rFont val="Calibri"/>
        <family val="2"/>
        <scheme val="minor"/>
      </rPr>
      <t xml:space="preserve">- Singlife Elite Term (formerly known as MyProtector – Term Plan II):  </t>
    </r>
    <r>
      <rPr>
        <sz val="11"/>
        <color rgb="FF0000CC"/>
        <rFont val="Calibri"/>
        <family val="2"/>
        <scheme val="minor"/>
      </rPr>
      <t>30% perpetual discount on Singlife Elite Term and TPD Advance Cover Plus II (rider); 10% perpetual discount on CI Advance Cover Plus III (rider) &amp; Early Critical Illness Cover II (rider), applicable to minimum basic plan sum assured per policy of S$500,000 (in contract currency). Promotion period from 5 Jan 2024 onwards.</t>
    </r>
    <r>
      <rPr>
        <sz val="11"/>
        <color theme="1"/>
        <rFont val="Calibri"/>
        <family val="2"/>
        <scheme val="minor"/>
      </rPr>
      <t xml:space="preserve">  Premiums shown in the comparison tables are discounted rates.
</t>
    </r>
    <r>
      <rPr>
        <b/>
        <sz val="11"/>
        <color theme="1"/>
        <rFont val="Calibri"/>
        <family val="2"/>
        <scheme val="minor"/>
      </rPr>
      <t xml:space="preserve">- Singlife Elite Term II: </t>
    </r>
    <r>
      <rPr>
        <sz val="11"/>
        <color theme="1"/>
        <rFont val="Calibri"/>
        <family val="2"/>
        <scheme val="minor"/>
      </rPr>
      <t xml:space="preserve"> </t>
    </r>
    <r>
      <rPr>
        <sz val="11"/>
        <color rgb="FF0000CC"/>
        <rFont val="Calibri"/>
        <family val="2"/>
        <scheme val="minor"/>
      </rPr>
      <t xml:space="preserve">30% perpetual discount on Singlife Elite Term II and TPD Advance Cover Plus III (rider); 10% perpetual discount on CI Advance Cover Plus IV (rider) &amp; Early Critical Illness Cover II (rider), applicable to minimum basic plan sum assured per policy of S$500,000 (in contract currency). Promotion period from 14 March 2024 onwards. </t>
    </r>
    <r>
      <rPr>
        <sz val="11"/>
        <color theme="1"/>
        <rFont val="Calibri"/>
        <family val="2"/>
        <scheme val="minor"/>
      </rPr>
      <t xml:space="preserve"> Premiums shown in the comparison tables are discounted rates.</t>
    </r>
    <r>
      <rPr>
        <b/>
        <sz val="11"/>
        <color theme="1"/>
        <rFont val="Calibri"/>
        <family val="2"/>
        <scheme val="minor"/>
      </rPr>
      <t xml:space="preserve">
- Manulife ManuProtect Term II: </t>
    </r>
    <r>
      <rPr>
        <sz val="11"/>
        <color rgb="FF0000CC"/>
        <rFont val="Calibri"/>
        <family val="2"/>
        <scheme val="minor"/>
      </rPr>
      <t xml:space="preserve">8% perpetual discount applicable to main plan and all riders. </t>
    </r>
    <r>
      <rPr>
        <sz val="11"/>
        <color theme="1"/>
        <rFont val="Calibri"/>
        <family val="2"/>
        <scheme val="minor"/>
      </rPr>
      <t xml:space="preserve">Premium discount will still be applicable upon renewal of the policy only if there is no change in sum insured or premium/addition or deletion of rider. Applications must be signed between 1 Jan 2024 and 31 March 2024 (both dates inclusive), submitted to Manulife by 2 April 2024 and issued by 3 June 2024. PIAS internal cut-off date applies; refer to the promotion email for more details.  Premiums shown in the comparison tables are discounted rates.
</t>
    </r>
    <r>
      <rPr>
        <b/>
        <sz val="11"/>
        <color theme="1"/>
        <rFont val="Calibri"/>
        <family val="2"/>
        <scheme val="minor"/>
      </rPr>
      <t xml:space="preserve">- Etiqa Essential Term Life Cover:  </t>
    </r>
    <r>
      <rPr>
        <sz val="11"/>
        <color rgb="FF0000CC"/>
        <rFont val="Calibri"/>
        <family val="2"/>
        <scheme val="minor"/>
      </rPr>
      <t>up to 53% perpetual discount for Etiqa Essential Term Life Cover; up to 54% perpetual discount for Extra disability care rider; 20% perpetual discount for Early CI rider</t>
    </r>
    <r>
      <rPr>
        <sz val="11"/>
        <color theme="1"/>
        <rFont val="Calibri"/>
        <family val="2"/>
        <scheme val="minor"/>
      </rPr>
      <t>. However, do note that rates shown in this comparison placemat does not include the premium discount as the  discount in terms of % varies based on different entry age/policy term. Rates generated from Etiqa i-Connect are discounted rates. Promotion period from 30 Nov 2023 onwards.</t>
    </r>
  </si>
  <si>
    <r>
      <rPr>
        <sz val="11"/>
        <color rgb="FF0000CC"/>
        <rFont val="Calibri"/>
        <family val="2"/>
        <scheme val="minor"/>
      </rPr>
      <t>- Hospital CashAid</t>
    </r>
    <r>
      <rPr>
        <sz val="11"/>
        <color theme="1"/>
        <rFont val="Calibri"/>
        <family val="2"/>
        <scheme val="minor"/>
      </rPr>
      <t xml:space="preserve">
- Disability Accelerator
- Total Protect
- Payor Premium Waiver
- Enhanced Payor Premium Waiver
- Dread Disease Premium Waiver
- Essential Protect </t>
    </r>
  </si>
  <si>
    <t>Base Cover: $105.75
TPD rider: $9.19</t>
  </si>
  <si>
    <t>Total: $114.94 
(10 year renewal)</t>
  </si>
  <si>
    <t>CI Rider: $108.19</t>
  </si>
  <si>
    <t>Total: $223.13  
(10 year renewal)</t>
  </si>
  <si>
    <t>Total premium payable: 
$286,361.63
(over 55 years)</t>
  </si>
  <si>
    <t>Base Cover: $82.99
TPD rider: $9</t>
  </si>
  <si>
    <t>Total: $91.99 
(10 year renewal)</t>
  </si>
  <si>
    <t>Total premium payable: 
$112,197.34
(over 55 years)</t>
  </si>
  <si>
    <t>CI Rider: $179.63</t>
  </si>
  <si>
    <t>Total: $271.62
(10 year renewal)</t>
  </si>
  <si>
    <t>Total premium payable: 
$204,209.46
(over 55 years)</t>
  </si>
  <si>
    <t>Base Cover: $225
TPD rider: $33.38</t>
  </si>
  <si>
    <t>Total: $258.38
(10 year renewal)</t>
  </si>
  <si>
    <t>Total premium payable:
 $204,746.88
(over 45 years)</t>
  </si>
  <si>
    <t>CI Rider: $399.53</t>
  </si>
  <si>
    <t>Total: $657.91
(10 year renewal)</t>
  </si>
  <si>
    <t>Total premium payable:
 $393,385.70
(over 45 years)</t>
  </si>
  <si>
    <r>
      <t xml:space="preserve">- For meaningful comparison, all the other regular pay term plans are being compared against based on the total premium paid for the same 30 years policy term coverage.
- Advance CI Riders are attached to the basic term plans for comparison
- There is only one comparison for </t>
    </r>
    <r>
      <rPr>
        <b/>
        <sz val="11"/>
        <color theme="1"/>
        <rFont val="Calibri"/>
        <family val="2"/>
        <scheme val="minor"/>
      </rPr>
      <t>China Life Term Guardian</t>
    </r>
    <r>
      <rPr>
        <sz val="11"/>
        <color theme="1"/>
        <rFont val="Calibri"/>
        <family val="2"/>
        <scheme val="minor"/>
      </rPr>
      <t xml:space="preserve"> which is up to age 65 coverage due to limitation of premium term option.
- TPD is an embedded benefit in basic plan for </t>
    </r>
    <r>
      <rPr>
        <b/>
        <sz val="11"/>
        <color theme="1"/>
        <rFont val="Calibri"/>
        <family val="2"/>
        <scheme val="minor"/>
      </rPr>
      <t>China Life Term Guardian</t>
    </r>
    <r>
      <rPr>
        <sz val="11"/>
        <color theme="1"/>
        <rFont val="Calibri"/>
        <family val="2"/>
        <scheme val="minor"/>
      </rPr>
      <t xml:space="preserve"> &amp;</t>
    </r>
    <r>
      <rPr>
        <b/>
        <sz val="11"/>
        <color theme="1"/>
        <rFont val="Calibri"/>
        <family val="2"/>
        <scheme val="minor"/>
      </rPr>
      <t xml:space="preserve"> Tokio Marine Term Assure II
- Income TermLife Solitaire </t>
    </r>
    <r>
      <rPr>
        <sz val="11"/>
        <color theme="1"/>
        <rFont val="Calibri"/>
        <family val="2"/>
        <scheme val="minor"/>
      </rPr>
      <t>is not included in this comparison as it does not have any attachable Advance CI rider</t>
    </r>
    <r>
      <rPr>
        <b/>
        <sz val="11"/>
        <color theme="1"/>
        <rFont val="Calibri"/>
        <family val="2"/>
        <scheme val="minor"/>
      </rPr>
      <t xml:space="preserve">
</t>
    </r>
    <r>
      <rPr>
        <sz val="11"/>
        <color theme="1"/>
        <rFont val="Calibri"/>
        <family val="2"/>
        <scheme val="minor"/>
      </rPr>
      <t xml:space="preserve">-  Only perpetual premium discounts are factored in for comparisons.
</t>
    </r>
    <r>
      <rPr>
        <b/>
        <sz val="11"/>
        <rFont val="Calibri"/>
        <family val="2"/>
        <scheme val="minor"/>
      </rPr>
      <t xml:space="preserve">- Singlife Elite Term II: </t>
    </r>
    <r>
      <rPr>
        <sz val="11"/>
        <rFont val="Calibri"/>
        <family val="2"/>
        <scheme val="minor"/>
      </rPr>
      <t xml:space="preserve"> </t>
    </r>
    <r>
      <rPr>
        <sz val="11"/>
        <color rgb="FF0000CC"/>
        <rFont val="Calibri"/>
        <family val="2"/>
        <scheme val="minor"/>
      </rPr>
      <t>30% perpetual discount on Singlife Elite Term II and TPD Advance Cover Plus III (rider); 10% perpetual discount on CI Advance Cover Plus IV (rider) &amp; Early Critical Illness Cover II (rider), applicable to minimum basic plan sum assured per policy of S$500,000 (in contract currency)</t>
    </r>
    <r>
      <rPr>
        <sz val="11"/>
        <rFont val="Calibri"/>
        <family val="2"/>
        <scheme val="minor"/>
      </rPr>
      <t>. Promotion period from 14 March 2024 onwards.  Premiums shown in the comparison tables are discounted rates.</t>
    </r>
    <r>
      <rPr>
        <b/>
        <sz val="11"/>
        <rFont val="Calibri"/>
        <family val="2"/>
        <scheme val="minor"/>
      </rPr>
      <t xml:space="preserve">
- Manulife ManuProtect Term II:</t>
    </r>
    <r>
      <rPr>
        <sz val="11"/>
        <rFont val="Calibri"/>
        <family val="2"/>
        <scheme val="minor"/>
      </rPr>
      <t xml:space="preserve"> </t>
    </r>
    <r>
      <rPr>
        <sz val="11"/>
        <color rgb="FF0000CC"/>
        <rFont val="Calibri"/>
        <family val="2"/>
        <scheme val="minor"/>
      </rPr>
      <t>8% perpetual discount applicable to main plan and all riders. Premium discount will still be applicable upon renewal of the policy only if there is no change in sum insured or premium/addition or deletion of rider</t>
    </r>
    <r>
      <rPr>
        <sz val="11"/>
        <rFont val="Calibri"/>
        <family val="2"/>
        <scheme val="minor"/>
      </rPr>
      <t xml:space="preserve">. Applications must be signed between 1 April 2024 and 30 June 2024 (both dates inclusive), submitted to Manulife by 2 July 2024 and issued by 2 Sept 2024. PIAS internal cut-off date applies; refer to the promotion email for more details. Premiums shown in the comparison tables are discounted rates.
</t>
    </r>
    <r>
      <rPr>
        <b/>
        <sz val="11"/>
        <rFont val="Calibri"/>
        <family val="2"/>
        <scheme val="minor"/>
      </rPr>
      <t xml:space="preserve">- Etiqa Essential Term Life Cover:  </t>
    </r>
    <r>
      <rPr>
        <sz val="11"/>
        <color rgb="FF0000CC"/>
        <rFont val="Calibri"/>
        <family val="2"/>
        <scheme val="minor"/>
      </rPr>
      <t>up to 53% perpetual discount for Etiqa Essential Term Life Cover; up to 54% perpetual discount for Extra disability care rider; 20% perpetual discount for Early CI rider.</t>
    </r>
    <r>
      <rPr>
        <sz val="11"/>
        <rFont val="Calibri"/>
        <family val="2"/>
        <scheme val="minor"/>
      </rPr>
      <t xml:space="preserve"> However, do note that rates shown in this comparison placemat does not include the premium discount as the  discount in terms of % varies based on different entry age/policy term. Rates generated from Etiqa i-Connect are discounted rates. Promotion period from 30 Nov 2023 onwards.</t>
    </r>
    <r>
      <rPr>
        <sz val="11"/>
        <color theme="1"/>
        <rFont val="Calibri"/>
        <family val="2"/>
        <scheme val="minor"/>
      </rPr>
      <t xml:space="preserve">
</t>
    </r>
    <r>
      <rPr>
        <sz val="11"/>
        <rFont val="Calibri"/>
        <family val="2"/>
        <scheme val="minor"/>
      </rPr>
      <t xml:space="preserve">
 </t>
    </r>
    <r>
      <rPr>
        <sz val="11"/>
        <color theme="1"/>
        <rFont val="Calibri"/>
        <family val="2"/>
        <scheme val="minor"/>
      </rPr>
      <t xml:space="preserve">
</t>
    </r>
  </si>
  <si>
    <r>
      <t xml:space="preserve">- For meaningful comparison, all the other regular pay term plans are being compared against based on the total premium paid for the same 30 years policy term coverage.
- Advance CI Riders are attached to the basic term plans for comparison
- There is only one comparison for </t>
    </r>
    <r>
      <rPr>
        <b/>
        <sz val="11"/>
        <color theme="1"/>
        <rFont val="Calibri"/>
        <family val="2"/>
        <scheme val="minor"/>
      </rPr>
      <t>China Life Term Guardian</t>
    </r>
    <r>
      <rPr>
        <sz val="11"/>
        <color theme="1"/>
        <rFont val="Calibri"/>
        <family val="2"/>
        <scheme val="minor"/>
      </rPr>
      <t xml:space="preserve"> which is up to age 65 coverage due to limitation of premium term option.
- TPD is an embedded benefit in basic plan for </t>
    </r>
    <r>
      <rPr>
        <b/>
        <sz val="11"/>
        <color theme="1"/>
        <rFont val="Calibri"/>
        <family val="2"/>
        <scheme val="minor"/>
      </rPr>
      <t>China Life Term Guardian</t>
    </r>
    <r>
      <rPr>
        <sz val="11"/>
        <color theme="1"/>
        <rFont val="Calibri"/>
        <family val="2"/>
        <scheme val="minor"/>
      </rPr>
      <t xml:space="preserve"> &amp;</t>
    </r>
    <r>
      <rPr>
        <b/>
        <sz val="11"/>
        <color theme="1"/>
        <rFont val="Calibri"/>
        <family val="2"/>
        <scheme val="minor"/>
      </rPr>
      <t xml:space="preserve"> Tokio Marine Term Assure II
- Income TermLife Solitaire </t>
    </r>
    <r>
      <rPr>
        <sz val="11"/>
        <color theme="1"/>
        <rFont val="Calibri"/>
        <family val="2"/>
        <scheme val="minor"/>
      </rPr>
      <t xml:space="preserve">is not included in this comparison as it does not have any attachable Advance CI rider
</t>
    </r>
    <r>
      <rPr>
        <b/>
        <sz val="11"/>
        <color theme="1"/>
        <rFont val="Calibri"/>
        <family val="2"/>
        <scheme val="minor"/>
      </rPr>
      <t xml:space="preserve">
</t>
    </r>
    <r>
      <rPr>
        <sz val="11"/>
        <color theme="1"/>
        <rFont val="Calibri"/>
        <family val="2"/>
        <scheme val="minor"/>
      </rPr>
      <t xml:space="preserve">-  Only perpetual premium discounts are factored in for comparisons.
</t>
    </r>
    <r>
      <rPr>
        <b/>
        <sz val="11"/>
        <color theme="1"/>
        <rFont val="Calibri"/>
        <family val="2"/>
        <scheme val="minor"/>
      </rPr>
      <t xml:space="preserve">
- Singlife Elite Term II:  </t>
    </r>
    <r>
      <rPr>
        <sz val="11"/>
        <color rgb="FF0000CC"/>
        <rFont val="Calibri"/>
        <family val="2"/>
        <scheme val="minor"/>
      </rPr>
      <t xml:space="preserve">30% perpetual discount on Singlife Elite Term II and TPD Advance Cover Plus III (rider); 10% perpetual discount on CI Advance Cover Plus IV (rider) &amp; Early Critical Illness Cover II (rider), applicable to minimum basic plan sum assured per policy of S$500,000 (in contract currency). </t>
    </r>
    <r>
      <rPr>
        <sz val="11"/>
        <color theme="1"/>
        <rFont val="Calibri"/>
        <family val="2"/>
        <scheme val="minor"/>
      </rPr>
      <t xml:space="preserve">Promotion period from 14 March 2024 onwards.  Premiums shown in the comparison tables are discounted rates.
</t>
    </r>
    <r>
      <rPr>
        <b/>
        <sz val="11"/>
        <color theme="1"/>
        <rFont val="Calibri"/>
        <family val="2"/>
        <scheme val="minor"/>
      </rPr>
      <t xml:space="preserve">
- Manulife ManuProtect Term II: </t>
    </r>
    <r>
      <rPr>
        <sz val="11"/>
        <color rgb="FF0000CC"/>
        <rFont val="Calibri"/>
        <family val="2"/>
        <scheme val="minor"/>
      </rPr>
      <t xml:space="preserve">8% perpetual discount applicable to main plan and all riders. Premium discount will still be applicable upon renewal of the policy only if there is no change in sum insured or premium/addition or deletion of rider. </t>
    </r>
    <r>
      <rPr>
        <sz val="11"/>
        <color theme="1"/>
        <rFont val="Calibri"/>
        <family val="2"/>
        <scheme val="minor"/>
      </rPr>
      <t xml:space="preserve">Applications must be signed between 1 April 2024 and 30 June 2024 (both dates inclusive), submitted to Manulife by 2 July 2024 and issued by 2 Sept 2024. PIAS internal cut-off date applies; refer to the promotion email for more details. Premiums shown in the comparison tables are discounted rates.
</t>
    </r>
    <r>
      <rPr>
        <b/>
        <sz val="11"/>
        <color theme="1"/>
        <rFont val="Calibri"/>
        <family val="2"/>
        <scheme val="minor"/>
      </rPr>
      <t xml:space="preserve">- Etiqa Essential Term Life Cover: </t>
    </r>
    <r>
      <rPr>
        <sz val="11"/>
        <color theme="1"/>
        <rFont val="Calibri"/>
        <family val="2"/>
        <scheme val="minor"/>
      </rPr>
      <t xml:space="preserve"> </t>
    </r>
    <r>
      <rPr>
        <sz val="11"/>
        <color rgb="FF0000CC"/>
        <rFont val="Calibri"/>
        <family val="2"/>
        <scheme val="minor"/>
      </rPr>
      <t xml:space="preserve">up to 53% perpetual discount for Etiqa Essential Term Life Cover; up to 54% perpetual discount for Extra disability care rider; 20% perpetual discount for Early CI rider. </t>
    </r>
    <r>
      <rPr>
        <sz val="11"/>
        <color theme="1"/>
        <rFont val="Calibri"/>
        <family val="2"/>
        <scheme val="minor"/>
      </rPr>
      <t>However, do note that rates shown in this comparison placemat does not include the premium discount as the  discount in terms of % varies based on different entry age/policy term. Rates generated from Etiqa i-Connect are discounted rates. Promotion period from 30 Nov 2023 onwards.</t>
    </r>
  </si>
  <si>
    <t xml:space="preserve">TermLife Solitaire
</t>
  </si>
  <si>
    <t xml:space="preserve">Income
TermLife Solitaire
</t>
  </si>
  <si>
    <t xml:space="preserve">	Essential Protect</t>
  </si>
  <si>
    <t>Essential Protect</t>
  </si>
  <si>
    <t>Base Cover: $190.88
TPD rider: $31.50</t>
  </si>
  <si>
    <t>CI Rider: $222.38</t>
  </si>
  <si>
    <t>Total: $222.38
(10 year renewal)</t>
  </si>
  <si>
    <t>Total premium payable:
$151,733.88
(over 45 years)</t>
  </si>
  <si>
    <t>Total: $651
(10 year renewal)</t>
  </si>
  <si>
    <t>Total premium payable:
 $277,064.88
(over 45 years)</t>
  </si>
  <si>
    <t>Total premium payable: 
$150,117.68
(over 55 years)</t>
  </si>
  <si>
    <r>
      <t xml:space="preserve">i-Assure99
</t>
    </r>
    <r>
      <rPr>
        <sz val="11"/>
        <color rgb="FFFF0000"/>
        <rFont val="Calibri"/>
        <family val="2"/>
        <scheme val="minor"/>
      </rPr>
      <t>(Non-Participating Whole Life(till age 99))</t>
    </r>
  </si>
  <si>
    <t>Disclaimer: All references made are based on PIAS suite of products in this category only. Non-participation whole life plan has been added for completeness for comparison</t>
  </si>
  <si>
    <t>Death / TPD</t>
  </si>
  <si>
    <t>Compulsory (age 99)</t>
  </si>
  <si>
    <t>Whole Life till age 99</t>
  </si>
  <si>
    <t>Policyholder: 19 – NA (ANB)
Life Insured 
Payment Term to age 65: 19 - 60 (ANB)
Payment term to age 99: 19 - 70 (ANB)</t>
  </si>
  <si>
    <t>- Longevity Benefit that pays out basic sum assured if life assured is still alive at end of policy term (age 99)
- Surrender Benefit: Guaranteed Surrender Value is available starting for policy anniversary which the life insured's age is 80. Guaranteed surrender value is a % of the basic sum assured depending on the premium term and the payment term chosen.
- Partial Surrender allows the policyholder to partially surrender the basic sum assured of in return for a guaranteed surrender value that is a % of the basic sum assured to be surrendered from the policy anniversary on which the life insured’s age is 80</t>
  </si>
  <si>
    <t>- Enhanced Waiver Rider
- Early Waiver Rider
- Payor Rider
- Enhanced Payor Rider
- Early Payor Rider</t>
  </si>
  <si>
    <t>Death/TPD (till age 99)</t>
  </si>
  <si>
    <t>Death/TPD
(till age 99)</t>
  </si>
  <si>
    <r>
      <t xml:space="preserve">China Taiping
i-Assure99 
</t>
    </r>
    <r>
      <rPr>
        <b/>
        <sz val="11"/>
        <color rgb="FFFF0000"/>
        <rFont val="Calibri"/>
        <family val="2"/>
        <scheme val="minor"/>
      </rPr>
      <t>(Non-Par Whole Life)</t>
    </r>
  </si>
  <si>
    <r>
      <t xml:space="preserve">i-Assure99
</t>
    </r>
    <r>
      <rPr>
        <b/>
        <sz val="11"/>
        <color rgb="FFFF0000"/>
        <rFont val="Calibri"/>
        <family val="2"/>
      </rPr>
      <t>(Non-Par Whole Life)</t>
    </r>
  </si>
  <si>
    <r>
      <t xml:space="preserve">i-Assure99
</t>
    </r>
    <r>
      <rPr>
        <b/>
        <sz val="11"/>
        <color rgb="FFFF0000"/>
        <rFont val="Calibri"/>
        <family val="2"/>
        <scheme val="minor"/>
      </rPr>
      <t>(Non-Par Whole Life)</t>
    </r>
  </si>
  <si>
    <t>Singlife Elite Term II
(Regular Pay)</t>
  </si>
  <si>
    <t>Singlife Elite Term II
(Limited Pay)</t>
  </si>
  <si>
    <t>ANB1 - 18: $3,000,000
ANB 19 -70: Subject to underwriting</t>
  </si>
  <si>
    <r>
      <rPr>
        <sz val="11"/>
        <rFont val="Calibri"/>
        <family val="2"/>
        <scheme val="minor"/>
      </rPr>
      <t>- MultiPay Critical Illness Cover IV
- Early Critical Illness Cover II</t>
    </r>
    <r>
      <rPr>
        <sz val="11"/>
        <color rgb="FFFF0000"/>
        <rFont val="Calibri"/>
        <family val="2"/>
        <scheme val="minor"/>
      </rPr>
      <t xml:space="preserve">
</t>
    </r>
    <r>
      <rPr>
        <sz val="11"/>
        <rFont val="Calibri"/>
        <family val="2"/>
        <scheme val="minor"/>
      </rPr>
      <t>- Total and Permanent Disability Advance Cover Plus III (Limited Pay)</t>
    </r>
    <r>
      <rPr>
        <sz val="11"/>
        <color rgb="FFFF0000"/>
        <rFont val="Calibri"/>
        <family val="2"/>
        <scheme val="minor"/>
      </rPr>
      <t xml:space="preserve">
</t>
    </r>
    <r>
      <rPr>
        <sz val="11"/>
        <rFont val="Calibri"/>
        <family val="2"/>
        <scheme val="minor"/>
      </rPr>
      <t>- Critical Illness Advance Cover Plus IV
- Singlife Big 3 Critical Illness Cover</t>
    </r>
    <r>
      <rPr>
        <sz val="11"/>
        <color rgb="FFFF0000"/>
        <rFont val="Calibri"/>
        <family val="2"/>
        <scheme val="minor"/>
      </rPr>
      <t xml:space="preserve">
</t>
    </r>
    <r>
      <rPr>
        <sz val="11"/>
        <rFont val="Calibri"/>
        <family val="2"/>
        <scheme val="minor"/>
      </rPr>
      <t>- Critical Illness Premium Waiver II</t>
    </r>
    <r>
      <rPr>
        <sz val="11"/>
        <color rgb="FFFF0000"/>
        <rFont val="Calibri"/>
        <family val="2"/>
        <scheme val="minor"/>
      </rPr>
      <t xml:space="preserve">
</t>
    </r>
    <r>
      <rPr>
        <sz val="11"/>
        <rFont val="Calibri"/>
        <family val="2"/>
        <scheme val="minor"/>
      </rPr>
      <t>- Payer Critical Illness Premium Waiver II</t>
    </r>
    <r>
      <rPr>
        <sz val="11"/>
        <color rgb="FFFF0000"/>
        <rFont val="Calibri"/>
        <family val="2"/>
        <scheme val="minor"/>
      </rPr>
      <t xml:space="preserve">
</t>
    </r>
    <r>
      <rPr>
        <sz val="11"/>
        <rFont val="Calibri"/>
        <family val="2"/>
        <scheme val="minor"/>
      </rPr>
      <t>- Payer Premium Waiver Benefit</t>
    </r>
  </si>
  <si>
    <t>Singlife
Elite Term II
(Limted Pay)</t>
  </si>
  <si>
    <t>5 years</t>
  </si>
  <si>
    <t>10 years</t>
  </si>
  <si>
    <t>Policy Term till Age 99 ANB</t>
  </si>
  <si>
    <t>Death/TI/TPD (till age 99)</t>
  </si>
  <si>
    <t>Death/TI/CI/TPD 
(till age 99)</t>
  </si>
  <si>
    <t>Death/TI/CI/ TPD 
(till age 99)</t>
  </si>
  <si>
    <t>Annual Premium</t>
  </si>
  <si>
    <t>Total Premium Payable</t>
  </si>
  <si>
    <r>
      <t xml:space="preserve">to age 75 </t>
    </r>
    <r>
      <rPr>
        <sz val="11"/>
        <rFont val="Calibri"/>
        <family val="2"/>
        <scheme val="minor"/>
      </rPr>
      <t>(</t>
    </r>
    <r>
      <rPr>
        <sz val="11"/>
        <color rgb="FF0070C0"/>
        <rFont val="Calibri"/>
        <family val="2"/>
        <scheme val="minor"/>
      </rPr>
      <t>45</t>
    </r>
    <r>
      <rPr>
        <sz val="11"/>
        <rFont val="Calibri"/>
        <family val="2"/>
        <scheme val="minor"/>
      </rPr>
      <t>)</t>
    </r>
  </si>
  <si>
    <r>
      <t>to age 75</t>
    </r>
    <r>
      <rPr>
        <sz val="11"/>
        <rFont val="Calibri"/>
        <family val="2"/>
        <scheme val="minor"/>
      </rPr>
      <t xml:space="preserve"> (</t>
    </r>
    <r>
      <rPr>
        <sz val="11"/>
        <color rgb="FF0070C0"/>
        <rFont val="Calibri"/>
        <family val="2"/>
        <scheme val="minor"/>
      </rPr>
      <t>40</t>
    </r>
    <r>
      <rPr>
        <sz val="11"/>
        <rFont val="Calibri"/>
        <family val="2"/>
        <scheme val="minor"/>
      </rPr>
      <t>)</t>
    </r>
  </si>
  <si>
    <r>
      <t>to age 75</t>
    </r>
    <r>
      <rPr>
        <sz val="11"/>
        <rFont val="Calibri"/>
        <family val="2"/>
        <scheme val="minor"/>
      </rPr>
      <t xml:space="preserve"> (</t>
    </r>
    <r>
      <rPr>
        <sz val="11"/>
        <color rgb="FF0070C0"/>
        <rFont val="Calibri"/>
        <family val="2"/>
        <scheme val="minor"/>
      </rPr>
      <t>35</t>
    </r>
    <r>
      <rPr>
        <sz val="11"/>
        <rFont val="Calibri"/>
        <family val="2"/>
        <scheme val="minor"/>
      </rPr>
      <t>)</t>
    </r>
  </si>
  <si>
    <r>
      <t xml:space="preserve">to age 75 </t>
    </r>
    <r>
      <rPr>
        <sz val="11"/>
        <rFont val="Calibri"/>
        <family val="2"/>
        <scheme val="minor"/>
      </rPr>
      <t>(</t>
    </r>
    <r>
      <rPr>
        <sz val="11"/>
        <color rgb="FF0070C0"/>
        <rFont val="Calibri"/>
        <family val="2"/>
        <scheme val="minor"/>
      </rPr>
      <t>25</t>
    </r>
    <r>
      <rPr>
        <sz val="11"/>
        <rFont val="Calibri"/>
        <family val="2"/>
        <scheme val="minor"/>
      </rPr>
      <t>)</t>
    </r>
  </si>
  <si>
    <r>
      <t>to age 75</t>
    </r>
    <r>
      <rPr>
        <sz val="11"/>
        <rFont val="Calibri"/>
        <family val="2"/>
        <scheme val="minor"/>
      </rPr>
      <t xml:space="preserve"> (</t>
    </r>
    <r>
      <rPr>
        <sz val="11"/>
        <color rgb="FF0070C0"/>
        <rFont val="Calibri"/>
        <family val="2"/>
        <scheme val="minor"/>
      </rPr>
      <t>30</t>
    </r>
    <r>
      <rPr>
        <sz val="11"/>
        <rFont val="Calibri"/>
        <family val="2"/>
        <scheme val="minor"/>
      </rPr>
      <t>)</t>
    </r>
  </si>
  <si>
    <t>Original Premium</t>
  </si>
  <si>
    <t>After 15% first year cashback</t>
  </si>
  <si>
    <t>Original</t>
  </si>
  <si>
    <t>After 15% Cashback</t>
  </si>
  <si>
    <t>Essential Protect 
(See notes)</t>
  </si>
  <si>
    <t>Essential Protect
(See notes)</t>
  </si>
  <si>
    <t>Essential Protect
(see notes)</t>
  </si>
  <si>
    <t>Policyholder: 17- 99 (ANB) 
3rd Party Life Insured (Pay till 65): 
1 - 60 (ANB)
3rd Party Life Insured (Limited Pay 10 years): 1 - 65 (ANB)
3rd Party Life Insured (Limited Pay 5 &amp; Pay till 75): 1 - 70 (ANB)
Single/Joint Life Insured (Pay till 65): 1 - 60 (ANB)
Single/Joint Life Insured (Limited Pay 10 years): 1 - 65 (ANB)
Single/Joint Life Insured (Limited Pay 5 &amp; Pay till 75): 1 - 70 (ANB)</t>
  </si>
  <si>
    <t>- Interim accidental death benefit (up to $500,000 or its equivalent in other currencies )
- Joint lives application
- Limited Pay premium term available for coverage till ANB 99
- Surrender Benefit available from 3rd policy year onwards.
- Longevity Reward that pays out total premium paid for basic plan if life assured is still alive at end of policy term (age 99).</t>
  </si>
  <si>
    <t>Elite Term II
(Regular Pay)</t>
  </si>
  <si>
    <t>Singlife 
Elite Term II
(Regular Pay)</t>
  </si>
  <si>
    <t>Up to 99 ANB</t>
  </si>
  <si>
    <t>After 15% cashback for 1st year</t>
  </si>
  <si>
    <t>Original Premium with embedded 10%</t>
  </si>
  <si>
    <t>After 15% Cashback for 1st year</t>
  </si>
  <si>
    <t>Plan</t>
  </si>
  <si>
    <t>Promotion Details</t>
  </si>
  <si>
    <t>First Year Premium Discount</t>
  </si>
  <si>
    <t>Premium Discount</t>
  </si>
  <si>
    <t>i-Assure99</t>
  </si>
  <si>
    <t>First 3 Years Premium Discount</t>
  </si>
  <si>
    <t>Perpetual Premium Discount</t>
  </si>
  <si>
    <t>Cashback on Annualised Premiums</t>
  </si>
  <si>
    <t>Note: Kindly note that PIAS internal submission cut-off date to Propel Business Support applies to all promotions, please refer to the respective promotion email from PIAS for more details.</t>
  </si>
  <si>
    <r>
      <rPr>
        <sz val="11"/>
        <color rgb="FF0000CC"/>
        <rFont val="Calibri"/>
        <family val="2"/>
        <scheme val="minor"/>
      </rPr>
      <t>- Relatively competitive premium rates, especially for policy term up to age 85</t>
    </r>
    <r>
      <rPr>
        <sz val="11"/>
        <color rgb="FFFF0000"/>
        <rFont val="Calibri"/>
        <family val="2"/>
        <scheme val="minor"/>
      </rPr>
      <t xml:space="preserve">
</t>
    </r>
    <r>
      <rPr>
        <sz val="11"/>
        <color rgb="FF0000CC"/>
        <rFont val="Calibri"/>
        <family val="2"/>
        <scheme val="minor"/>
      </rPr>
      <t>- Guaranteed Insurability option</t>
    </r>
    <r>
      <rPr>
        <sz val="11"/>
        <color theme="1"/>
        <rFont val="Calibri"/>
        <family val="2"/>
        <scheme val="minor"/>
      </rPr>
      <t xml:space="preserve"> upon key life milestones (up to $500,000 booster to your current sum insured) 
</t>
    </r>
    <r>
      <rPr>
        <sz val="11"/>
        <color rgb="FF0000CC"/>
        <rFont val="Calibri"/>
        <family val="2"/>
        <scheme val="minor"/>
      </rPr>
      <t xml:space="preserve">- Convert your partially or fully policy to a whole life or endowment without underwriting </t>
    </r>
    <r>
      <rPr>
        <sz val="11"/>
        <color theme="1"/>
        <rFont val="Calibri"/>
        <family val="2"/>
        <scheme val="minor"/>
      </rPr>
      <t xml:space="preserve">
- </t>
    </r>
    <r>
      <rPr>
        <sz val="11"/>
        <color rgb="FF0000CC"/>
        <rFont val="Calibri"/>
        <family val="2"/>
        <scheme val="minor"/>
      </rPr>
      <t>Wide range of riders attachable</t>
    </r>
    <r>
      <rPr>
        <sz val="11"/>
        <color theme="1"/>
        <rFont val="Calibri"/>
        <family val="2"/>
        <scheme val="minor"/>
      </rPr>
      <t xml:space="preserve"> for more complete cover Joint life application allowed for husband and wife basis 
</t>
    </r>
    <r>
      <rPr>
        <sz val="11"/>
        <color rgb="FF0000CC"/>
        <rFont val="Calibri"/>
        <family val="2"/>
        <scheme val="minor"/>
      </rPr>
      <t>- Additional coverage on interim accidental death
- Optional TPD coverage is offered up to age 99</t>
    </r>
    <r>
      <rPr>
        <sz val="11"/>
        <color theme="1"/>
        <rFont val="Calibri"/>
        <family val="2"/>
        <scheme val="minor"/>
      </rPr>
      <t xml:space="preserve">
</t>
    </r>
    <r>
      <rPr>
        <sz val="11"/>
        <color rgb="FF0000CC"/>
        <rFont val="Calibri"/>
        <family val="2"/>
        <scheme val="minor"/>
      </rPr>
      <t xml:space="preserve">- Comes with policy term of up to 99 ANB for long-term protection and aids in legacy planning. 
- Wide range of plan currency options (SGD/ USD/ GBP/ EUR/ AUD/ HKD)
</t>
    </r>
  </si>
  <si>
    <r>
      <t>-</t>
    </r>
    <r>
      <rPr>
        <sz val="11"/>
        <color rgb="FF0000CC"/>
        <rFont val="Calibri"/>
        <family val="2"/>
        <scheme val="minor"/>
      </rPr>
      <t xml:space="preserve"> Competitive total premium payable </t>
    </r>
    <r>
      <rPr>
        <sz val="11"/>
        <color theme="1"/>
        <rFont val="Calibri"/>
        <family val="2"/>
        <scheme val="minor"/>
      </rPr>
      <t xml:space="preserve">
- </t>
    </r>
    <r>
      <rPr>
        <sz val="11"/>
        <color rgb="FF0000CC"/>
        <rFont val="Calibri"/>
        <family val="2"/>
        <scheme val="minor"/>
      </rPr>
      <t>One of the lowest sum assured requirements</t>
    </r>
    <r>
      <rPr>
        <sz val="11"/>
        <color theme="1"/>
        <rFont val="Calibri"/>
        <family val="2"/>
        <scheme val="minor"/>
      </rPr>
      <t xml:space="preserve">
-</t>
    </r>
    <r>
      <rPr>
        <sz val="11"/>
        <color rgb="FF0000CC"/>
        <rFont val="Calibri"/>
        <family val="2"/>
        <scheme val="minor"/>
      </rPr>
      <t xml:space="preserve"> Low entry age for juvenile life insured starting from ANB1</t>
    </r>
    <r>
      <rPr>
        <sz val="11"/>
        <color theme="1"/>
        <rFont val="Calibri"/>
        <family val="2"/>
        <scheme val="minor"/>
      </rPr>
      <t xml:space="preserve">
- </t>
    </r>
    <r>
      <rPr>
        <sz val="11"/>
        <color rgb="FF0000CC"/>
        <rFont val="Calibri"/>
        <family val="2"/>
        <scheme val="minor"/>
      </rPr>
      <t>Provides various options such as policy denomination</t>
    </r>
    <r>
      <rPr>
        <sz val="11"/>
        <color theme="1"/>
        <rFont val="Calibri"/>
        <family val="2"/>
        <scheme val="minor"/>
      </rPr>
      <t xml:space="preserve"> in either of the 6 currencies (SGD/ USD/ GBP/ EUR/ AUD/ HKD), allowing </t>
    </r>
    <r>
      <rPr>
        <sz val="11"/>
        <color rgb="FF0000CC"/>
        <rFont val="Calibri"/>
        <family val="2"/>
        <scheme val="minor"/>
      </rPr>
      <t xml:space="preserve">joint-life applications </t>
    </r>
    <r>
      <rPr>
        <sz val="11"/>
        <color theme="1"/>
        <rFont val="Calibri"/>
        <family val="2"/>
        <scheme val="minor"/>
      </rPr>
      <t xml:space="preserve">and </t>
    </r>
    <r>
      <rPr>
        <sz val="11"/>
        <color rgb="FF0000CC"/>
        <rFont val="Calibri"/>
        <family val="2"/>
        <scheme val="minor"/>
      </rPr>
      <t xml:space="preserve">availability of 8 riders </t>
    </r>
    <r>
      <rPr>
        <sz val="11"/>
        <color theme="1"/>
        <rFont val="Calibri"/>
        <family val="2"/>
        <scheme val="minor"/>
      </rPr>
      <t xml:space="preserve">that clients can choose to add for enhanced coverage, including a multipay CI rider.
- Option to </t>
    </r>
    <r>
      <rPr>
        <sz val="11"/>
        <color rgb="FF0000CC"/>
        <rFont val="Calibri"/>
        <family val="2"/>
        <scheme val="minor"/>
      </rPr>
      <t>increase the sum assured at cover life stage events without medical underwriting</t>
    </r>
    <r>
      <rPr>
        <sz val="11"/>
        <color theme="1"/>
        <rFont val="Calibri"/>
        <family val="2"/>
        <scheme val="minor"/>
      </rPr>
      <t xml:space="preserve">
- Only term plan in the approved product suite that offers the </t>
    </r>
    <r>
      <rPr>
        <sz val="11"/>
        <color rgb="FF0000CC"/>
        <rFont val="Calibri"/>
        <family val="2"/>
        <scheme val="minor"/>
      </rPr>
      <t>flexibility of both regular pay and limited pay options</t>
    </r>
    <r>
      <rPr>
        <sz val="11"/>
        <color theme="1"/>
        <rFont val="Calibri"/>
        <family val="2"/>
        <scheme val="minor"/>
      </rPr>
      <t xml:space="preserve">
- Has a </t>
    </r>
    <r>
      <rPr>
        <sz val="11"/>
        <color rgb="FF0000CC"/>
        <rFont val="Calibri"/>
        <family val="2"/>
        <scheme val="minor"/>
      </rPr>
      <t>Longevity Reward</t>
    </r>
    <r>
      <rPr>
        <sz val="11"/>
        <color theme="1"/>
        <rFont val="Calibri"/>
        <family val="2"/>
        <scheme val="minor"/>
      </rPr>
      <t xml:space="preserve"> benefit, which pays out the total premium paid if the life assured is still alive at the end of the policy term (age 99).
- Has </t>
    </r>
    <r>
      <rPr>
        <sz val="11"/>
        <color rgb="FF0000CC"/>
        <rFont val="Calibri"/>
        <family val="2"/>
        <scheme val="minor"/>
      </rPr>
      <t xml:space="preserve">Surrender Benefit </t>
    </r>
    <r>
      <rPr>
        <sz val="11"/>
        <color theme="1"/>
        <rFont val="Calibri"/>
        <family val="2"/>
        <scheme val="minor"/>
      </rPr>
      <t xml:space="preserve">starting from 3rd policy year
</t>
    </r>
  </si>
  <si>
    <r>
      <rPr>
        <sz val="11"/>
        <color rgb="FF0000CC"/>
        <rFont val="Calibri"/>
        <family val="2"/>
        <scheme val="minor"/>
      </rPr>
      <t>- Competitive premium comparison rates</t>
    </r>
    <r>
      <rPr>
        <sz val="11"/>
        <rFont val="Calibri"/>
        <family val="2"/>
        <scheme val="minor"/>
      </rPr>
      <t xml:space="preserve">
- One of the longest coverage for embedded TPD coverage with max coverage age is up to age 99
- </t>
    </r>
    <r>
      <rPr>
        <sz val="11"/>
        <color rgb="FF0000CC"/>
        <rFont val="Calibri"/>
        <family val="2"/>
        <scheme val="minor"/>
      </rPr>
      <t>Provides guaranteed surrender value starting from the policy anniversary on which the life insured’s age is 80</t>
    </r>
    <r>
      <rPr>
        <sz val="11"/>
        <rFont val="Calibri"/>
        <family val="2"/>
        <scheme val="minor"/>
      </rPr>
      <t xml:space="preserve">, as long as premiums are paid to date. The guaranteed surrender value ranges from 2.5% to 50% of the basic sum assured, depending on the age at which the client surrenders the policy, the selected premium term and the entry age.  This provides the client with flexibility with the option to fully or partially surrender the policy for cash value.
- </t>
    </r>
    <r>
      <rPr>
        <sz val="11"/>
        <color rgb="FF0000CC"/>
        <rFont val="Calibri"/>
        <family val="2"/>
        <scheme val="minor"/>
      </rPr>
      <t xml:space="preserve">Has a Longevity Benefit, which pays out the basic sum assured if the life assured is still alive at the end of the policy term </t>
    </r>
    <r>
      <rPr>
        <sz val="11"/>
        <rFont val="Calibri"/>
        <family val="2"/>
        <scheme val="minor"/>
      </rPr>
      <t>(</t>
    </r>
    <r>
      <rPr>
        <sz val="11"/>
        <color rgb="FF0000CC"/>
        <rFont val="Calibri"/>
        <family val="2"/>
        <scheme val="minor"/>
      </rPr>
      <t>age 99</t>
    </r>
    <r>
      <rPr>
        <sz val="11"/>
        <rFont val="Calibri"/>
        <family val="2"/>
        <scheme val="minor"/>
      </rPr>
      <t xml:space="preserve">). This addresses longevity risk with additional cash flow and addresses concerns about outliving the policy term and not receiving any payouts from insurance policies. 
</t>
    </r>
  </si>
  <si>
    <r>
      <rPr>
        <sz val="11"/>
        <color rgb="FF0000CC"/>
        <rFont val="Calibri"/>
        <family val="2"/>
        <scheme val="minor"/>
      </rPr>
      <t>- Relatively competitive premium rates
- Guaranteed renewability for 5 &amp; 10-year renewable term</t>
    </r>
    <r>
      <rPr>
        <sz val="11"/>
        <rFont val="Calibri"/>
        <family val="2"/>
        <scheme val="minor"/>
      </rPr>
      <t xml:space="preserve"> </t>
    </r>
    <r>
      <rPr>
        <sz val="11"/>
        <color rgb="FF0000CC"/>
        <rFont val="Calibri"/>
        <family val="2"/>
        <scheme val="minor"/>
      </rPr>
      <t>(</t>
    </r>
    <r>
      <rPr>
        <sz val="11"/>
        <rFont val="Calibri"/>
        <family val="2"/>
        <scheme val="minor"/>
      </rPr>
      <t>Maximum renewal age at ANB 84</t>
    </r>
    <r>
      <rPr>
        <sz val="11"/>
        <color rgb="FF0000CC"/>
        <rFont val="Calibri"/>
        <family val="2"/>
        <scheme val="minor"/>
      </rPr>
      <t>)</t>
    </r>
    <r>
      <rPr>
        <sz val="11"/>
        <rFont val="Calibri"/>
        <family val="2"/>
        <scheme val="minor"/>
      </rPr>
      <t xml:space="preserve">
</t>
    </r>
    <r>
      <rPr>
        <sz val="11"/>
        <color rgb="FF0000CC"/>
        <rFont val="Calibri"/>
        <family val="2"/>
        <scheme val="minor"/>
      </rPr>
      <t>- Wide range of available level policy term</t>
    </r>
    <r>
      <rPr>
        <sz val="11"/>
        <rFont val="Calibri"/>
        <family val="2"/>
        <scheme val="minor"/>
      </rPr>
      <t xml:space="preserve"> between</t>
    </r>
    <r>
      <rPr>
        <sz val="11"/>
        <color rgb="FF0000CC"/>
        <rFont val="Calibri"/>
        <family val="2"/>
        <scheme val="minor"/>
      </rPr>
      <t xml:space="preserve"> 11 to 40 years</t>
    </r>
    <r>
      <rPr>
        <sz val="11"/>
        <rFont val="Calibri"/>
        <family val="2"/>
        <scheme val="minor"/>
      </rPr>
      <t xml:space="preserve"> </t>
    </r>
    <r>
      <rPr>
        <sz val="11"/>
        <color rgb="FF0000CC"/>
        <rFont val="Calibri"/>
        <family val="2"/>
        <scheme val="minor"/>
      </rPr>
      <t>(</t>
    </r>
    <r>
      <rPr>
        <sz val="11"/>
        <rFont val="Calibri"/>
        <family val="2"/>
        <scheme val="minor"/>
      </rPr>
      <t>max age 85</t>
    </r>
    <r>
      <rPr>
        <sz val="11"/>
        <color rgb="FF0000CC"/>
        <rFont val="Calibri"/>
        <family val="2"/>
        <scheme val="minor"/>
      </rPr>
      <t>)</t>
    </r>
    <r>
      <rPr>
        <sz val="11"/>
        <rFont val="Calibri"/>
        <family val="2"/>
        <scheme val="minor"/>
      </rPr>
      <t xml:space="preserve"> at every 1 year interval or</t>
    </r>
    <r>
      <rPr>
        <sz val="11"/>
        <color rgb="FF0000CC"/>
        <rFont val="Calibri"/>
        <family val="2"/>
        <scheme val="minor"/>
      </rPr>
      <t xml:space="preserve"> up to age 65/75/85</t>
    </r>
    <r>
      <rPr>
        <sz val="11"/>
        <rFont val="Calibri"/>
        <family val="2"/>
        <scheme val="minor"/>
      </rPr>
      <t xml:space="preserve">
- Offers </t>
    </r>
    <r>
      <rPr>
        <sz val="11"/>
        <color rgb="FF0000CC"/>
        <rFont val="Calibri"/>
        <family val="2"/>
        <scheme val="minor"/>
      </rPr>
      <t>EarlyCare Rider</t>
    </r>
    <r>
      <rPr>
        <sz val="11"/>
        <rFont val="Calibri"/>
        <family val="2"/>
        <scheme val="minor"/>
      </rPr>
      <t xml:space="preserve"> which </t>
    </r>
    <r>
      <rPr>
        <sz val="11"/>
        <color rgb="FF0000CC"/>
        <rFont val="Calibri"/>
        <family val="2"/>
        <scheme val="minor"/>
      </rPr>
      <t>covers 149 conditions across early, intermediate and advanced stages and provides additional benefits for 12 special conditions</t>
    </r>
    <r>
      <rPr>
        <sz val="11"/>
        <rFont val="Calibri"/>
        <family val="2"/>
        <scheme val="minor"/>
      </rPr>
      <t xml:space="preserve">
</t>
    </r>
    <r>
      <rPr>
        <sz val="11"/>
        <color rgb="FF0000CC"/>
        <rFont val="Calibri"/>
        <family val="2"/>
        <scheme val="minor"/>
      </rPr>
      <t>- 55 CI conditions</t>
    </r>
    <r>
      <rPr>
        <sz val="11"/>
        <color rgb="FF0000FF"/>
        <rFont val="Calibri"/>
        <family val="2"/>
        <scheme val="minor"/>
      </rPr>
      <t xml:space="preserve"> </t>
    </r>
    <r>
      <rPr>
        <sz val="11"/>
        <rFont val="Calibri"/>
        <family val="2"/>
        <scheme val="minor"/>
      </rPr>
      <t xml:space="preserve">are covered under </t>
    </r>
    <r>
      <rPr>
        <sz val="11"/>
        <color rgb="FF0000CC"/>
        <rFont val="Calibri"/>
        <family val="2"/>
        <scheme val="minor"/>
      </rPr>
      <t xml:space="preserve">AdvancedCare Rider </t>
    </r>
    <r>
      <rPr>
        <sz val="11"/>
        <rFont val="Calibri"/>
        <family val="2"/>
        <scheme val="minor"/>
      </rPr>
      <t xml:space="preserve">
-</t>
    </r>
    <r>
      <rPr>
        <sz val="11"/>
        <color rgb="FF0000CC"/>
        <rFont val="Calibri"/>
        <family val="2"/>
        <scheme val="minor"/>
      </rPr>
      <t xml:space="preserve"> Conversion privilege to convert this term policy to a new endowment, whole life or investment-linked policy</t>
    </r>
    <r>
      <rPr>
        <sz val="11"/>
        <rFont val="Calibri"/>
        <family val="2"/>
        <scheme val="minor"/>
      </rPr>
      <t xml:space="preserve"> which China Taiping makes available at the time of conversion </t>
    </r>
    <r>
      <rPr>
        <sz val="11"/>
        <color rgb="FF0000CC"/>
        <rFont val="Calibri"/>
        <family val="2"/>
        <scheme val="minor"/>
      </rPr>
      <t>(</t>
    </r>
    <r>
      <rPr>
        <sz val="11"/>
        <rFont val="Calibri"/>
        <family val="2"/>
        <scheme val="minor"/>
      </rPr>
      <t>up to age 65</t>
    </r>
    <r>
      <rPr>
        <sz val="11"/>
        <color rgb="FF0000CC"/>
        <rFont val="Calibri"/>
        <family val="2"/>
        <scheme val="minor"/>
      </rPr>
      <t>)</t>
    </r>
    <r>
      <rPr>
        <sz val="11"/>
        <rFont val="Calibri"/>
        <family val="2"/>
        <scheme val="minor"/>
      </rPr>
      <t xml:space="preserve">, without further evidence of insurability of the life insured
</t>
    </r>
    <r>
      <rPr>
        <sz val="11"/>
        <color rgb="FF0000CC"/>
        <rFont val="Calibri"/>
        <family val="2"/>
        <scheme val="minor"/>
      </rPr>
      <t>- Optional TPD coverage is offered up to age 85</t>
    </r>
    <r>
      <rPr>
        <sz val="11"/>
        <rFont val="Calibri"/>
        <family val="2"/>
        <scheme val="minor"/>
      </rPr>
      <t xml:space="preserve">
</t>
    </r>
  </si>
  <si>
    <r>
      <t xml:space="preserve"> </t>
    </r>
    <r>
      <rPr>
        <sz val="11"/>
        <color rgb="FF0000CC"/>
        <rFont val="Calibri"/>
        <family val="2"/>
        <scheme val="minor"/>
      </rPr>
      <t>- Wide range of available level policy term</t>
    </r>
    <r>
      <rPr>
        <sz val="11"/>
        <rFont val="Calibri"/>
        <family val="2"/>
        <scheme val="minor"/>
      </rPr>
      <t xml:space="preserve"> between </t>
    </r>
    <r>
      <rPr>
        <sz val="11"/>
        <color rgb="FF0000CC"/>
        <rFont val="Calibri"/>
        <family val="2"/>
        <scheme val="minor"/>
      </rPr>
      <t>11 to 40 years</t>
    </r>
    <r>
      <rPr>
        <sz val="11"/>
        <rFont val="Calibri"/>
        <family val="2"/>
        <scheme val="minor"/>
      </rPr>
      <t xml:space="preserve"> (max age 85) at every 1 year interval or up to </t>
    </r>
    <r>
      <rPr>
        <sz val="11"/>
        <color rgb="FF0000FF"/>
        <rFont val="Calibri"/>
        <family val="2"/>
        <scheme val="minor"/>
      </rPr>
      <t xml:space="preserve">age </t>
    </r>
    <r>
      <rPr>
        <sz val="11"/>
        <color rgb="FF0000CC"/>
        <rFont val="Calibri"/>
        <family val="2"/>
        <scheme val="minor"/>
      </rPr>
      <t>65/75/85</t>
    </r>
    <r>
      <rPr>
        <sz val="11"/>
        <color rgb="FF0000FF"/>
        <rFont val="Calibri"/>
        <family val="2"/>
        <scheme val="minor"/>
      </rPr>
      <t xml:space="preserve">
</t>
    </r>
    <r>
      <rPr>
        <sz val="11"/>
        <color rgb="FF0000CC"/>
        <rFont val="Calibri"/>
        <family val="2"/>
        <scheme val="minor"/>
      </rPr>
      <t>- Optional TPD coverage is offered up to age 85
- Preferred rates are offered to preffered lives for sum insured $1 Million and above.
- Quit Smoking Incentive</t>
    </r>
    <r>
      <rPr>
        <sz val="11"/>
        <rFont val="Calibri"/>
        <family val="2"/>
        <scheme val="minor"/>
      </rPr>
      <t xml:space="preserve"> for smokers to enjoy better rates for first 3 years, this is available only to level and convertibile plans with sum assured of $500k and above)
</t>
    </r>
    <r>
      <rPr>
        <sz val="11"/>
        <color rgb="FF0000CC"/>
        <rFont val="Calibri"/>
        <family val="2"/>
        <scheme val="minor"/>
      </rPr>
      <t xml:space="preserve">- Guaranteed renewability privilege is applicable to 5 and 10-year policy term till age 85 </t>
    </r>
    <r>
      <rPr>
        <sz val="11"/>
        <rFont val="Calibri"/>
        <family val="2"/>
        <scheme val="minor"/>
      </rPr>
      <t>for policyholder regardless of health condition
-</t>
    </r>
    <r>
      <rPr>
        <sz val="11"/>
        <color rgb="FF0000CC"/>
        <rFont val="Calibri"/>
        <family val="2"/>
        <scheme val="minor"/>
      </rPr>
      <t xml:space="preserve"> Conversion privilege to convert this term policy to regular premium whole life, endowment or ILP</t>
    </r>
    <r>
      <rPr>
        <sz val="11"/>
        <rFont val="Calibri"/>
        <family val="2"/>
        <scheme val="minor"/>
      </rPr>
      <t xml:space="preserve"> while the policy is inforce and before age 65, without evidence of health.</t>
    </r>
  </si>
  <si>
    <r>
      <t xml:space="preserve">- </t>
    </r>
    <r>
      <rPr>
        <sz val="11"/>
        <color rgb="FF0000CC"/>
        <rFont val="Calibri"/>
        <family val="2"/>
        <scheme val="minor"/>
      </rPr>
      <t xml:space="preserve">Competitive premiums rates </t>
    </r>
    <r>
      <rPr>
        <sz val="11"/>
        <rFont val="Calibri"/>
        <family val="2"/>
        <scheme val="minor"/>
      </rPr>
      <t xml:space="preserve">for policy term to ALB100 across all ages and both gender
- </t>
    </r>
    <r>
      <rPr>
        <sz val="11"/>
        <color rgb="FF0000CC"/>
        <rFont val="Calibri"/>
        <family val="2"/>
        <scheme val="minor"/>
      </rPr>
      <t>Disability coverage can go up to as high as S$6.5 million</t>
    </r>
    <r>
      <rPr>
        <sz val="11"/>
        <color rgb="FF0000FF"/>
        <rFont val="Calibri"/>
        <family val="2"/>
        <scheme val="minor"/>
      </rPr>
      <t>,</t>
    </r>
    <r>
      <rPr>
        <sz val="11"/>
        <rFont val="Calibri"/>
        <family val="2"/>
        <scheme val="minor"/>
      </rPr>
      <t xml:space="preserve"> one of the highest in the market
- </t>
    </r>
    <r>
      <rPr>
        <sz val="11"/>
        <color rgb="FF0000CC"/>
        <rFont val="Calibri"/>
        <family val="2"/>
        <scheme val="minor"/>
      </rPr>
      <t xml:space="preserve">Wide range of available policy term between 10 to 40 years </t>
    </r>
    <r>
      <rPr>
        <sz val="11"/>
        <rFont val="Calibri"/>
        <family val="2"/>
        <scheme val="minor"/>
      </rPr>
      <t xml:space="preserve">(in multiples of 5 years) or up to age 64, 74, 84 and 100
- </t>
    </r>
    <r>
      <rPr>
        <sz val="11"/>
        <color rgb="FF0000CC"/>
        <rFont val="Calibri"/>
        <family val="2"/>
        <scheme val="minor"/>
      </rPr>
      <t>Option to extend coverage with renewal guaranteed up to age 100</t>
    </r>
    <r>
      <rPr>
        <sz val="11"/>
        <color rgb="FF0000FF"/>
        <rFont val="Calibri"/>
        <family val="2"/>
        <scheme val="minor"/>
      </rPr>
      <t xml:space="preserve"> </t>
    </r>
    <r>
      <rPr>
        <sz val="11"/>
        <rFont val="Calibri"/>
        <family val="2"/>
        <scheme val="minor"/>
      </rPr>
      <t xml:space="preserve">(lifetime coverage)
- Additional Hospital cash benefit when Hospital CashAid rider is attached 
</t>
    </r>
  </si>
  <si>
    <r>
      <t xml:space="preserve">- Offers flexibility by providing wide range of policy term for clients to choose from (10 years to 86 ANB) or </t>
    </r>
    <r>
      <rPr>
        <sz val="11"/>
        <color rgb="FF0000CC"/>
        <rFont val="Calibri"/>
        <family val="2"/>
        <scheme val="minor"/>
      </rPr>
      <t>up to 100 ANB</t>
    </r>
    <r>
      <rPr>
        <sz val="11"/>
        <rFont val="Calibri"/>
        <family val="2"/>
        <scheme val="minor"/>
      </rPr>
      <t xml:space="preserve">
- Optional TPD coverage of </t>
    </r>
    <r>
      <rPr>
        <sz val="11"/>
        <color rgb="FF0000CC"/>
        <rFont val="Calibri"/>
        <family val="2"/>
        <scheme val="minor"/>
      </rPr>
      <t>up till age 86</t>
    </r>
    <r>
      <rPr>
        <sz val="11"/>
        <rFont val="Calibri"/>
        <family val="2"/>
        <scheme val="minor"/>
      </rPr>
      <t xml:space="preserve">
- For renewable 5 years premium term this plan provides client coverage up till 86 ANB without proof of insurability upon renewal
- </t>
    </r>
    <r>
      <rPr>
        <sz val="11"/>
        <color rgb="FF0000CC"/>
        <rFont val="Calibri"/>
        <family val="2"/>
        <scheme val="minor"/>
      </rPr>
      <t>Upfront payment of up to $3,000 for funeral expense financial aid</t>
    </r>
    <r>
      <rPr>
        <sz val="11"/>
        <rFont val="Calibri"/>
        <family val="2"/>
        <scheme val="minor"/>
      </rPr>
      <t xml:space="preserve"> from death benefit as an added feature for this plan</t>
    </r>
  </si>
  <si>
    <r>
      <t>-</t>
    </r>
    <r>
      <rPr>
        <sz val="11"/>
        <color rgb="FF0000CC"/>
        <rFont val="Calibri"/>
        <family val="2"/>
        <scheme val="minor"/>
      </rPr>
      <t xml:space="preserve"> Competitive premium rates 
- Guaranteed renewal privilege</t>
    </r>
    <r>
      <rPr>
        <sz val="11"/>
        <rFont val="Calibri"/>
        <family val="2"/>
        <scheme val="minor"/>
      </rPr>
      <t xml:space="preserve">. Policyholder will be renewed up till age 80 (next birthday) 
</t>
    </r>
    <r>
      <rPr>
        <sz val="11"/>
        <color rgb="FF0000CC"/>
        <rFont val="Calibri"/>
        <family val="2"/>
        <scheme val="minor"/>
      </rPr>
      <t>- Guaranteed insurability Option</t>
    </r>
    <r>
      <rPr>
        <sz val="11"/>
        <color rgb="FF0000FF"/>
        <rFont val="Calibri"/>
        <family val="2"/>
        <scheme val="minor"/>
      </rPr>
      <t xml:space="preserve"> </t>
    </r>
    <r>
      <rPr>
        <sz val="11"/>
        <rFont val="Calibri"/>
        <family val="2"/>
        <scheme val="minor"/>
      </rPr>
      <t>for additional insurance option upon milestone events 
-</t>
    </r>
    <r>
      <rPr>
        <sz val="11"/>
        <color rgb="FF0000CC"/>
        <rFont val="Calibri"/>
        <family val="2"/>
        <scheme val="minor"/>
      </rPr>
      <t xml:space="preserve"> Convert this policy to either a regular premium whole of life or an endowment plan up to the coverage amount of your policy without further underwriting </t>
    </r>
    <r>
      <rPr>
        <sz val="11"/>
        <rFont val="Calibri"/>
        <family val="2"/>
        <scheme val="minor"/>
      </rPr>
      <t xml:space="preserve">
-</t>
    </r>
    <r>
      <rPr>
        <sz val="11"/>
        <color rgb="FF0000CC"/>
        <rFont val="Calibri"/>
        <family val="2"/>
        <scheme val="minor"/>
      </rPr>
      <t xml:space="preserve"> Unique rider offerings</t>
    </r>
    <r>
      <rPr>
        <sz val="11"/>
        <rFont val="Calibri"/>
        <family val="2"/>
        <scheme val="minor"/>
      </rPr>
      <t xml:space="preserve"> such as disability income (Protect 1), Early Critical Illness and Child Protection (KidAssure) that covers child related illnesses with guaranteed acceptance
-</t>
    </r>
    <r>
      <rPr>
        <sz val="11"/>
        <color rgb="FF0000CC"/>
        <rFont val="Calibri"/>
        <family val="2"/>
        <scheme val="minor"/>
      </rPr>
      <t xml:space="preserve"> Wide range of plan currency options (SGD/USD/GBP/AUD)</t>
    </r>
  </si>
  <si>
    <r>
      <t>- We have compared the term products below based on 10-year renewable term so as to satisfy the minimum premiums for each of the plans below. Please take note that for $250,000 sum assured,</t>
    </r>
    <r>
      <rPr>
        <b/>
        <sz val="11"/>
        <color theme="1"/>
        <rFont val="Calibri"/>
        <family val="2"/>
        <scheme val="minor"/>
      </rPr>
      <t xml:space="preserve"> Manulife ManuProtect Term II</t>
    </r>
    <r>
      <rPr>
        <sz val="11"/>
        <rFont val="Calibri"/>
        <family val="2"/>
        <scheme val="minor"/>
      </rPr>
      <t xml:space="preserve"> and</t>
    </r>
    <r>
      <rPr>
        <b/>
        <sz val="11"/>
        <rFont val="Calibri"/>
        <family val="2"/>
        <scheme val="minor"/>
      </rPr>
      <t xml:space="preserve"> Singlife Elite Term II </t>
    </r>
    <r>
      <rPr>
        <sz val="11"/>
        <rFont val="Calibri"/>
        <family val="2"/>
        <scheme val="minor"/>
      </rPr>
      <t>have</t>
    </r>
    <r>
      <rPr>
        <sz val="11"/>
        <color theme="1"/>
        <rFont val="Calibri"/>
        <family val="2"/>
        <scheme val="minor"/>
      </rPr>
      <t xml:space="preserve"> not been included as they do not satisfy the minimum premium based on the sum assured chosen. 
</t>
    </r>
    <r>
      <rPr>
        <sz val="11"/>
        <rFont val="Calibri"/>
        <family val="2"/>
        <scheme val="minor"/>
      </rPr>
      <t xml:space="preserve">
- Do note that </t>
    </r>
    <r>
      <rPr>
        <b/>
        <sz val="11"/>
        <rFont val="Calibri"/>
        <family val="2"/>
        <scheme val="minor"/>
      </rPr>
      <t>Singlife Simple Term (formerly known as MySimpleTermPlan)</t>
    </r>
    <r>
      <rPr>
        <sz val="11"/>
        <rFont val="Calibri"/>
        <family val="2"/>
        <scheme val="minor"/>
      </rPr>
      <t xml:space="preserve"> &amp;</t>
    </r>
    <r>
      <rPr>
        <b/>
        <sz val="11"/>
        <rFont val="Calibri"/>
        <family val="2"/>
        <scheme val="minor"/>
      </rPr>
      <t xml:space="preserve"> Income Star Term Protect</t>
    </r>
    <r>
      <rPr>
        <sz val="11"/>
        <rFont val="Calibri"/>
        <family val="2"/>
        <scheme val="minor"/>
      </rPr>
      <t xml:space="preserve"> have embedded TPD coverage, hence there is no breakdown of the premium for TPD. Embedded TPD coverage for Singlife MySimpleTermPlan is up till age 86; Income Star Term Protect is up till age 70. 
-For Manulife ManuProtect Term II, there are no premium rates shown for 10-year renewable term for ALB29 as it is below the plan’s minimum premium requirement.  
- Premium rates in this comparison are inclusive of applicable discounts and cashback unless otherwise stated in the Premium Discount Detail tab.
</t>
    </r>
  </si>
  <si>
    <r>
      <t xml:space="preserve">- Advance CI Riders are attached to the basic term plans for comparison
- </t>
    </r>
    <r>
      <rPr>
        <b/>
        <sz val="11"/>
        <color theme="1"/>
        <rFont val="Calibri"/>
        <family val="2"/>
        <scheme val="minor"/>
      </rPr>
      <t xml:space="preserve">China Life Term Guardian </t>
    </r>
    <r>
      <rPr>
        <sz val="11"/>
        <color theme="1"/>
        <rFont val="Calibri"/>
        <family val="2"/>
        <scheme val="minor"/>
      </rPr>
      <t>does not offer 10-year policy renewal term. Options for policy term are 5-year/20-year renewal term or up to age 65.
-</t>
    </r>
    <r>
      <rPr>
        <b/>
        <sz val="11"/>
        <color theme="1"/>
        <rFont val="Calibri"/>
        <family val="2"/>
        <scheme val="minor"/>
      </rPr>
      <t xml:space="preserve"> 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t>
    </r>
    <r>
      <rPr>
        <b/>
        <sz val="11"/>
        <color theme="1"/>
        <rFont val="Calibri"/>
        <family val="2"/>
        <scheme val="minor"/>
      </rPr>
      <t xml:space="preserve"> China Taiping i-Assure99</t>
    </r>
    <r>
      <rPr>
        <sz val="11"/>
        <color theme="1"/>
        <rFont val="Calibri"/>
        <family val="2"/>
        <scheme val="minor"/>
      </rPr>
      <t xml:space="preserve"> does not have an attachable Advance CI rider. </t>
    </r>
    <r>
      <rPr>
        <sz val="11"/>
        <color rgb="FFFF0000"/>
        <rFont val="Calibri"/>
        <family val="2"/>
        <scheme val="minor"/>
      </rPr>
      <t xml:space="preserve">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t>
    </r>
    <r>
      <rPr>
        <sz val="11"/>
        <color rgb="FF0000CC"/>
        <rFont val="Calibri"/>
        <family val="2"/>
        <scheme val="minor"/>
      </rPr>
      <t xml:space="preserve">$500,000 </t>
    </r>
    <r>
      <rPr>
        <sz val="11"/>
        <rFont val="Calibri"/>
        <family val="2"/>
        <scheme val="minor"/>
      </rPr>
      <t xml:space="preserve">sum assured comparison as it exceeds the plan's maximum sum assured of $499,999.
</t>
    </r>
    <r>
      <rPr>
        <b/>
        <sz val="11"/>
        <color rgb="FF0000CC"/>
        <rFont val="Calibri"/>
        <family val="2"/>
        <scheme val="minor"/>
      </rPr>
      <t xml:space="preserve">Do note the following:
</t>
    </r>
    <r>
      <rPr>
        <sz val="11"/>
        <rFont val="Calibri"/>
        <family val="2"/>
        <scheme val="minor"/>
      </rPr>
      <t xml:space="preserve">(i)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t>
    </r>
    <r>
      <rPr>
        <sz val="11"/>
        <color theme="1"/>
        <rFont val="Calibri"/>
        <family val="2"/>
        <scheme val="minor"/>
      </rPr>
      <t>- Premium rates in this comparison are inclusive of applicable discounts and cashback unless otherwise stated in the Premium Discount Detail tab.</t>
    </r>
  </si>
  <si>
    <r>
      <t>-</t>
    </r>
    <r>
      <rPr>
        <b/>
        <sz val="11"/>
        <color theme="1"/>
        <rFont val="Calibri"/>
        <family val="2"/>
        <scheme val="minor"/>
      </rPr>
      <t xml:space="preserve"> 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t>
    </r>
    <r>
      <rPr>
        <b/>
        <sz val="11"/>
        <color theme="1"/>
        <rFont val="Calibri"/>
        <family val="2"/>
        <scheme val="minor"/>
      </rPr>
      <t xml:space="preserve"> China Taiping i-Assure99</t>
    </r>
    <r>
      <rPr>
        <sz val="11"/>
        <color theme="1"/>
        <rFont val="Calibri"/>
        <family val="2"/>
        <scheme val="minor"/>
      </rPr>
      <t xml:space="preserve"> do not have an attachable Advance CI rider. </t>
    </r>
    <r>
      <rPr>
        <sz val="11"/>
        <rFont val="Calibri"/>
        <family val="2"/>
        <scheme val="minor"/>
      </rPr>
      <t xml:space="preserve">
</t>
    </r>
    <r>
      <rPr>
        <sz val="11"/>
        <color theme="1"/>
        <rFont val="Calibri"/>
        <family val="2"/>
        <scheme val="minor"/>
      </rPr>
      <t>- Premium rates in this comparison are inclusive of applicable discounts and cashback unless otherwise stated in the Premium Discount Detail tab.</t>
    </r>
  </si>
  <si>
    <r>
      <t xml:space="preserve">- Advance CI Riders are attached to the basic term plans for comparison
- </t>
    </r>
    <r>
      <rPr>
        <b/>
        <sz val="11"/>
        <color theme="1"/>
        <rFont val="Calibri"/>
        <family val="2"/>
        <scheme val="minor"/>
      </rPr>
      <t xml:space="preserve">China Life Term Guardian </t>
    </r>
    <r>
      <rPr>
        <sz val="11"/>
        <color theme="1"/>
        <rFont val="Calibri"/>
        <family val="2"/>
        <scheme val="minor"/>
      </rPr>
      <t>does not offer 10-year policy renewal term. Options for policy term are 5-year/20-year renewal term or up to age 65.
-</t>
    </r>
    <r>
      <rPr>
        <b/>
        <sz val="11"/>
        <color theme="1"/>
        <rFont val="Calibri"/>
        <family val="2"/>
        <scheme val="minor"/>
      </rPr>
      <t xml:space="preserve"> 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 </t>
    </r>
    <r>
      <rPr>
        <b/>
        <sz val="11"/>
        <color theme="1"/>
        <rFont val="Calibri"/>
        <family val="2"/>
        <scheme val="minor"/>
      </rPr>
      <t>China Taiping i-Assure99</t>
    </r>
    <r>
      <rPr>
        <sz val="11"/>
        <color theme="1"/>
        <rFont val="Calibri"/>
        <family val="2"/>
        <scheme val="minor"/>
      </rPr>
      <t xml:space="preserve"> does not have an attachable Advance CI rider. </t>
    </r>
    <r>
      <rPr>
        <sz val="11"/>
        <color rgb="FFFF0000"/>
        <rFont val="Calibri"/>
        <family val="2"/>
        <scheme val="minor"/>
      </rPr>
      <t xml:space="preserve">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$800,000 sum assured comparison as it exceeds the plan's maximum sum assured of $499,999.
- </t>
    </r>
    <r>
      <rPr>
        <b/>
        <sz val="11"/>
        <rFont val="Calibri"/>
        <family val="2"/>
        <scheme val="minor"/>
      </rPr>
      <t>Income TermLife Solitaire</t>
    </r>
    <r>
      <rPr>
        <sz val="11"/>
        <rFont val="Calibri"/>
        <family val="2"/>
        <scheme val="minor"/>
      </rPr>
      <t xml:space="preserve">'s CI rider(Essential Protect) has a maximum SA of $499,999, hence, it has been excluded from this comparison.
</t>
    </r>
    <r>
      <rPr>
        <b/>
        <sz val="11"/>
        <color rgb="FF0000CC"/>
        <rFont val="Calibri"/>
        <family val="2"/>
        <scheme val="minor"/>
      </rPr>
      <t xml:space="preserve">Do note the following:
</t>
    </r>
    <r>
      <rPr>
        <sz val="11"/>
        <rFont val="Calibri"/>
        <family val="2"/>
        <scheme val="minor"/>
      </rPr>
      <t>(i)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 Premium rates in this comparison are inclusive of applicable discounts and cashback unless otherwise stated in the Premium Discount Detail tab.</t>
    </r>
  </si>
  <si>
    <r>
      <t xml:space="preserve">- Advance CI Riders are attached to the basic term plans for comparison
- </t>
    </r>
    <r>
      <rPr>
        <b/>
        <sz val="11"/>
        <color theme="1"/>
        <rFont val="Calibri"/>
        <family val="2"/>
        <scheme val="minor"/>
      </rPr>
      <t xml:space="preserve">China Life Term Guardian </t>
    </r>
    <r>
      <rPr>
        <sz val="11"/>
        <color theme="1"/>
        <rFont val="Calibri"/>
        <family val="2"/>
        <scheme val="minor"/>
      </rPr>
      <t xml:space="preserve">does not offer 10-year policy renewal term. Options for policy term are 5-year/20-year renewal term or up to age 65.
- </t>
    </r>
    <r>
      <rPr>
        <b/>
        <sz val="11"/>
        <color theme="1"/>
        <rFont val="Calibri"/>
        <family val="2"/>
        <scheme val="minor"/>
      </rPr>
      <t>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t>
    </r>
    <r>
      <rPr>
        <b/>
        <sz val="11"/>
        <color theme="1"/>
        <rFont val="Calibri"/>
        <family val="2"/>
        <scheme val="minor"/>
      </rPr>
      <t xml:space="preserve"> China Taiping i-Assure99</t>
    </r>
    <r>
      <rPr>
        <sz val="11"/>
        <color theme="1"/>
        <rFont val="Calibri"/>
        <family val="2"/>
        <scheme val="minor"/>
      </rPr>
      <t xml:space="preserve"> does not have an attachable Advance CI rider. </t>
    </r>
    <r>
      <rPr>
        <sz val="11"/>
        <color rgb="FFFF0000"/>
        <rFont val="Calibri"/>
        <family val="2"/>
        <scheme val="minor"/>
      </rPr>
      <t xml:space="preserve">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$1M sum assured comparison as it exceeds the plan's maximum sum assured of $499,999.
- </t>
    </r>
    <r>
      <rPr>
        <b/>
        <sz val="11"/>
        <rFont val="Calibri"/>
        <family val="2"/>
        <scheme val="minor"/>
      </rPr>
      <t>Income TermLife Solitaire's</t>
    </r>
    <r>
      <rPr>
        <sz val="11"/>
        <rFont val="Calibri"/>
        <family val="2"/>
        <scheme val="minor"/>
      </rPr>
      <t xml:space="preserve"> CI rider(Essential Protect) has a maximum SA of $499,999, hence, it has been excluded from this comparison
</t>
    </r>
    <r>
      <rPr>
        <b/>
        <sz val="11"/>
        <color rgb="FF0000CC"/>
        <rFont val="Calibri"/>
        <family val="2"/>
        <scheme val="minor"/>
      </rPr>
      <t xml:space="preserve">Do note the following:
</t>
    </r>
    <r>
      <rPr>
        <sz val="11"/>
        <rFont val="Calibri"/>
        <family val="2"/>
        <scheme val="minor"/>
      </rPr>
      <t>(i)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 Premium rates in this comparison are inclusive of applicable discounts and cashback unless otherwise stated in the Premium Discount Detail tab.</t>
    </r>
  </si>
  <si>
    <r>
      <t xml:space="preserve">- Advance CI Riders are attached to the basic term plans for comparison
- </t>
    </r>
    <r>
      <rPr>
        <b/>
        <sz val="11"/>
        <color theme="1"/>
        <rFont val="Calibri"/>
        <family val="2"/>
        <scheme val="minor"/>
      </rPr>
      <t xml:space="preserve">China Life Term Guardian </t>
    </r>
    <r>
      <rPr>
        <sz val="11"/>
        <color theme="1"/>
        <rFont val="Calibri"/>
        <family val="2"/>
        <scheme val="minor"/>
      </rPr>
      <t>does not offer 10-year policy renewal term. Options for policy term are 5-year/20-year renewal term or up to age 65.
-</t>
    </r>
    <r>
      <rPr>
        <b/>
        <sz val="11"/>
        <color theme="1"/>
        <rFont val="Calibri"/>
        <family val="2"/>
        <scheme val="minor"/>
      </rPr>
      <t xml:space="preserve"> 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 </t>
    </r>
    <r>
      <rPr>
        <b/>
        <sz val="11"/>
        <color theme="1"/>
        <rFont val="Calibri"/>
        <family val="2"/>
        <scheme val="minor"/>
      </rPr>
      <t>China Taiping i-Assure99</t>
    </r>
    <r>
      <rPr>
        <sz val="11"/>
        <color theme="1"/>
        <rFont val="Calibri"/>
        <family val="2"/>
        <scheme val="minor"/>
      </rPr>
      <t xml:space="preserve"> does not have an attachable Advance CI rider. </t>
    </r>
    <r>
      <rPr>
        <sz val="11"/>
        <color rgb="FFFF0000"/>
        <rFont val="Calibri"/>
        <family val="2"/>
        <scheme val="minor"/>
      </rPr>
      <t xml:space="preserve">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$2M sum assured comparison as it exceeds the plan's maximum sum assured of $499,999.
- </t>
    </r>
    <r>
      <rPr>
        <b/>
        <sz val="11"/>
        <rFont val="Calibri"/>
        <family val="2"/>
        <scheme val="minor"/>
      </rPr>
      <t>Income TermLife Solitaire's</t>
    </r>
    <r>
      <rPr>
        <sz val="11"/>
        <rFont val="Calibri"/>
        <family val="2"/>
        <scheme val="minor"/>
      </rPr>
      <t xml:space="preserve"> CI rider(Essential Protect) has a maximum SA of $499,999, hence, it has been excluded from this comparison
</t>
    </r>
    <r>
      <rPr>
        <b/>
        <sz val="11"/>
        <color rgb="FF0000CC"/>
        <rFont val="Calibri"/>
        <family val="2"/>
        <scheme val="minor"/>
      </rPr>
      <t xml:space="preserve">Do note the following:
</t>
    </r>
    <r>
      <rPr>
        <sz val="11"/>
        <rFont val="Calibri"/>
        <family val="2"/>
        <scheme val="minor"/>
      </rPr>
      <t xml:space="preserve">(i)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t>
    </r>
    <r>
      <rPr>
        <sz val="11"/>
        <color theme="1"/>
        <rFont val="Calibri"/>
        <family val="2"/>
        <scheme val="minor"/>
      </rPr>
      <t xml:space="preserve"> - Premium rates in this comparison are inclusive of applicable discounts and cashback unless otherwise stated in the Premium Discount Detail tab.</t>
    </r>
  </si>
  <si>
    <r>
      <t xml:space="preserve">- Advance CI Riders are attached to the basic term plans for comparison
- </t>
    </r>
    <r>
      <rPr>
        <b/>
        <sz val="11"/>
        <color theme="1"/>
        <rFont val="Calibri"/>
        <family val="2"/>
        <scheme val="minor"/>
      </rPr>
      <t xml:space="preserve">China Life Term Guardian </t>
    </r>
    <r>
      <rPr>
        <sz val="11"/>
        <color theme="1"/>
        <rFont val="Calibri"/>
        <family val="2"/>
        <scheme val="minor"/>
      </rPr>
      <t xml:space="preserve">does not offer 10-year policy renewal term. Options for policy term are 5-year/20-year renewal term or up to age 65.
- </t>
    </r>
    <r>
      <rPr>
        <b/>
        <sz val="11"/>
        <color theme="1"/>
        <rFont val="Calibri"/>
        <family val="2"/>
        <scheme val="minor"/>
      </rPr>
      <t>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 </t>
    </r>
    <r>
      <rPr>
        <b/>
        <sz val="11"/>
        <color theme="1"/>
        <rFont val="Calibri"/>
        <family val="2"/>
        <scheme val="minor"/>
      </rPr>
      <t>China Taiping i-Assure99</t>
    </r>
    <r>
      <rPr>
        <sz val="11"/>
        <color theme="1"/>
        <rFont val="Calibri"/>
        <family val="2"/>
        <scheme val="minor"/>
      </rPr>
      <t xml:space="preserve"> does not have an attachable Advance CI rider. </t>
    </r>
    <r>
      <rPr>
        <sz val="11"/>
        <color rgb="FFFF0000"/>
        <rFont val="Calibri"/>
        <family val="2"/>
        <scheme val="minor"/>
      </rPr>
      <t xml:space="preserve">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$5M sum assured comparison as it exceeds the plan's maximum sum assured of $499,999.
- </t>
    </r>
    <r>
      <rPr>
        <b/>
        <sz val="11"/>
        <rFont val="Calibri"/>
        <family val="2"/>
        <scheme val="minor"/>
      </rPr>
      <t>Income TermLife Solitaire</t>
    </r>
    <r>
      <rPr>
        <sz val="11"/>
        <rFont val="Calibri"/>
        <family val="2"/>
        <scheme val="minor"/>
      </rPr>
      <t xml:space="preserve">'s CI rider(Essential Protect) has a maximum SA of $499,999, hence, it has been excluded from this comparison
</t>
    </r>
    <r>
      <rPr>
        <b/>
        <sz val="11"/>
        <color rgb="FF0000CC"/>
        <rFont val="Calibri"/>
        <family val="2"/>
        <scheme val="minor"/>
      </rPr>
      <t xml:space="preserve">Do note the following:
</t>
    </r>
    <r>
      <rPr>
        <sz val="11"/>
        <rFont val="Calibri"/>
        <family val="2"/>
        <scheme val="minor"/>
      </rPr>
      <t xml:space="preserve">(i)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(v) For more information on premium discount, kindly refer to 'Premium Discount Details' tab 
 </t>
    </r>
    <r>
      <rPr>
        <sz val="11"/>
        <color theme="1"/>
        <rFont val="Calibri"/>
        <family val="2"/>
        <scheme val="minor"/>
      </rPr>
      <t>- Premium rates in this comparison are inclusive of applicable discounts and cashback unless otherwise stated in the Premium Discount Detail tab.</t>
    </r>
  </si>
  <si>
    <r>
      <t xml:space="preserve">- Advance CI Riders are attached to the basic term plans for comparison
- </t>
    </r>
    <r>
      <rPr>
        <b/>
        <sz val="11"/>
        <color theme="1"/>
        <rFont val="Calibri"/>
        <family val="2"/>
        <scheme val="minor"/>
      </rPr>
      <t xml:space="preserve">China Life Term Guardian </t>
    </r>
    <r>
      <rPr>
        <sz val="11"/>
        <color theme="1"/>
        <rFont val="Calibri"/>
        <family val="2"/>
        <scheme val="minor"/>
      </rPr>
      <t xml:space="preserve">does not offer 10-year policy renewal term. Options for policy term are 5-year/20-year renewal term or up to age 65. 
- </t>
    </r>
    <r>
      <rPr>
        <b/>
        <sz val="11"/>
        <color theme="1"/>
        <rFont val="Calibri"/>
        <family val="2"/>
        <scheme val="minor"/>
      </rPr>
      <t>China Taiping i-Assure99</t>
    </r>
    <r>
      <rPr>
        <sz val="11"/>
        <color theme="1"/>
        <rFont val="Calibri"/>
        <family val="2"/>
        <scheme val="minor"/>
      </rPr>
      <t xml:space="preserve"> is a non-participating whole life(till age 99) plan, and it has been included for completeness of comparison against till age 99/100 term plans. It does not provide Terminal Illness(TI) coverage and the TPD rider sum assured for this comparison is $6</t>
    </r>
    <r>
      <rPr>
        <sz val="11"/>
        <rFont val="Calibri"/>
        <family val="2"/>
        <scheme val="minor"/>
      </rPr>
      <t>mil by default.</t>
    </r>
    <r>
      <rPr>
        <sz val="11"/>
        <color theme="1"/>
        <rFont val="Calibri"/>
        <family val="2"/>
        <scheme val="minor"/>
      </rPr>
      <t xml:space="preserve">
- </t>
    </r>
    <r>
      <rPr>
        <b/>
        <sz val="11"/>
        <color theme="1"/>
        <rFont val="Calibri"/>
        <family val="2"/>
        <scheme val="minor"/>
      </rPr>
      <t>China Taiping i-Assure99</t>
    </r>
    <r>
      <rPr>
        <sz val="11"/>
        <color theme="1"/>
        <rFont val="Calibri"/>
        <family val="2"/>
        <scheme val="minor"/>
      </rPr>
      <t xml:space="preserve"> does not have an attachable Advance CI rider. 
</t>
    </r>
    <r>
      <rPr>
        <sz val="11"/>
        <rFont val="Calibri"/>
        <family val="2"/>
        <scheme val="minor"/>
      </rPr>
      <t xml:space="preserve">- </t>
    </r>
    <r>
      <rPr>
        <b/>
        <sz val="11"/>
        <rFont val="Calibri"/>
        <family val="2"/>
        <scheme val="minor"/>
      </rPr>
      <t xml:space="preserve">Income Star Term Protect </t>
    </r>
    <r>
      <rPr>
        <sz val="11"/>
        <rFont val="Calibri"/>
        <family val="2"/>
        <scheme val="minor"/>
      </rPr>
      <t xml:space="preserve">has not been included for $10M sum assured comparison as it exceeds the plan's maximum sum assured of $499,999.
</t>
    </r>
    <r>
      <rPr>
        <b/>
        <sz val="11"/>
        <rFont val="Calibri"/>
        <family val="2"/>
        <scheme val="minor"/>
      </rPr>
      <t>- Income TermLife Solitaire's</t>
    </r>
    <r>
      <rPr>
        <sz val="11"/>
        <rFont val="Calibri"/>
        <family val="2"/>
        <scheme val="minor"/>
      </rPr>
      <t xml:space="preserve"> CI rider(Essential Protect) has a maximum SA of $499,999, hence, it has been excluded from this comparison.
</t>
    </r>
    <r>
      <rPr>
        <b/>
        <sz val="11"/>
        <color rgb="FF0000CC"/>
        <rFont val="Calibri"/>
        <family val="2"/>
        <scheme val="minor"/>
      </rPr>
      <t xml:space="preserve">Do note the following:
</t>
    </r>
    <r>
      <rPr>
        <sz val="11"/>
        <rFont val="Calibri"/>
        <family val="2"/>
        <scheme val="minor"/>
      </rPr>
      <t xml:space="preserve">(i) Premium rates for China Life Term Guardian for policy term up to age 65 is based on rates for ALB64
(ii) Premium rates for Etiqa Essential Term Life Cover for policy term up to age 100 is based on rates for ANB100. 
(iii) For Manulife ManuProtect Term II, there are no premium rates shown for policy term up to age 85 for entry age at ALB29, ALB34 &amp; ALB39 in the value comparison as there is no policy term for ManuProtect Term II that provides coverage to age 85(ALB84) based on those entry ages. Premium rates for policy term up to age 65 is based on rates for ALB64; policy term up to age 85 is based on rates for ALB84.
(iv) Premiums rates for Income TermLife Solitaire for policy term up to age 85 is based on rates for ALB84; policy term to age 100 is based on rates for ALB100.
(v) Premium rates for China Taiping i-Assure99 is based on $10mil for death and $6mil for TPD. This limitation is due to plan design, which the TPD rider sum assured cannot be adjusted.
</t>
    </r>
    <r>
      <rPr>
        <sz val="11"/>
        <color theme="1"/>
        <rFont val="Calibri"/>
        <family val="2"/>
        <scheme val="minor"/>
      </rPr>
      <t xml:space="preserve">
- Premium rates in this comparison are inclusive of applicable discounts and cashback unless otherwise stated in the Premium Discount Detail tab.</t>
    </r>
  </si>
  <si>
    <t>Premium Discount Details</t>
  </si>
  <si>
    <t>Reference ( To be deleted after reviewing)</t>
  </si>
  <si>
    <t>No Changes
https://singlife.com/en/promotions/elite-term-ii</t>
  </si>
  <si>
    <t xml:space="preserve">Elite Term II </t>
  </si>
  <si>
    <r>
      <rPr>
        <u/>
        <sz val="12"/>
        <color rgb="FF0000CC"/>
        <rFont val="Calibri"/>
        <family val="2"/>
        <scheme val="minor"/>
      </rPr>
      <t>Singlife Elite Term II (Regular Pay)</t>
    </r>
    <r>
      <rPr>
        <sz val="12"/>
        <color rgb="FF0000CC"/>
        <rFont val="Calibri"/>
        <family val="2"/>
        <scheme val="minor"/>
      </rPr>
      <t xml:space="preserve">
30% perpetual discount on Singlife Elite Term II (Regular Pay) and TPD Advance Cover Plus III (rider); 10% perpetual discount on CI Advance Cover Plus IV (rider) &amp; Early Critical Illness Cover II (rider), applicable to minimum basic plan sum assured per policy of S$500,000 (</t>
    </r>
    <r>
      <rPr>
        <sz val="12"/>
        <color theme="1"/>
        <rFont val="Calibri"/>
        <family val="2"/>
        <scheme val="minor"/>
      </rPr>
      <t xml:space="preserve">in contract currency). Promotion period from 14 March 2024 onwards 
</t>
    </r>
    <r>
      <rPr>
        <u/>
        <sz val="12"/>
        <color rgb="FF0000CC"/>
        <rFont val="Calibri"/>
        <family val="2"/>
        <scheme val="minor"/>
      </rPr>
      <t>Singlife Elite Term II (Limited Pay)</t>
    </r>
    <r>
      <rPr>
        <sz val="12"/>
        <color theme="1"/>
        <rFont val="Calibri"/>
        <family val="2"/>
        <scheme val="minor"/>
      </rPr>
      <t xml:space="preserve">
</t>
    </r>
    <r>
      <rPr>
        <sz val="12"/>
        <color rgb="FF0000CC"/>
        <rFont val="Calibri"/>
        <family val="2"/>
        <scheme val="minor"/>
      </rPr>
      <t>10% perpetual discount on CI Advance Cover Plus IV (rider) &amp; Early Critical Illness Cover II (rider) for Singlife Elite Term II (Limited Pay).</t>
    </r>
    <r>
      <rPr>
        <sz val="12"/>
        <color theme="1"/>
        <rFont val="Calibri"/>
        <family val="2"/>
        <scheme val="minor"/>
      </rPr>
      <t xml:space="preserve"> Promotion Period on or after 5 September 2024.  Premiums shown in the comparison tables are discounted rates.</t>
    </r>
  </si>
  <si>
    <t>$60 SG60 First Year Premium Discount</t>
  </si>
  <si>
    <t>New:
https://singlife.com/content/dam/public/sg/documents/sg60-and-beyond-promotion/sg60-and-beyond-promotion-terms-and-conditions.pdf</t>
  </si>
  <si>
    <r>
      <rPr>
        <sz val="12"/>
        <color rgb="FF0000CC"/>
        <rFont val="Calibri"/>
        <family val="2"/>
        <scheme val="minor"/>
      </rPr>
      <t>Additional rebate of $60 (in contract currency) on first-year premium paid on top of perpetual premium discount, applicable to minimum basic plan sum assured of $500,000 (in contract currency).</t>
    </r>
    <r>
      <rPr>
        <sz val="12"/>
        <color theme="1"/>
        <rFont val="Calibri"/>
        <family val="2"/>
        <scheme val="minor"/>
      </rPr>
      <t xml:space="preserve"> Applicable to policy signed from 21 Jan 2025 to 31 August 2025, submitted to Singlife by 30 Sept 2025.  Premiums shown in the comparison tables are discounted rates (after first year premium discount).</t>
    </r>
  </si>
  <si>
    <t>No Changes
https://www.tokiomarine.com/content/dam/tokiomarine/sg/life/products/personal/promotions/goprotect/goProtect%20EDM%20(2025%20Q1%201Jan%20-%2031Mar).pdf</t>
  </si>
  <si>
    <t>https://www.sg.cntaiping.com/images/2024/12/16/ct165-customer-promo-2025-life-flyer_r8.pdf
Note: For CTP I-Assure99, the % has been reduced from 10% to 5% (for premium term 5-9 years); 20% to 15% (for premium term 10 years and above)</t>
  </si>
  <si>
    <t>No Changes
https://www.manulife.com.sg/content/dam/insurance/sg/solutions/our-solutions/tnc/manulife-campaign.pdf</t>
  </si>
  <si>
    <t>No Changes
https://www.etiqa.com.sg/personal/life-critical-illness-protection/essential-term-life-cover/</t>
  </si>
  <si>
    <t>No Changes
https://www.income.com.sg/promotions/life-promotion#:~:text=Get%20up%20to%2030%25%5E%20cashback,sign%20up%20for%20TermLife%20Solitaire.&amp;text=Promotion%20ends%2031%20March%202025.</t>
  </si>
  <si>
    <r>
      <t xml:space="preserve">Applicable from 01 Apr to 30 June 2025 (both dates inclusive), unless extended or withdrawn by TMLS at its sole discretion and the policy must be issued by 31 Aug 2025.  Premiums shown in the comparison tables are discounted rates.
(i) </t>
    </r>
    <r>
      <rPr>
        <sz val="12"/>
        <color rgb="FF0000CC"/>
        <rFont val="Calibri"/>
        <family val="2"/>
        <scheme val="minor"/>
      </rPr>
      <t xml:space="preserve"> 5 or 10 years renewable &amp; convertible term: 30% premium discount for first 3 years</t>
    </r>
    <r>
      <rPr>
        <sz val="12"/>
        <color theme="1"/>
        <rFont val="Calibri"/>
        <family val="2"/>
        <scheme val="minor"/>
      </rPr>
      <t xml:space="preserve">
(ii)</t>
    </r>
    <r>
      <rPr>
        <sz val="12"/>
        <color rgb="FF0000CC"/>
        <rFont val="Calibri"/>
        <family val="2"/>
        <scheme val="minor"/>
      </rPr>
      <t xml:space="preserve"> 11 years to age 85 level &amp; convertible term: 40% premium discount for first 3 years</t>
    </r>
  </si>
  <si>
    <r>
      <rPr>
        <sz val="12"/>
        <color rgb="FF0000CC"/>
        <rFont val="Calibri"/>
        <family val="2"/>
        <scheme val="minor"/>
      </rPr>
      <t>15% cashback on first-year annual premium above $1,200 for insured below ALB45; 30% cashback on first-year annual premium above $1,200 for insured ALB45 &amp; above.</t>
    </r>
    <r>
      <rPr>
        <sz val="12"/>
        <color theme="1"/>
        <rFont val="Calibri"/>
        <family val="2"/>
        <scheme val="minor"/>
      </rPr>
      <t xml:space="preserve"> Promotion from 1 April 2025 to 30 June 2025 (both dates inclusive). Applicable to policy incepted by 31 Aug 2025.  Premiums shown in the comparison tables are discounted rates (after cashback).</t>
    </r>
  </si>
  <si>
    <r>
      <rPr>
        <sz val="12"/>
        <color rgb="FF0000CC"/>
        <rFont val="Calibri"/>
        <family val="2"/>
        <scheme val="minor"/>
      </rPr>
      <t xml:space="preserve">8% perpetual discount applicable to main plan and all riders. </t>
    </r>
    <r>
      <rPr>
        <sz val="12"/>
        <color theme="1"/>
        <rFont val="Calibri"/>
        <family val="2"/>
        <scheme val="minor"/>
      </rPr>
      <t>Premium discount will still be applicable upon renewal of the policy only if there is no change in sum insured or premium/addition or deletion of rider.  Applications must be signed between 1 Apr 2025 and 30 June 2025 (both dates inclusive), submitted to Manulife by 8 July 2025 and issued by 8 Sept 2025. Premiums shown in the comparison tables are discounted rates.</t>
    </r>
  </si>
  <si>
    <r>
      <t>Source: This information is accurate as of</t>
    </r>
    <r>
      <rPr>
        <b/>
        <sz val="12"/>
        <color rgb="FF0000CC"/>
        <rFont val="Arial"/>
        <family val="2"/>
      </rPr>
      <t xml:space="preserve"> 21 April 2025</t>
    </r>
  </si>
  <si>
    <r>
      <rPr>
        <sz val="12"/>
        <color rgb="FF0000CC"/>
        <rFont val="Calibri"/>
        <family val="2"/>
        <scheme val="minor"/>
      </rPr>
      <t>Up to 47% perpetual discount for Etiqa Essential Term Life Cover; up to 71% perpetual discount for Extra disability care rider; up to 27% perpetual discount for Early CI rider.</t>
    </r>
    <r>
      <rPr>
        <sz val="12"/>
        <color theme="1"/>
        <rFont val="Calibri"/>
        <family val="2"/>
        <scheme val="minor"/>
      </rPr>
      <t xml:space="preserve"> However, </t>
    </r>
    <r>
      <rPr>
        <sz val="12"/>
        <color rgb="FFFF0000"/>
        <rFont val="Calibri"/>
        <family val="2"/>
        <scheme val="minor"/>
      </rPr>
      <t xml:space="preserve">do note that rates shown in the comparison tables do not include the premium discount </t>
    </r>
    <r>
      <rPr>
        <sz val="12"/>
        <color theme="1"/>
        <rFont val="Calibri"/>
        <family val="2"/>
        <scheme val="minor"/>
      </rPr>
      <t>as the discount in terms of % varies based on different entry age/policy term. Rates generated from Etiqa i-Connect are discounted rates. Promotion period from 23 May 2024 onwards.</t>
    </r>
  </si>
  <si>
    <r>
      <rPr>
        <sz val="12"/>
        <color rgb="FF0000CC"/>
        <rFont val="Calibri"/>
        <family val="2"/>
        <scheme val="minor"/>
      </rPr>
      <t xml:space="preserve">5% (for premimum term 5 - 9 years) / 15% (for premium term 10 years and above) off first-year annual premium promotion </t>
    </r>
    <r>
      <rPr>
        <sz val="12"/>
        <color theme="1"/>
        <rFont val="Calibri"/>
        <family val="2"/>
        <scheme val="minor"/>
      </rPr>
      <t>till 30 June 2025, application must be submitted to China Taiping by 30 June 2025 and applicable to policy incepted by 30 Sept 2025. Premiums shown in the comparison tables are discounted rates.</t>
    </r>
  </si>
  <si>
    <r>
      <rPr>
        <sz val="12"/>
        <color rgb="FF0000CC"/>
        <rFont val="Calibri"/>
        <family val="2"/>
        <scheme val="minor"/>
      </rPr>
      <t>25% off first-year annual premium promotion</t>
    </r>
    <r>
      <rPr>
        <sz val="12"/>
        <color theme="1"/>
        <rFont val="Calibri"/>
        <family val="2"/>
        <scheme val="minor"/>
      </rPr>
      <t xml:space="preserve"> till 30 June 2025, application must be submitted to China Taiping by 30 June 2025 and policy incepted by 30 Sept 2025. Premiums shown in the comparison tables are discounted rates.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</si>
</sst>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
    <numFmt numFmtId="165" formatCode="&quot;$&quot;#,##0.00"/>
  </numFmts>
  <fonts count="5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4"/>
      <color indexed="8"/>
      <name val="Arial"/>
      <family val="2"/>
    </font>
    <font>
      <sz val="10"/>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b/>
      <sz val="12"/>
      <color rgb="FF0000CC"/>
      <name val="Arial"/>
      <family val="2"/>
    </font>
    <font>
      <b/>
      <sz val="11"/>
      <name val="Calibri"/>
      <family val="2"/>
      <scheme val="minor"/>
    </font>
    <font>
      <b/>
      <sz val="11"/>
      <color rgb="FFFF0000"/>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sz val="11"/>
      <color rgb="FF0000CC"/>
      <name val="Calibri"/>
      <family val="2"/>
      <scheme val="minor"/>
    </font>
    <font>
      <b/>
      <sz val="11"/>
      <color theme="9" tint="-0.249977111117893"/>
      <name val="Calibri"/>
      <family val="2"/>
      <scheme val="minor"/>
    </font>
    <font>
      <b/>
      <sz val="11"/>
      <color rgb="FF0070C0"/>
      <name val="Calibri"/>
      <family val="2"/>
      <scheme val="minor"/>
    </font>
    <font>
      <b/>
      <sz val="12"/>
      <color rgb="FF000000"/>
      <name val="Calibri"/>
      <family val="2"/>
    </font>
    <font>
      <sz val="12"/>
      <color theme="1"/>
      <name val="Calibri"/>
      <family val="2"/>
    </font>
    <font>
      <sz val="12"/>
      <color rgb="FF000000"/>
      <name val="Calibri"/>
      <family val="2"/>
    </font>
    <font>
      <sz val="11"/>
      <color rgb="FF000000"/>
      <name val="Calibri"/>
      <family val="2"/>
    </font>
    <font>
      <b/>
      <sz val="12"/>
      <color theme="1"/>
      <name val="Calibri"/>
      <family val="2"/>
    </font>
    <font>
      <b/>
      <sz val="10"/>
      <color rgb="FF000000"/>
      <name val="Calibri"/>
      <family val="2"/>
    </font>
    <font>
      <b/>
      <u/>
      <sz val="11"/>
      <color theme="1"/>
      <name val="Calibri"/>
      <family val="2"/>
      <scheme val="minor"/>
    </font>
    <font>
      <sz val="12"/>
      <color rgb="FF0070C0"/>
      <name val="Calibri"/>
      <family val="2"/>
    </font>
    <font>
      <sz val="12"/>
      <name val="Calibri"/>
      <family val="2"/>
    </font>
    <font>
      <sz val="10"/>
      <color theme="1"/>
      <name val="Times New Roman"/>
      <family val="1"/>
    </font>
    <font>
      <b/>
      <sz val="12"/>
      <color theme="1"/>
      <name val="Calibri"/>
      <family val="2"/>
      <scheme val="minor"/>
    </font>
    <font>
      <b/>
      <sz val="11"/>
      <color rgb="FF000000"/>
      <name val="Calibri"/>
      <family val="2"/>
    </font>
    <font>
      <b/>
      <sz val="11"/>
      <color rgb="FF0000CC"/>
      <name val="Calibri"/>
      <family val="2"/>
      <scheme val="minor"/>
    </font>
    <font>
      <sz val="11"/>
      <color rgb="FF0070C0"/>
      <name val="Calibri"/>
      <family val="2"/>
    </font>
    <font>
      <sz val="11"/>
      <color rgb="FF000000"/>
      <name val="Calibri"/>
      <family val="2"/>
      <scheme val="minor"/>
    </font>
    <font>
      <b/>
      <sz val="14"/>
      <name val="Arial"/>
      <family val="2"/>
    </font>
    <font>
      <sz val="11"/>
      <color rgb="FF0070C0"/>
      <name val="Calibri"/>
      <family val="2"/>
      <scheme val="minor"/>
    </font>
    <font>
      <sz val="11"/>
      <name val="Calibri"/>
      <family val="2"/>
    </font>
    <font>
      <u/>
      <sz val="11"/>
      <color theme="1"/>
      <name val="Calibri"/>
      <family val="2"/>
      <scheme val="minor"/>
    </font>
    <font>
      <b/>
      <sz val="11"/>
      <color rgb="FF000000"/>
      <name val="Calibri"/>
      <family val="2"/>
      <scheme val="minor"/>
    </font>
    <font>
      <b/>
      <sz val="11"/>
      <color theme="1" tint="0.499984740745262"/>
      <name val="Calibri"/>
      <family val="2"/>
      <scheme val="minor"/>
    </font>
    <font>
      <b/>
      <sz val="11"/>
      <name val="Calibri"/>
      <family val="2"/>
    </font>
    <font>
      <b/>
      <sz val="11"/>
      <color rgb="FFFF0000"/>
      <name val="Calibri"/>
      <family val="2"/>
    </font>
    <font>
      <b/>
      <sz val="14"/>
      <color rgb="FFFF0000"/>
      <name val="Arial"/>
      <family val="2"/>
    </font>
    <font>
      <b/>
      <sz val="10"/>
      <color rgb="FFFF0000"/>
      <name val="Times New Roman"/>
      <family val="1"/>
    </font>
    <font>
      <b/>
      <sz val="12"/>
      <color rgb="FF0000CC"/>
      <name val="Calibri"/>
      <family val="2"/>
      <scheme val="minor"/>
    </font>
    <font>
      <b/>
      <sz val="8"/>
      <name val="Arial"/>
      <family val="2"/>
    </font>
    <font>
      <b/>
      <sz val="8"/>
      <color rgb="FFFF0000"/>
      <name val="Arial"/>
      <family val="2"/>
    </font>
    <font>
      <b/>
      <sz val="11"/>
      <color theme="0"/>
      <name val="Calibri"/>
      <family val="2"/>
      <scheme val="minor"/>
    </font>
    <font>
      <sz val="12"/>
      <color theme="1"/>
      <name val="Calibri"/>
      <family val="2"/>
      <scheme val="minor"/>
    </font>
    <font>
      <sz val="12"/>
      <color rgb="FF0000CC"/>
      <name val="Calibri"/>
      <family val="2"/>
      <scheme val="minor"/>
    </font>
    <font>
      <sz val="12"/>
      <color rgb="FFFF0000"/>
      <name val="Calibri"/>
      <family val="2"/>
      <scheme val="minor"/>
    </font>
    <font>
      <b/>
      <sz val="14"/>
      <color theme="1"/>
      <name val="Calibri"/>
      <family val="2"/>
      <scheme val="minor"/>
    </font>
    <font>
      <u/>
      <sz val="12"/>
      <color rgb="FF0000CC"/>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FFC000"/>
        <bgColor indexed="64"/>
      </patternFill>
    </fill>
    <fill>
      <patternFill patternType="solid">
        <fgColor rgb="FF00B050"/>
        <bgColor indexed="64"/>
      </patternFill>
    </fill>
    <fill>
      <patternFill patternType="solid">
        <fgColor rgb="FFDDEBF7"/>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92D05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rgb="FF0070C0"/>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1" fillId="0" borderId="0"/>
    <xf numFmtId="0" fontId="5" fillId="0" borderId="0"/>
    <xf numFmtId="0" fontId="10" fillId="0" borderId="0" applyNumberFormat="0" applyFill="0" applyBorder="0" applyAlignment="0" applyProtection="0">
      <alignment vertical="top"/>
      <protection locked="0"/>
    </xf>
  </cellStyleXfs>
  <cellXfs count="656">
    <xf numFmtId="0" fontId="0" fillId="0" borderId="0" xfId="0"/>
    <xf numFmtId="0" fontId="5" fillId="2" borderId="0" xfId="2" applyFill="1"/>
    <xf numFmtId="0" fontId="8" fillId="2" borderId="0" xfId="2" applyFont="1" applyFill="1"/>
    <xf numFmtId="0" fontId="7" fillId="2" borderId="0" xfId="2" applyFont="1" applyFill="1"/>
    <xf numFmtId="0" fontId="11" fillId="2" borderId="0" xfId="3" applyFont="1" applyFill="1" applyAlignment="1" applyProtection="1">
      <alignment horizontal="left" vertical="center" wrapText="1"/>
    </xf>
    <xf numFmtId="16" fontId="7" fillId="2" borderId="0" xfId="2" applyNumberFormat="1" applyFont="1" applyFill="1"/>
    <xf numFmtId="0" fontId="7" fillId="2" borderId="0" xfId="2" applyFont="1" applyFill="1" applyAlignment="1">
      <alignment wrapText="1"/>
    </xf>
    <xf numFmtId="0" fontId="0" fillId="2" borderId="0" xfId="0" applyFill="1" applyAlignment="1">
      <alignment horizontal="left" vertical="center"/>
    </xf>
    <xf numFmtId="0" fontId="3" fillId="3" borderId="10" xfId="0" applyFont="1" applyFill="1" applyBorder="1" applyAlignment="1">
      <alignment horizontal="left" vertical="center" wrapText="1"/>
    </xf>
    <xf numFmtId="0" fontId="3" fillId="3" borderId="10" xfId="0" applyFont="1" applyFill="1" applyBorder="1" applyAlignment="1">
      <alignment horizontal="left" vertical="center"/>
    </xf>
    <xf numFmtId="0" fontId="14" fillId="3" borderId="10" xfId="0" applyFont="1" applyFill="1" applyBorder="1" applyAlignment="1">
      <alignment horizontal="left" vertical="center"/>
    </xf>
    <xf numFmtId="0" fontId="15" fillId="3" borderId="10" xfId="0" applyFont="1" applyFill="1" applyBorder="1" applyAlignment="1">
      <alignment horizontal="left" vertical="center"/>
    </xf>
    <xf numFmtId="0" fontId="14" fillId="3" borderId="10" xfId="0" applyFont="1" applyFill="1" applyBorder="1" applyAlignment="1">
      <alignment horizontal="left" vertical="center" wrapText="1"/>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1" fillId="0" borderId="10" xfId="0" applyFont="1" applyBorder="1" applyAlignment="1">
      <alignment horizontal="left" vertical="center"/>
    </xf>
    <xf numFmtId="0" fontId="17" fillId="0" borderId="10" xfId="0" applyFont="1" applyBorder="1" applyAlignment="1">
      <alignment horizontal="left" vertical="center"/>
    </xf>
    <xf numFmtId="0" fontId="18" fillId="0" borderId="10" xfId="0" applyFont="1" applyBorder="1" applyAlignment="1">
      <alignment horizontal="left" vertical="center"/>
    </xf>
    <xf numFmtId="0" fontId="19" fillId="0" borderId="10" xfId="0" applyFont="1" applyBorder="1" applyAlignment="1">
      <alignment horizontal="left" vertical="center"/>
    </xf>
    <xf numFmtId="17" fontId="0" fillId="0" borderId="10" xfId="0" quotePrefix="1" applyNumberFormat="1" applyBorder="1" applyAlignment="1">
      <alignment horizontal="left" vertical="center" wrapText="1"/>
    </xf>
    <xf numFmtId="0" fontId="0" fillId="0" borderId="10" xfId="0" applyBorder="1" applyAlignment="1">
      <alignment horizontal="left" vertical="center"/>
    </xf>
    <xf numFmtId="0" fontId="0" fillId="0" borderId="10" xfId="0" applyBorder="1" applyAlignment="1">
      <alignment horizontal="left" vertical="top" wrapText="1"/>
    </xf>
    <xf numFmtId="17" fontId="1" fillId="0" borderId="10" xfId="0" quotePrefix="1" applyNumberFormat="1" applyFont="1" applyBorder="1" applyAlignment="1">
      <alignment horizontal="left" vertical="center" wrapText="1"/>
    </xf>
    <xf numFmtId="0" fontId="19" fillId="0" borderId="10" xfId="0" applyFont="1" applyBorder="1" applyAlignment="1">
      <alignment horizontal="left" vertical="center" wrapText="1"/>
    </xf>
    <xf numFmtId="0" fontId="1" fillId="0" borderId="10" xfId="0" applyFont="1" applyBorder="1" applyAlignment="1">
      <alignment horizontal="left" vertical="center" wrapText="1"/>
    </xf>
    <xf numFmtId="6" fontId="0" fillId="0" borderId="10" xfId="0" applyNumberFormat="1" applyBorder="1" applyAlignment="1">
      <alignment horizontal="left" vertical="center" wrapText="1"/>
    </xf>
    <xf numFmtId="6" fontId="18" fillId="0" borderId="10" xfId="0" applyNumberFormat="1" applyFont="1" applyBorder="1" applyAlignment="1">
      <alignment horizontal="left" vertical="center" wrapText="1"/>
    </xf>
    <xf numFmtId="6" fontId="1" fillId="0" borderId="10" xfId="0" applyNumberFormat="1" applyFont="1" applyBorder="1" applyAlignment="1">
      <alignment horizontal="left" vertical="center"/>
    </xf>
    <xf numFmtId="6" fontId="19" fillId="0" borderId="10" xfId="0" applyNumberFormat="1" applyFont="1" applyBorder="1" applyAlignment="1">
      <alignment horizontal="left" vertical="center"/>
    </xf>
    <xf numFmtId="6" fontId="0" fillId="0" borderId="10" xfId="0" applyNumberFormat="1" applyBorder="1" applyAlignment="1">
      <alignment horizontal="left" vertical="center"/>
    </xf>
    <xf numFmtId="0" fontId="18" fillId="0" borderId="10" xfId="0" applyFont="1" applyBorder="1" applyAlignment="1">
      <alignment horizontal="left" vertical="center" wrapText="1"/>
    </xf>
    <xf numFmtId="0" fontId="19" fillId="0" borderId="10" xfId="0" quotePrefix="1" applyFont="1" applyBorder="1" applyAlignment="1">
      <alignment horizontal="left" vertical="top" wrapText="1"/>
    </xf>
    <xf numFmtId="0" fontId="14" fillId="0" borderId="10" xfId="0" applyFont="1" applyBorder="1" applyAlignment="1">
      <alignment horizontal="left" vertical="center" wrapText="1"/>
    </xf>
    <xf numFmtId="0" fontId="19" fillId="0" borderId="0" xfId="0" applyFont="1" applyAlignment="1">
      <alignment vertical="center" wrapText="1"/>
    </xf>
    <xf numFmtId="0" fontId="18" fillId="0" borderId="10" xfId="0" quotePrefix="1" applyFont="1" applyBorder="1" applyAlignment="1">
      <alignment horizontal="left" vertical="center" wrapText="1"/>
    </xf>
    <xf numFmtId="0" fontId="0" fillId="0" borderId="0" xfId="0" applyAlignment="1">
      <alignment vertical="center" wrapText="1"/>
    </xf>
    <xf numFmtId="0" fontId="0" fillId="0" borderId="10" xfId="0" quotePrefix="1" applyBorder="1" applyAlignment="1">
      <alignment horizontal="left" vertical="top" wrapText="1"/>
    </xf>
    <xf numFmtId="49" fontId="0" fillId="0" borderId="10" xfId="0" quotePrefix="1" applyNumberFormat="1" applyBorder="1" applyAlignment="1">
      <alignment horizontal="left" vertical="top" wrapText="1"/>
    </xf>
    <xf numFmtId="49" fontId="19" fillId="0" borderId="10" xfId="0" quotePrefix="1" applyNumberFormat="1" applyFont="1" applyBorder="1" applyAlignment="1">
      <alignment horizontal="left" vertical="top" wrapText="1"/>
    </xf>
    <xf numFmtId="49" fontId="2" fillId="0" borderId="10" xfId="0" quotePrefix="1" applyNumberFormat="1" applyFont="1" applyBorder="1" applyAlignment="1">
      <alignment horizontal="left" vertical="top" wrapText="1"/>
    </xf>
    <xf numFmtId="49" fontId="18" fillId="0" borderId="10" xfId="0" quotePrefix="1" applyNumberFormat="1" applyFont="1" applyBorder="1" applyAlignment="1">
      <alignment horizontal="left" vertical="top" wrapText="1"/>
    </xf>
    <xf numFmtId="0" fontId="3" fillId="0" borderId="0" xfId="0" applyFont="1" applyAlignment="1">
      <alignment horizontal="left" vertical="center" wrapText="1"/>
    </xf>
    <xf numFmtId="0" fontId="1" fillId="0" borderId="0" xfId="0" applyFont="1" applyAlignment="1">
      <alignment horizontal="left" vertical="center"/>
    </xf>
    <xf numFmtId="0" fontId="23" fillId="0" borderId="0" xfId="0" applyFont="1"/>
    <xf numFmtId="0" fontId="24" fillId="0" borderId="0" xfId="0" applyFont="1" applyAlignment="1">
      <alignment vertical="center"/>
    </xf>
    <xf numFmtId="0" fontId="24" fillId="5" borderId="0" xfId="0" applyFont="1" applyFill="1" applyAlignment="1">
      <alignment vertical="center"/>
    </xf>
    <xf numFmtId="0" fontId="25" fillId="0" borderId="0" xfId="0" applyFont="1" applyAlignment="1">
      <alignment vertical="center"/>
    </xf>
    <xf numFmtId="0" fontId="22" fillId="0" borderId="0" xfId="0" applyFont="1" applyAlignment="1">
      <alignment vertical="center" wrapText="1"/>
    </xf>
    <xf numFmtId="6" fontId="26" fillId="0" borderId="0" xfId="0" applyNumberFormat="1" applyFont="1" applyAlignment="1">
      <alignment horizontal="center" vertical="center"/>
    </xf>
    <xf numFmtId="0" fontId="26" fillId="0" borderId="0" xfId="0" applyFont="1" applyAlignment="1">
      <alignment vertical="center"/>
    </xf>
    <xf numFmtId="0" fontId="22" fillId="6" borderId="3"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7" borderId="12" xfId="0" applyFont="1" applyFill="1" applyBorder="1" applyAlignment="1">
      <alignment horizontal="center" vertical="top" wrapText="1"/>
    </xf>
    <xf numFmtId="0" fontId="22" fillId="6" borderId="8" xfId="0" applyFont="1" applyFill="1" applyBorder="1" applyAlignment="1">
      <alignment horizontal="center" vertical="top" wrapText="1"/>
    </xf>
    <xf numFmtId="0" fontId="22" fillId="7" borderId="14" xfId="0" applyFont="1" applyFill="1" applyBorder="1" applyAlignment="1">
      <alignment vertical="center"/>
    </xf>
    <xf numFmtId="0" fontId="22" fillId="6" borderId="15" xfId="0" applyFont="1" applyFill="1" applyBorder="1" applyAlignment="1">
      <alignment vertical="center" wrapText="1"/>
    </xf>
    <xf numFmtId="0" fontId="22" fillId="6" borderId="15" xfId="0" applyFont="1" applyFill="1" applyBorder="1" applyAlignment="1">
      <alignment horizontal="center" vertical="center"/>
    </xf>
    <xf numFmtId="0" fontId="22" fillId="6" borderId="15" xfId="0" applyFont="1" applyFill="1" applyBorder="1" applyAlignment="1">
      <alignment horizontal="center" vertical="center" wrapText="1"/>
    </xf>
    <xf numFmtId="0" fontId="23" fillId="5" borderId="16" xfId="0" applyFont="1" applyFill="1" applyBorder="1" applyAlignment="1">
      <alignment vertical="top"/>
    </xf>
    <xf numFmtId="0" fontId="23" fillId="0" borderId="18" xfId="0" applyFont="1" applyBorder="1" applyAlignment="1">
      <alignment vertical="top" wrapText="1"/>
    </xf>
    <xf numFmtId="0" fontId="23" fillId="0" borderId="19" xfId="0" applyFont="1" applyBorder="1" applyAlignment="1">
      <alignment vertical="top" wrapText="1"/>
    </xf>
    <xf numFmtId="0" fontId="23" fillId="5" borderId="20" xfId="0" applyFont="1" applyFill="1" applyBorder="1" applyAlignment="1">
      <alignment vertical="top" wrapText="1"/>
    </xf>
    <xf numFmtId="0" fontId="23" fillId="0" borderId="10" xfId="0" applyFont="1" applyBorder="1" applyAlignment="1">
      <alignment vertical="top" wrapText="1"/>
    </xf>
    <xf numFmtId="0" fontId="23" fillId="0" borderId="21" xfId="0" applyFont="1" applyBorder="1" applyAlignment="1">
      <alignment vertical="top" wrapText="1"/>
    </xf>
    <xf numFmtId="0" fontId="23" fillId="0" borderId="23" xfId="0" applyFont="1" applyBorder="1" applyAlignment="1">
      <alignment vertical="top" wrapText="1"/>
    </xf>
    <xf numFmtId="0" fontId="23" fillId="0" borderId="24" xfId="0" applyFont="1" applyBorder="1" applyAlignment="1">
      <alignment vertical="top" wrapText="1"/>
    </xf>
    <xf numFmtId="0" fontId="22" fillId="9" borderId="3" xfId="0" applyFont="1" applyFill="1" applyBorder="1" applyAlignment="1">
      <alignment horizontal="center" vertical="top" wrapText="1"/>
    </xf>
    <xf numFmtId="0" fontId="22" fillId="9" borderId="5" xfId="0" applyFont="1" applyFill="1" applyBorder="1" applyAlignment="1">
      <alignment vertical="center" wrapText="1"/>
    </xf>
    <xf numFmtId="0" fontId="22" fillId="9" borderId="8" xfId="0" applyFont="1" applyFill="1" applyBorder="1" applyAlignment="1">
      <alignment horizontal="center" vertical="center" wrapText="1"/>
    </xf>
    <xf numFmtId="0" fontId="22" fillId="9" borderId="8" xfId="0" applyFont="1" applyFill="1" applyBorder="1" applyAlignment="1">
      <alignment vertical="center" wrapText="1"/>
    </xf>
    <xf numFmtId="0" fontId="22" fillId="9" borderId="14" xfId="0" applyFont="1" applyFill="1" applyBorder="1" applyAlignment="1">
      <alignment horizontal="center" vertical="center" wrapText="1"/>
    </xf>
    <xf numFmtId="0" fontId="22" fillId="9" borderId="12" xfId="0" applyFont="1" applyFill="1" applyBorder="1" applyAlignment="1">
      <alignment vertical="center"/>
    </xf>
    <xf numFmtId="0" fontId="22" fillId="9" borderId="11" xfId="0" applyFont="1" applyFill="1" applyBorder="1" applyAlignment="1">
      <alignment horizontal="center" vertical="center"/>
    </xf>
    <xf numFmtId="0" fontId="22" fillId="9" borderId="3" xfId="0" applyFont="1" applyFill="1" applyBorder="1" applyAlignment="1">
      <alignment horizontal="center" vertical="center" wrapText="1"/>
    </xf>
    <xf numFmtId="0" fontId="23" fillId="0" borderId="28" xfId="0" applyFont="1" applyBorder="1" applyAlignment="1">
      <alignment vertical="top"/>
    </xf>
    <xf numFmtId="0" fontId="23" fillId="5" borderId="10" xfId="0" applyFont="1" applyFill="1" applyBorder="1" applyAlignment="1">
      <alignment vertical="top" wrapText="1"/>
    </xf>
    <xf numFmtId="0" fontId="23" fillId="0" borderId="29" xfId="0" applyFont="1" applyBorder="1" applyAlignment="1">
      <alignment vertical="top" wrapText="1"/>
    </xf>
    <xf numFmtId="0" fontId="30" fillId="0" borderId="19" xfId="0" applyFont="1" applyBorder="1" applyAlignment="1">
      <alignment vertical="top" wrapText="1"/>
    </xf>
    <xf numFmtId="0" fontId="22" fillId="9" borderId="13" xfId="0" applyFont="1" applyFill="1" applyBorder="1" applyAlignment="1">
      <alignment vertical="center"/>
    </xf>
    <xf numFmtId="0" fontId="23" fillId="0" borderId="30" xfId="0" applyFont="1" applyBorder="1" applyAlignment="1">
      <alignment vertical="top" wrapText="1"/>
    </xf>
    <xf numFmtId="6" fontId="26" fillId="0" borderId="0" xfId="0" applyNumberFormat="1" applyFont="1" applyAlignment="1">
      <alignment horizontal="left" vertical="center" wrapText="1"/>
    </xf>
    <xf numFmtId="0" fontId="26" fillId="0" borderId="0" xfId="0" applyFont="1" applyAlignment="1">
      <alignment wrapText="1"/>
    </xf>
    <xf numFmtId="0" fontId="26" fillId="0" borderId="0" xfId="0" applyFont="1" applyAlignment="1">
      <alignment horizontal="left" vertical="center"/>
    </xf>
    <xf numFmtId="6" fontId="26" fillId="0" borderId="0" xfId="0" applyNumberFormat="1" applyFont="1" applyAlignment="1">
      <alignment horizontal="center" vertical="center" wrapText="1"/>
    </xf>
    <xf numFmtId="0" fontId="23" fillId="2" borderId="10" xfId="0" applyFont="1" applyFill="1" applyBorder="1" applyAlignment="1">
      <alignment vertical="top" wrapText="1"/>
    </xf>
    <xf numFmtId="0" fontId="23" fillId="2" borderId="21" xfId="0" applyFont="1" applyFill="1" applyBorder="1" applyAlignment="1">
      <alignment vertical="top" wrapText="1"/>
    </xf>
    <xf numFmtId="0" fontId="23" fillId="0" borderId="10" xfId="0" applyFont="1" applyBorder="1" applyAlignment="1">
      <alignment vertical="top"/>
    </xf>
    <xf numFmtId="0" fontId="23" fillId="0" borderId="31" xfId="0" applyFont="1" applyBorder="1" applyAlignment="1">
      <alignment vertical="top" wrapText="1"/>
    </xf>
    <xf numFmtId="2" fontId="0" fillId="0" borderId="0" xfId="0" applyNumberFormat="1"/>
    <xf numFmtId="0" fontId="23" fillId="0" borderId="16" xfId="0" applyFont="1" applyBorder="1" applyAlignment="1">
      <alignment vertical="top"/>
    </xf>
    <xf numFmtId="0" fontId="30" fillId="0" borderId="21" xfId="0" applyFont="1" applyBorder="1" applyAlignment="1">
      <alignment vertical="top" wrapText="1"/>
    </xf>
    <xf numFmtId="0" fontId="23" fillId="0" borderId="26" xfId="0" applyFont="1" applyBorder="1" applyAlignment="1">
      <alignment vertical="top" wrapText="1"/>
    </xf>
    <xf numFmtId="0" fontId="31" fillId="0" borderId="0" xfId="0" applyFont="1" applyAlignment="1">
      <alignment vertical="center" wrapText="1"/>
    </xf>
    <xf numFmtId="0" fontId="31" fillId="0" borderId="0" xfId="0" applyFont="1" applyAlignment="1">
      <alignment wrapText="1"/>
    </xf>
    <xf numFmtId="164" fontId="0" fillId="0" borderId="0" xfId="0" applyNumberFormat="1"/>
    <xf numFmtId="0" fontId="25" fillId="5" borderId="0" xfId="0" applyFont="1" applyFill="1" applyAlignment="1">
      <alignment vertical="center"/>
    </xf>
    <xf numFmtId="0" fontId="31" fillId="0" borderId="0" xfId="0" applyFont="1"/>
    <xf numFmtId="6" fontId="32" fillId="0" borderId="0" xfId="0" applyNumberFormat="1" applyFont="1" applyAlignment="1">
      <alignment horizontal="center" vertical="center"/>
    </xf>
    <xf numFmtId="6" fontId="25" fillId="0" borderId="0" xfId="0" applyNumberFormat="1" applyFont="1" applyAlignment="1">
      <alignment horizontal="center" vertical="center"/>
    </xf>
    <xf numFmtId="0" fontId="25" fillId="10" borderId="0" xfId="0" applyFont="1" applyFill="1" applyAlignment="1">
      <alignment vertical="center"/>
    </xf>
    <xf numFmtId="0" fontId="31" fillId="0" borderId="0" xfId="0" applyFont="1" applyAlignment="1">
      <alignment vertical="center"/>
    </xf>
    <xf numFmtId="0" fontId="33" fillId="0" borderId="0" xfId="0" applyFont="1" applyAlignment="1">
      <alignment horizontal="left" vertical="center" wrapTex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pplyAlignment="1">
      <alignment horizontal="right" vertical="center"/>
    </xf>
    <xf numFmtId="164" fontId="0" fillId="0" borderId="26" xfId="0" applyNumberFormat="1" applyBorder="1" applyAlignment="1">
      <alignment horizontal="right"/>
    </xf>
    <xf numFmtId="6" fontId="36" fillId="0" borderId="26" xfId="0" applyNumberFormat="1" applyFont="1" applyBorder="1" applyAlignment="1">
      <alignment horizontal="right" vertical="center"/>
    </xf>
    <xf numFmtId="164" fontId="0" fillId="0" borderId="27" xfId="0" applyNumberFormat="1" applyBorder="1" applyAlignment="1">
      <alignment wrapText="1"/>
    </xf>
    <xf numFmtId="6" fontId="25" fillId="0" borderId="0" xfId="0" applyNumberFormat="1" applyFont="1" applyAlignment="1">
      <alignment horizontal="right" vertical="center"/>
    </xf>
    <xf numFmtId="6" fontId="0" fillId="0" borderId="0" xfId="0" applyNumberFormat="1"/>
    <xf numFmtId="164" fontId="0" fillId="0" borderId="10" xfId="0" applyNumberFormat="1" applyBorder="1" applyAlignment="1">
      <alignment horizontal="right"/>
    </xf>
    <xf numFmtId="6" fontId="36" fillId="0" borderId="10" xfId="0" applyNumberFormat="1" applyFont="1" applyBorder="1" applyAlignment="1">
      <alignment horizontal="right" vertical="center"/>
    </xf>
    <xf numFmtId="164" fontId="0" fillId="0" borderId="21" xfId="0" applyNumberFormat="1" applyBorder="1" applyAlignment="1">
      <alignment wrapText="1"/>
    </xf>
    <xf numFmtId="164" fontId="0" fillId="0" borderId="21" xfId="0" applyNumberFormat="1" applyBorder="1" applyAlignment="1">
      <alignment horizontal="right" wrapText="1"/>
    </xf>
    <xf numFmtId="164" fontId="0" fillId="0" borderId="0" xfId="0" applyNumberFormat="1" applyAlignment="1">
      <alignment horizontal="right"/>
    </xf>
    <xf numFmtId="0" fontId="25" fillId="0" borderId="30" xfId="0" applyFont="1" applyBorder="1" applyAlignment="1">
      <alignment vertical="center"/>
    </xf>
    <xf numFmtId="164" fontId="0" fillId="0" borderId="30" xfId="0" applyNumberFormat="1" applyBorder="1" applyAlignment="1">
      <alignment horizontal="right"/>
    </xf>
    <xf numFmtId="6" fontId="36" fillId="0" borderId="30" xfId="0" applyNumberFormat="1" applyFont="1" applyBorder="1" applyAlignment="1">
      <alignment horizontal="right" vertical="center"/>
    </xf>
    <xf numFmtId="164" fontId="0" fillId="0" borderId="31" xfId="0" applyNumberFormat="1" applyBorder="1" applyAlignment="1">
      <alignment horizontal="right" wrapText="1"/>
    </xf>
    <xf numFmtId="0" fontId="22" fillId="0" borderId="0" xfId="0" applyFont="1" applyAlignment="1">
      <alignment vertical="center"/>
    </xf>
    <xf numFmtId="0" fontId="37" fillId="0" borderId="0" xfId="2"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32" fillId="0" borderId="0" xfId="0" applyFont="1"/>
    <xf numFmtId="6" fontId="0" fillId="0" borderId="0" xfId="0" applyNumberFormat="1" applyAlignment="1">
      <alignment horizontal="center" vertical="center"/>
    </xf>
    <xf numFmtId="9" fontId="0" fillId="0" borderId="0" xfId="0" applyNumberFormat="1" applyAlignment="1">
      <alignment horizontal="center" vertical="center"/>
    </xf>
    <xf numFmtId="0" fontId="3" fillId="7" borderId="26" xfId="0" applyFont="1" applyFill="1" applyBorder="1" applyAlignment="1">
      <alignment horizontal="left" vertical="top" wrapText="1"/>
    </xf>
    <xf numFmtId="0" fontId="3" fillId="7" borderId="27" xfId="0" applyFont="1" applyFill="1" applyBorder="1" applyAlignment="1">
      <alignment horizontal="left" vertical="top" wrapText="1"/>
    </xf>
    <xf numFmtId="49" fontId="3" fillId="7" borderId="10" xfId="0" applyNumberFormat="1" applyFont="1" applyFill="1" applyBorder="1" applyAlignment="1">
      <alignment horizontal="left" vertical="top" wrapText="1"/>
    </xf>
    <xf numFmtId="49" fontId="3" fillId="7" borderId="21" xfId="0" applyNumberFormat="1" applyFont="1" applyFill="1" applyBorder="1" applyAlignment="1">
      <alignment horizontal="left" vertical="top" wrapText="1"/>
    </xf>
    <xf numFmtId="0" fontId="3" fillId="7" borderId="34" xfId="0" applyFont="1" applyFill="1" applyBorder="1" applyAlignment="1">
      <alignment horizontal="left" vertical="center"/>
    </xf>
    <xf numFmtId="0" fontId="3" fillId="7" borderId="23" xfId="0" applyFont="1" applyFill="1" applyBorder="1" applyAlignment="1">
      <alignment horizontal="left" vertical="center" wrapText="1"/>
    </xf>
    <xf numFmtId="49" fontId="3" fillId="7" borderId="23" xfId="0" applyNumberFormat="1" applyFont="1" applyFill="1" applyBorder="1" applyAlignment="1">
      <alignment horizontal="left"/>
    </xf>
    <xf numFmtId="0" fontId="3" fillId="7" borderId="24" xfId="0" applyFont="1" applyFill="1" applyBorder="1" applyAlignment="1">
      <alignment horizontal="left"/>
    </xf>
    <xf numFmtId="0" fontId="3" fillId="7" borderId="23" xfId="0" applyFont="1" applyFill="1" applyBorder="1" applyAlignment="1">
      <alignment horizontal="left"/>
    </xf>
    <xf numFmtId="0" fontId="0" fillId="0" borderId="26" xfId="0" applyBorder="1" applyAlignment="1">
      <alignment horizontal="left" vertical="center" wrapText="1"/>
    </xf>
    <xf numFmtId="0" fontId="0" fillId="0" borderId="18" xfId="0" applyBorder="1" applyAlignment="1">
      <alignment horizontal="left" vertical="center" wrapText="1"/>
    </xf>
    <xf numFmtId="0" fontId="25" fillId="0" borderId="23" xfId="0" applyFont="1" applyBorder="1" applyAlignment="1">
      <alignment vertical="center"/>
    </xf>
    <xf numFmtId="164" fontId="0" fillId="0" borderId="23" xfId="0" applyNumberFormat="1" applyBorder="1" applyAlignment="1">
      <alignment horizontal="right"/>
    </xf>
    <xf numFmtId="10" fontId="0" fillId="0" borderId="0" xfId="0" applyNumberFormat="1" applyAlignment="1">
      <alignment vertical="top" wrapText="1"/>
    </xf>
    <xf numFmtId="164" fontId="0" fillId="0" borderId="18" xfId="0" applyNumberFormat="1" applyBorder="1" applyAlignment="1">
      <alignment horizontal="right"/>
    </xf>
    <xf numFmtId="6" fontId="36" fillId="0" borderId="18" xfId="0" applyNumberFormat="1" applyFont="1" applyBorder="1" applyAlignment="1">
      <alignment horizontal="right" vertical="center"/>
    </xf>
    <xf numFmtId="49" fontId="3" fillId="11" borderId="36" xfId="0" applyNumberFormat="1" applyFont="1" applyFill="1" applyBorder="1" applyAlignment="1">
      <alignment wrapText="1"/>
    </xf>
    <xf numFmtId="164" fontId="3" fillId="11" borderId="18" xfId="0" applyNumberFormat="1" applyFont="1" applyFill="1" applyBorder="1" applyAlignment="1">
      <alignment wrapText="1"/>
    </xf>
    <xf numFmtId="49" fontId="3" fillId="11" borderId="37" xfId="0" applyNumberFormat="1" applyFont="1" applyFill="1" applyBorder="1" applyAlignment="1">
      <alignment wrapText="1"/>
    </xf>
    <xf numFmtId="0" fontId="33" fillId="11" borderId="14" xfId="0" applyFont="1" applyFill="1" applyBorder="1" applyAlignment="1">
      <alignment vertical="center" wrapText="1"/>
    </xf>
    <xf numFmtId="0" fontId="33" fillId="11" borderId="15" xfId="0" applyFont="1" applyFill="1" applyBorder="1" applyAlignment="1">
      <alignment vertical="center" wrapText="1"/>
    </xf>
    <xf numFmtId="164" fontId="33" fillId="11" borderId="15" xfId="0" applyNumberFormat="1" applyFont="1" applyFill="1" applyBorder="1" applyAlignment="1">
      <alignment vertical="center" wrapText="1"/>
    </xf>
    <xf numFmtId="164" fontId="3" fillId="11" borderId="23" xfId="0" applyNumberFormat="1" applyFont="1" applyFill="1" applyBorder="1"/>
    <xf numFmtId="164" fontId="3" fillId="11" borderId="17" xfId="0" applyNumberFormat="1" applyFont="1" applyFill="1" applyBorder="1"/>
    <xf numFmtId="164" fontId="3" fillId="11" borderId="19" xfId="0" applyNumberFormat="1" applyFont="1" applyFill="1" applyBorder="1" applyAlignment="1">
      <alignment wrapText="1"/>
    </xf>
    <xf numFmtId="0" fontId="3" fillId="11" borderId="34" xfId="0" applyFont="1" applyFill="1" applyBorder="1" applyAlignment="1">
      <alignment vertical="center"/>
    </xf>
    <xf numFmtId="0" fontId="3" fillId="11" borderId="23" xfId="0" applyFont="1" applyFill="1" applyBorder="1" applyAlignment="1">
      <alignment vertical="center" wrapText="1"/>
    </xf>
    <xf numFmtId="164" fontId="3" fillId="11" borderId="24" xfId="0" applyNumberFormat="1" applyFont="1" applyFill="1" applyBorder="1"/>
    <xf numFmtId="165" fontId="0" fillId="0" borderId="0" xfId="0" applyNumberFormat="1" applyAlignment="1">
      <alignment vertical="top" wrapText="1"/>
    </xf>
    <xf numFmtId="0" fontId="3" fillId="0" borderId="0" xfId="0" applyFont="1" applyAlignment="1">
      <alignment vertical="center" wrapText="1"/>
    </xf>
    <xf numFmtId="0" fontId="0" fillId="0" borderId="0" xfId="0" applyAlignment="1">
      <alignment horizontal="left" vertical="center" wrapText="1"/>
    </xf>
    <xf numFmtId="49" fontId="3" fillId="7" borderId="10" xfId="0" applyNumberFormat="1" applyFont="1" applyFill="1" applyBorder="1" applyAlignment="1">
      <alignment horizontal="left" wrapText="1"/>
    </xf>
    <xf numFmtId="164" fontId="0" fillId="10" borderId="0" xfId="0" applyNumberFormat="1" applyFill="1"/>
    <xf numFmtId="0" fontId="33" fillId="11" borderId="15" xfId="0" applyFont="1" applyFill="1" applyBorder="1" applyAlignment="1">
      <alignment horizontal="left" vertical="center" wrapText="1"/>
    </xf>
    <xf numFmtId="164" fontId="3" fillId="11" borderId="23" xfId="0" applyNumberFormat="1" applyFont="1" applyFill="1" applyBorder="1" applyAlignment="1">
      <alignment horizontal="left"/>
    </xf>
    <xf numFmtId="164" fontId="0" fillId="0" borderId="0" xfId="0" applyNumberFormat="1" applyAlignment="1">
      <alignment vertical="top" wrapText="1"/>
    </xf>
    <xf numFmtId="164" fontId="32" fillId="0" borderId="0" xfId="0" applyNumberFormat="1" applyFont="1"/>
    <xf numFmtId="164" fontId="32" fillId="0" borderId="0" xfId="0" applyNumberFormat="1" applyFont="1" applyAlignment="1">
      <alignment horizontal="center" vertical="center"/>
    </xf>
    <xf numFmtId="164" fontId="0" fillId="0" borderId="0" xfId="0" applyNumberFormat="1" applyAlignment="1">
      <alignment horizontal="center" vertical="center"/>
    </xf>
    <xf numFmtId="164" fontId="3" fillId="7" borderId="26" xfId="0" applyNumberFormat="1" applyFont="1" applyFill="1" applyBorder="1" applyAlignment="1">
      <alignment horizontal="left" vertical="top" wrapText="1"/>
    </xf>
    <xf numFmtId="164" fontId="3" fillId="7" borderId="27" xfId="0" applyNumberFormat="1" applyFont="1" applyFill="1" applyBorder="1" applyAlignment="1">
      <alignment horizontal="left" vertical="top" wrapText="1"/>
    </xf>
    <xf numFmtId="164" fontId="3" fillId="7" borderId="10" xfId="0" applyNumberFormat="1" applyFont="1" applyFill="1" applyBorder="1" applyAlignment="1">
      <alignment horizontal="left" vertical="top" wrapText="1"/>
    </xf>
    <xf numFmtId="164" fontId="3" fillId="7" borderId="21" xfId="0" applyNumberFormat="1" applyFont="1" applyFill="1" applyBorder="1" applyAlignment="1">
      <alignment horizontal="left" vertical="top" wrapText="1"/>
    </xf>
    <xf numFmtId="164" fontId="3" fillId="7" borderId="23" xfId="0" applyNumberFormat="1" applyFont="1" applyFill="1" applyBorder="1" applyAlignment="1">
      <alignment horizontal="left"/>
    </xf>
    <xf numFmtId="164" fontId="3" fillId="7" borderId="24" xfId="0" applyNumberFormat="1" applyFont="1" applyFill="1" applyBorder="1" applyAlignment="1">
      <alignment horizontal="left"/>
    </xf>
    <xf numFmtId="164" fontId="3" fillId="11" borderId="18" xfId="0" applyNumberFormat="1" applyFont="1" applyFill="1" applyBorder="1" applyAlignment="1">
      <alignment horizontal="left" wrapText="1"/>
    </xf>
    <xf numFmtId="164" fontId="3" fillId="11" borderId="19" xfId="0" applyNumberFormat="1" applyFont="1" applyFill="1" applyBorder="1" applyAlignment="1">
      <alignment horizontal="left" wrapText="1"/>
    </xf>
    <xf numFmtId="0" fontId="33" fillId="11" borderId="14" xfId="0" applyFont="1" applyFill="1" applyBorder="1" applyAlignment="1">
      <alignment horizontal="left" vertical="center" wrapText="1"/>
    </xf>
    <xf numFmtId="0" fontId="3" fillId="11" borderId="34" xfId="0" applyFont="1" applyFill="1" applyBorder="1" applyAlignment="1">
      <alignment horizontal="left" vertical="center"/>
    </xf>
    <xf numFmtId="0" fontId="3" fillId="11" borderId="23" xfId="0" applyFont="1" applyFill="1" applyBorder="1" applyAlignment="1">
      <alignment horizontal="left" vertical="center" wrapText="1"/>
    </xf>
    <xf numFmtId="164" fontId="3" fillId="11" borderId="24" xfId="0" applyNumberFormat="1" applyFont="1" applyFill="1" applyBorder="1" applyAlignment="1">
      <alignment horizontal="left"/>
    </xf>
    <xf numFmtId="49" fontId="3" fillId="7" borderId="21" xfId="0" applyNumberFormat="1" applyFont="1" applyFill="1" applyBorder="1" applyAlignment="1">
      <alignment horizontal="left" wrapText="1"/>
    </xf>
    <xf numFmtId="49" fontId="3" fillId="0" borderId="0" xfId="0" applyNumberFormat="1" applyFont="1" applyAlignment="1">
      <alignment wrapText="1"/>
    </xf>
    <xf numFmtId="0" fontId="0" fillId="0" borderId="0" xfId="0" applyAlignment="1">
      <alignment horizontal="right"/>
    </xf>
    <xf numFmtId="6" fontId="0" fillId="0" borderId="0" xfId="0" applyNumberFormat="1" applyAlignment="1">
      <alignment vertical="top" wrapText="1"/>
    </xf>
    <xf numFmtId="164" fontId="3" fillId="11" borderId="25" xfId="0" applyNumberFormat="1" applyFont="1" applyFill="1" applyBorder="1" applyAlignment="1">
      <alignment horizontal="left" wrapText="1"/>
    </xf>
    <xf numFmtId="164" fontId="3" fillId="11" borderId="26" xfId="0" applyNumberFormat="1" applyFont="1" applyFill="1" applyBorder="1" applyAlignment="1">
      <alignment horizontal="left" wrapText="1"/>
    </xf>
    <xf numFmtId="164" fontId="3" fillId="11" borderId="27" xfId="0" applyNumberFormat="1" applyFont="1" applyFill="1" applyBorder="1" applyAlignment="1">
      <alignment horizontal="left" wrapText="1"/>
    </xf>
    <xf numFmtId="0" fontId="3" fillId="11" borderId="29" xfId="0" applyFont="1" applyFill="1" applyBorder="1" applyAlignment="1">
      <alignment horizontal="left" vertical="center"/>
    </xf>
    <xf numFmtId="0" fontId="3" fillId="11" borderId="41" xfId="0" applyFont="1" applyFill="1" applyBorder="1" applyAlignment="1">
      <alignment horizontal="left" vertical="center" wrapText="1"/>
    </xf>
    <xf numFmtId="164" fontId="3" fillId="11" borderId="36" xfId="0" applyNumberFormat="1" applyFont="1" applyFill="1" applyBorder="1" applyAlignment="1">
      <alignment horizontal="left"/>
    </xf>
    <xf numFmtId="49" fontId="3" fillId="11" borderId="37" xfId="0" applyNumberFormat="1" applyFont="1" applyFill="1" applyBorder="1"/>
    <xf numFmtId="0" fontId="3" fillId="11" borderId="37" xfId="0" applyFont="1" applyFill="1" applyBorder="1"/>
    <xf numFmtId="164" fontId="3" fillId="11" borderId="38" xfId="0" applyNumberFormat="1" applyFont="1" applyFill="1" applyBorder="1" applyAlignment="1">
      <alignment horizontal="left"/>
    </xf>
    <xf numFmtId="164" fontId="37" fillId="0" borderId="0" xfId="2" applyNumberFormat="1" applyFont="1" applyAlignment="1">
      <alignment horizontal="center" vertical="center" wrapText="1"/>
    </xf>
    <xf numFmtId="164" fontId="0" fillId="0" borderId="0" xfId="0" applyNumberFormat="1" applyAlignment="1">
      <alignment wrapText="1"/>
    </xf>
    <xf numFmtId="164" fontId="3" fillId="7" borderId="10" xfId="0" applyNumberFormat="1" applyFont="1" applyFill="1" applyBorder="1" applyAlignment="1">
      <alignment horizontal="left" wrapText="1"/>
    </xf>
    <xf numFmtId="164" fontId="3" fillId="7" borderId="21" xfId="0" applyNumberFormat="1" applyFont="1" applyFill="1" applyBorder="1" applyAlignment="1">
      <alignment horizontal="left" wrapText="1"/>
    </xf>
    <xf numFmtId="0" fontId="3" fillId="11" borderId="42" xfId="0" applyFont="1" applyFill="1" applyBorder="1" applyAlignment="1">
      <alignment horizontal="left" vertical="center" wrapText="1"/>
    </xf>
    <xf numFmtId="164" fontId="3" fillId="11" borderId="29" xfId="0" applyNumberFormat="1" applyFont="1" applyFill="1" applyBorder="1" applyAlignment="1">
      <alignment horizontal="left"/>
    </xf>
    <xf numFmtId="49" fontId="3" fillId="11" borderId="22" xfId="0" applyNumberFormat="1" applyFont="1" applyFill="1" applyBorder="1"/>
    <xf numFmtId="0" fontId="3" fillId="11" borderId="22" xfId="0" applyFont="1" applyFill="1" applyBorder="1"/>
    <xf numFmtId="164" fontId="3" fillId="11" borderId="31" xfId="0" applyNumberFormat="1" applyFont="1" applyFill="1" applyBorder="1" applyAlignment="1">
      <alignment horizontal="left"/>
    </xf>
    <xf numFmtId="164" fontId="0" fillId="0" borderId="21" xfId="0" applyNumberFormat="1" applyBorder="1" applyAlignment="1">
      <alignment horizontal="right"/>
    </xf>
    <xf numFmtId="164" fontId="18" fillId="0" borderId="10" xfId="0" applyNumberFormat="1" applyFont="1" applyBorder="1" applyAlignment="1">
      <alignment horizontal="right"/>
    </xf>
    <xf numFmtId="164" fontId="0" fillId="0" borderId="24" xfId="0" applyNumberFormat="1" applyBorder="1" applyAlignment="1">
      <alignment horizontal="right"/>
    </xf>
    <xf numFmtId="164" fontId="0" fillId="0" borderId="27" xfId="0" applyNumberFormat="1" applyBorder="1" applyAlignment="1">
      <alignment horizontal="right"/>
    </xf>
    <xf numFmtId="164" fontId="0" fillId="0" borderId="31" xfId="0" applyNumberFormat="1" applyBorder="1" applyAlignment="1">
      <alignment horizontal="right"/>
    </xf>
    <xf numFmtId="164" fontId="0" fillId="0" borderId="19" xfId="0" applyNumberFormat="1" applyBorder="1" applyAlignment="1">
      <alignment horizontal="right"/>
    </xf>
    <xf numFmtId="0" fontId="0" fillId="5" borderId="0" xfId="0" applyFill="1"/>
    <xf numFmtId="0" fontId="3" fillId="0" borderId="0" xfId="0" applyFont="1" applyAlignment="1">
      <alignment horizontal="left"/>
    </xf>
    <xf numFmtId="6" fontId="3" fillId="0" borderId="0" xfId="0" applyNumberFormat="1" applyFont="1" applyAlignment="1">
      <alignment horizontal="center" vertical="center"/>
    </xf>
    <xf numFmtId="0" fontId="0" fillId="10" borderId="0" xfId="0" applyFill="1"/>
    <xf numFmtId="0" fontId="3" fillId="7" borderId="29" xfId="0" applyFont="1" applyFill="1" applyBorder="1" applyAlignment="1">
      <alignment horizontal="left" vertical="center"/>
    </xf>
    <xf numFmtId="0" fontId="3" fillId="7" borderId="30" xfId="0" applyFont="1" applyFill="1" applyBorder="1" applyAlignment="1">
      <alignment horizontal="left" vertical="center" wrapText="1"/>
    </xf>
    <xf numFmtId="49" fontId="3" fillId="7" borderId="30" xfId="0" applyNumberFormat="1" applyFont="1" applyFill="1" applyBorder="1" applyAlignment="1">
      <alignment horizontal="left"/>
    </xf>
    <xf numFmtId="0" fontId="3" fillId="7" borderId="31" xfId="0" applyFont="1" applyFill="1" applyBorder="1" applyAlignment="1">
      <alignment horizontal="left"/>
    </xf>
    <xf numFmtId="0" fontId="3" fillId="7" borderId="30" xfId="0" applyFont="1" applyFill="1" applyBorder="1" applyAlignment="1">
      <alignment horizontal="left"/>
    </xf>
    <xf numFmtId="164" fontId="3" fillId="11" borderId="26" xfId="0" applyNumberFormat="1" applyFont="1" applyFill="1" applyBorder="1" applyAlignment="1">
      <alignment wrapText="1"/>
    </xf>
    <xf numFmtId="164" fontId="3" fillId="11" borderId="27" xfId="0" applyNumberFormat="1" applyFont="1" applyFill="1" applyBorder="1" applyAlignment="1">
      <alignment wrapText="1"/>
    </xf>
    <xf numFmtId="0" fontId="3" fillId="11" borderId="29" xfId="0" applyFont="1" applyFill="1" applyBorder="1" applyAlignment="1">
      <alignment vertical="center"/>
    </xf>
    <xf numFmtId="164" fontId="0" fillId="5" borderId="0" xfId="0" applyNumberFormat="1" applyFill="1"/>
    <xf numFmtId="164" fontId="3" fillId="7" borderId="30" xfId="0" applyNumberFormat="1" applyFont="1" applyFill="1" applyBorder="1" applyAlignment="1">
      <alignment horizontal="left"/>
    </xf>
    <xf numFmtId="0" fontId="3" fillId="7" borderId="43" xfId="0" applyFont="1" applyFill="1" applyBorder="1" applyAlignment="1">
      <alignment horizontal="left"/>
    </xf>
    <xf numFmtId="164" fontId="3" fillId="7" borderId="31" xfId="0" applyNumberFormat="1" applyFont="1" applyFill="1" applyBorder="1" applyAlignment="1">
      <alignment horizontal="left"/>
    </xf>
    <xf numFmtId="0" fontId="3" fillId="0" borderId="0" xfId="0" applyFont="1"/>
    <xf numFmtId="164" fontId="3" fillId="0" borderId="0" xfId="0" applyNumberFormat="1" applyFont="1"/>
    <xf numFmtId="164" fontId="3" fillId="0" borderId="0" xfId="0" applyNumberFormat="1" applyFont="1" applyAlignment="1">
      <alignment horizontal="center" vertical="center"/>
    </xf>
    <xf numFmtId="0" fontId="37" fillId="0" borderId="0" xfId="2" applyFont="1" applyAlignment="1">
      <alignment vertical="center" wrapText="1"/>
    </xf>
    <xf numFmtId="0" fontId="3" fillId="7" borderId="34" xfId="0" applyFont="1" applyFill="1" applyBorder="1" applyAlignment="1">
      <alignment vertical="center"/>
    </xf>
    <xf numFmtId="0" fontId="3" fillId="7" borderId="42" xfId="0" applyFont="1" applyFill="1" applyBorder="1" applyAlignment="1">
      <alignment horizontal="left"/>
    </xf>
    <xf numFmtId="0" fontId="3" fillId="12" borderId="26" xfId="0" applyFont="1" applyFill="1" applyBorder="1" applyAlignment="1">
      <alignment horizontal="right" vertical="top"/>
    </xf>
    <xf numFmtId="0" fontId="3" fillId="12" borderId="26" xfId="0" applyFont="1" applyFill="1" applyBorder="1" applyAlignment="1">
      <alignment horizontal="right" vertical="top" wrapText="1"/>
    </xf>
    <xf numFmtId="0" fontId="3" fillId="12" borderId="27" xfId="0" applyFont="1" applyFill="1" applyBorder="1" applyAlignment="1">
      <alignment horizontal="right" vertical="top" wrapText="1"/>
    </xf>
    <xf numFmtId="0" fontId="3" fillId="12" borderId="10" xfId="0" applyFont="1" applyFill="1" applyBorder="1" applyAlignment="1">
      <alignment horizontal="right" vertical="top" wrapText="1"/>
    </xf>
    <xf numFmtId="0" fontId="3" fillId="12" borderId="10" xfId="0" applyFont="1" applyFill="1" applyBorder="1" applyAlignment="1">
      <alignment horizontal="right" vertical="top"/>
    </xf>
    <xf numFmtId="0" fontId="41" fillId="12" borderId="10" xfId="0" applyFont="1" applyFill="1" applyBorder="1" applyAlignment="1">
      <alignment horizontal="right" vertical="top"/>
    </xf>
    <xf numFmtId="0" fontId="3" fillId="12" borderId="21" xfId="0" applyFont="1" applyFill="1" applyBorder="1" applyAlignment="1">
      <alignment horizontal="right" vertical="top"/>
    </xf>
    <xf numFmtId="0" fontId="0" fillId="0" borderId="10" xfId="0" applyBorder="1" applyAlignment="1">
      <alignment horizontal="right" vertical="top" wrapText="1"/>
    </xf>
    <xf numFmtId="164" fontId="0" fillId="0" borderId="10" xfId="0" applyNumberFormat="1" applyBorder="1" applyAlignment="1">
      <alignment horizontal="right" vertical="top"/>
    </xf>
    <xf numFmtId="164" fontId="0" fillId="0" borderId="21" xfId="0" applyNumberFormat="1" applyBorder="1" applyAlignment="1">
      <alignment horizontal="right" vertical="top"/>
    </xf>
    <xf numFmtId="165" fontId="25" fillId="0" borderId="0" xfId="0" applyNumberFormat="1" applyFont="1" applyAlignment="1">
      <alignment horizontal="right" vertical="center"/>
    </xf>
    <xf numFmtId="0" fontId="25" fillId="0" borderId="0" xfId="0" applyFont="1" applyAlignment="1">
      <alignment horizontal="right" vertical="center"/>
    </xf>
    <xf numFmtId="0" fontId="17" fillId="0" borderId="30" xfId="0" applyFont="1" applyBorder="1" applyAlignment="1">
      <alignment horizontal="right" vertical="top" wrapText="1"/>
    </xf>
    <xf numFmtId="164" fontId="0" fillId="2" borderId="30" xfId="0" applyNumberFormat="1" applyFill="1" applyBorder="1" applyAlignment="1">
      <alignment horizontal="right" vertical="top"/>
    </xf>
    <xf numFmtId="164" fontId="0" fillId="2" borderId="10" xfId="0" applyNumberFormat="1" applyFill="1" applyBorder="1" applyAlignment="1">
      <alignment horizontal="right" vertical="top"/>
    </xf>
    <xf numFmtId="164" fontId="0" fillId="2" borderId="31" xfId="0" applyNumberFormat="1" applyFill="1" applyBorder="1" applyAlignment="1">
      <alignment horizontal="right" vertical="top"/>
    </xf>
    <xf numFmtId="0" fontId="17" fillId="0" borderId="23" xfId="0" applyFont="1" applyBorder="1" applyAlignment="1">
      <alignment horizontal="right" vertical="top" wrapText="1"/>
    </xf>
    <xf numFmtId="164" fontId="0" fillId="0" borderId="10" xfId="0" applyNumberFormat="1" applyBorder="1" applyAlignment="1">
      <alignment horizontal="right" vertical="top" wrapText="1"/>
    </xf>
    <xf numFmtId="0" fontId="3" fillId="12" borderId="18" xfId="0" applyFont="1" applyFill="1" applyBorder="1" applyAlignment="1">
      <alignment horizontal="right" vertical="top"/>
    </xf>
    <xf numFmtId="0" fontId="3" fillId="12" borderId="18" xfId="0" applyFont="1" applyFill="1" applyBorder="1" applyAlignment="1">
      <alignment horizontal="right" vertical="top" wrapText="1"/>
    </xf>
    <xf numFmtId="0" fontId="3" fillId="12" borderId="19" xfId="0" applyFont="1" applyFill="1" applyBorder="1" applyAlignment="1">
      <alignment horizontal="right" vertical="top" wrapText="1"/>
    </xf>
    <xf numFmtId="0" fontId="37" fillId="0" borderId="0" xfId="2" applyFont="1" applyAlignment="1">
      <alignment horizontal="left" vertical="center" wrapText="1"/>
    </xf>
    <xf numFmtId="164" fontId="25" fillId="0" borderId="0" xfId="0" applyNumberFormat="1" applyFont="1" applyAlignment="1">
      <alignment horizontal="right" vertical="center"/>
    </xf>
    <xf numFmtId="0" fontId="16" fillId="0" borderId="30" xfId="0" applyFont="1" applyBorder="1" applyAlignment="1">
      <alignment horizontal="right" vertical="top" wrapText="1"/>
    </xf>
    <xf numFmtId="164" fontId="0" fillId="0" borderId="21" xfId="0" applyNumberFormat="1" applyBorder="1" applyAlignment="1">
      <alignment horizontal="right" vertical="top" wrapText="1"/>
    </xf>
    <xf numFmtId="0" fontId="0" fillId="0" borderId="0" xfId="0" applyAlignment="1">
      <alignment horizontal="left"/>
    </xf>
    <xf numFmtId="0" fontId="3" fillId="3" borderId="26" xfId="0" applyFont="1" applyFill="1" applyBorder="1" applyAlignment="1">
      <alignment horizontal="left" vertical="center"/>
    </xf>
    <xf numFmtId="0" fontId="3" fillId="3" borderId="27" xfId="0" applyFont="1" applyFill="1" applyBorder="1" applyAlignment="1">
      <alignment horizontal="left" vertical="center"/>
    </xf>
    <xf numFmtId="0" fontId="3" fillId="0" borderId="10" xfId="0" applyFont="1" applyBorder="1" applyAlignment="1">
      <alignment horizontal="left" vertical="top"/>
    </xf>
    <xf numFmtId="0" fontId="0" fillId="0" borderId="21" xfId="0" quotePrefix="1" applyBorder="1" applyAlignment="1">
      <alignment horizontal="left" vertical="top" wrapText="1"/>
    </xf>
    <xf numFmtId="0" fontId="0" fillId="0" borderId="10" xfId="0" applyBorder="1" applyAlignment="1">
      <alignment horizontal="left" vertical="top"/>
    </xf>
    <xf numFmtId="0" fontId="18" fillId="0" borderId="21" xfId="0" quotePrefix="1" applyFont="1" applyBorder="1" applyAlignment="1">
      <alignment horizontal="left" vertical="top" wrapText="1"/>
    </xf>
    <xf numFmtId="0" fontId="3" fillId="2" borderId="10" xfId="0" applyFont="1" applyFill="1" applyBorder="1" applyAlignment="1">
      <alignment horizontal="left" vertical="top"/>
    </xf>
    <xf numFmtId="0" fontId="18" fillId="2" borderId="10" xfId="0" applyFont="1" applyFill="1" applyBorder="1" applyAlignment="1">
      <alignment horizontal="left" vertical="top"/>
    </xf>
    <xf numFmtId="0" fontId="18" fillId="2" borderId="21" xfId="0" quotePrefix="1" applyFont="1" applyFill="1" applyBorder="1" applyAlignment="1">
      <alignment horizontal="left" vertical="top" wrapText="1"/>
    </xf>
    <xf numFmtId="0" fontId="0" fillId="2" borderId="10" xfId="0" applyFill="1" applyBorder="1" applyAlignment="1">
      <alignment horizontal="left" vertical="top"/>
    </xf>
    <xf numFmtId="0" fontId="23" fillId="2" borderId="30" xfId="0" applyFont="1" applyFill="1" applyBorder="1" applyAlignment="1">
      <alignment vertical="top" wrapText="1"/>
    </xf>
    <xf numFmtId="0" fontId="23" fillId="5" borderId="18" xfId="0" applyFont="1" applyFill="1" applyBorder="1" applyAlignment="1">
      <alignment vertical="top" wrapText="1"/>
    </xf>
    <xf numFmtId="0" fontId="23" fillId="0" borderId="20" xfId="0" applyFont="1" applyBorder="1" applyAlignment="1">
      <alignment vertical="top" wrapText="1"/>
    </xf>
    <xf numFmtId="0" fontId="23" fillId="0" borderId="25" xfId="0" applyFont="1" applyBorder="1" applyAlignment="1">
      <alignment vertical="top"/>
    </xf>
    <xf numFmtId="0" fontId="23" fillId="0" borderId="26" xfId="0" applyFont="1" applyBorder="1" applyAlignment="1">
      <alignment vertical="top"/>
    </xf>
    <xf numFmtId="0" fontId="0" fillId="0" borderId="40" xfId="0" applyBorder="1" applyAlignment="1">
      <alignment horizontal="left" vertical="center"/>
    </xf>
    <xf numFmtId="0" fontId="23" fillId="5" borderId="26" xfId="0" applyFont="1" applyFill="1" applyBorder="1" applyAlignment="1">
      <alignment vertical="top" wrapText="1"/>
    </xf>
    <xf numFmtId="0" fontId="23" fillId="5" borderId="30" xfId="0" applyFont="1" applyFill="1" applyBorder="1" applyAlignment="1">
      <alignment vertical="top" wrapText="1"/>
    </xf>
    <xf numFmtId="6" fontId="18" fillId="0" borderId="10" xfId="0" applyNumberFormat="1" applyFont="1" applyBorder="1" applyAlignment="1">
      <alignment horizontal="left" vertical="center"/>
    </xf>
    <xf numFmtId="0" fontId="33" fillId="11" borderId="10" xfId="0" applyFont="1" applyFill="1" applyBorder="1" applyAlignment="1">
      <alignment vertical="center" wrapText="1"/>
    </xf>
    <xf numFmtId="164" fontId="33" fillId="11" borderId="10" xfId="0" applyNumberFormat="1" applyFont="1" applyFill="1" applyBorder="1" applyAlignment="1">
      <alignment vertical="center" wrapText="1"/>
    </xf>
    <xf numFmtId="0" fontId="33" fillId="11" borderId="10" xfId="0" applyFont="1" applyFill="1" applyBorder="1" applyAlignment="1">
      <alignment vertical="top" wrapText="1"/>
    </xf>
    <xf numFmtId="49" fontId="3" fillId="11" borderId="26" xfId="0" applyNumberFormat="1" applyFont="1" applyFill="1" applyBorder="1" applyAlignment="1">
      <alignment wrapText="1"/>
    </xf>
    <xf numFmtId="0" fontId="33" fillId="11" borderId="21" xfId="0" applyFont="1" applyFill="1" applyBorder="1" applyAlignment="1">
      <alignment vertical="center" wrapText="1"/>
    </xf>
    <xf numFmtId="49" fontId="3" fillId="11" borderId="30" xfId="0" applyNumberFormat="1" applyFont="1" applyFill="1" applyBorder="1"/>
    <xf numFmtId="49" fontId="3" fillId="7" borderId="41" xfId="0" applyNumberFormat="1" applyFont="1" applyFill="1" applyBorder="1" applyAlignment="1">
      <alignment horizontal="left"/>
    </xf>
    <xf numFmtId="0" fontId="18" fillId="0" borderId="10" xfId="0" quotePrefix="1" applyFont="1" applyBorder="1" applyAlignment="1">
      <alignment horizontal="left" vertical="top" wrapText="1"/>
    </xf>
    <xf numFmtId="49" fontId="3" fillId="7" borderId="21" xfId="0" applyNumberFormat="1" applyFont="1" applyFill="1" applyBorder="1" applyAlignment="1">
      <alignment horizontal="left"/>
    </xf>
    <xf numFmtId="49" fontId="0" fillId="11" borderId="27" xfId="0" applyNumberFormat="1" applyFill="1" applyBorder="1" applyAlignment="1">
      <alignment vertical="top" wrapText="1"/>
    </xf>
    <xf numFmtId="0" fontId="32" fillId="4" borderId="0" xfId="0" applyFont="1" applyFill="1"/>
    <xf numFmtId="0" fontId="3" fillId="14" borderId="27" xfId="0" applyFont="1" applyFill="1" applyBorder="1" applyAlignment="1">
      <alignment horizontal="left" vertical="top" wrapText="1"/>
    </xf>
    <xf numFmtId="49" fontId="3" fillId="14" borderId="21" xfId="0" applyNumberFormat="1" applyFont="1" applyFill="1" applyBorder="1" applyAlignment="1">
      <alignment horizontal="left" vertical="top" wrapText="1"/>
    </xf>
    <xf numFmtId="164" fontId="3" fillId="14" borderId="26" xfId="0" applyNumberFormat="1" applyFont="1" applyFill="1" applyBorder="1" applyAlignment="1">
      <alignment vertical="top" wrapText="1"/>
    </xf>
    <xf numFmtId="49" fontId="0" fillId="14" borderId="27" xfId="0" applyNumberFormat="1" applyFill="1" applyBorder="1" applyAlignment="1">
      <alignment vertical="top" wrapText="1"/>
    </xf>
    <xf numFmtId="0" fontId="33" fillId="14" borderId="10" xfId="0" applyFont="1" applyFill="1" applyBorder="1" applyAlignment="1">
      <alignment vertical="center" wrapText="1"/>
    </xf>
    <xf numFmtId="0" fontId="33" fillId="14" borderId="21" xfId="0" applyFont="1" applyFill="1" applyBorder="1" applyAlignment="1">
      <alignment vertical="center" wrapText="1"/>
    </xf>
    <xf numFmtId="49" fontId="3" fillId="14" borderId="21" xfId="0" applyNumberFormat="1" applyFont="1" applyFill="1" applyBorder="1" applyAlignment="1">
      <alignment horizontal="left"/>
    </xf>
    <xf numFmtId="0" fontId="3" fillId="14" borderId="25" xfId="0" applyFont="1" applyFill="1" applyBorder="1" applyAlignment="1">
      <alignment horizontal="left" vertical="top" wrapText="1"/>
    </xf>
    <xf numFmtId="49" fontId="3" fillId="14" borderId="28" xfId="0" applyNumberFormat="1" applyFont="1" applyFill="1" applyBorder="1" applyAlignment="1">
      <alignment horizontal="left" vertical="top" wrapText="1"/>
    </xf>
    <xf numFmtId="49" fontId="3" fillId="14" borderId="28" xfId="0" applyNumberFormat="1" applyFont="1" applyFill="1" applyBorder="1" applyAlignment="1">
      <alignment horizontal="left"/>
    </xf>
    <xf numFmtId="164" fontId="0" fillId="0" borderId="28" xfId="0" applyNumberFormat="1" applyBorder="1" applyAlignment="1">
      <alignment horizontal="right"/>
    </xf>
    <xf numFmtId="164" fontId="0" fillId="0" borderId="29" xfId="0" applyNumberFormat="1" applyBorder="1" applyAlignment="1">
      <alignment horizontal="right"/>
    </xf>
    <xf numFmtId="0" fontId="33" fillId="14" borderId="28" xfId="0" applyFont="1" applyFill="1" applyBorder="1" applyAlignment="1">
      <alignment vertical="center" wrapText="1"/>
    </xf>
    <xf numFmtId="0" fontId="0" fillId="0" borderId="41" xfId="0" applyBorder="1" applyAlignment="1">
      <alignment horizontal="left" vertical="center"/>
    </xf>
    <xf numFmtId="164" fontId="0" fillId="0" borderId="33" xfId="0" applyNumberFormat="1" applyBorder="1" applyAlignment="1">
      <alignment horizontal="right"/>
    </xf>
    <xf numFmtId="0" fontId="45" fillId="0" borderId="0" xfId="2" applyFont="1" applyAlignment="1">
      <alignment horizontal="center" vertical="center" wrapText="1"/>
    </xf>
    <xf numFmtId="49" fontId="0" fillId="14" borderId="19" xfId="0" applyNumberFormat="1" applyFill="1" applyBorder="1" applyAlignment="1">
      <alignment vertical="top" wrapText="1"/>
    </xf>
    <xf numFmtId="164" fontId="0" fillId="0" borderId="20" xfId="0" applyNumberFormat="1" applyBorder="1" applyAlignment="1">
      <alignment horizontal="right"/>
    </xf>
    <xf numFmtId="0" fontId="3" fillId="7" borderId="25" xfId="0" applyFont="1" applyFill="1" applyBorder="1" applyAlignment="1">
      <alignment horizontal="left" vertical="top" wrapText="1"/>
    </xf>
    <xf numFmtId="49" fontId="3" fillId="7" borderId="28" xfId="0" applyNumberFormat="1" applyFont="1" applyFill="1" applyBorder="1" applyAlignment="1">
      <alignment horizontal="left" vertical="top" wrapText="1"/>
    </xf>
    <xf numFmtId="49" fontId="3" fillId="7" borderId="28" xfId="0" applyNumberFormat="1" applyFont="1" applyFill="1" applyBorder="1" applyAlignment="1">
      <alignment horizontal="left"/>
    </xf>
    <xf numFmtId="164" fontId="3" fillId="11" borderId="25" xfId="0" applyNumberFormat="1" applyFont="1" applyFill="1" applyBorder="1" applyAlignment="1">
      <alignment vertical="top" wrapText="1"/>
    </xf>
    <xf numFmtId="0" fontId="33" fillId="11" borderId="28" xfId="0" applyFont="1" applyFill="1" applyBorder="1" applyAlignment="1">
      <alignment vertical="center" wrapText="1"/>
    </xf>
    <xf numFmtId="0" fontId="3" fillId="11" borderId="29" xfId="0" applyFont="1" applyFill="1" applyBorder="1" applyAlignment="1">
      <alignment horizontal="center" vertical="center"/>
    </xf>
    <xf numFmtId="0" fontId="3" fillId="7" borderId="34" xfId="0" applyFont="1" applyFill="1" applyBorder="1" applyAlignment="1">
      <alignment horizontal="center" vertical="center"/>
    </xf>
    <xf numFmtId="0" fontId="3" fillId="7" borderId="29" xfId="0" applyFont="1" applyFill="1" applyBorder="1" applyAlignment="1">
      <alignment horizontal="center" vertical="center"/>
    </xf>
    <xf numFmtId="0" fontId="2" fillId="0" borderId="0" xfId="0" applyFont="1"/>
    <xf numFmtId="0" fontId="46" fillId="0" borderId="0" xfId="0" applyFont="1" applyAlignment="1">
      <alignment vertical="center" wrapText="1"/>
    </xf>
    <xf numFmtId="0" fontId="33" fillId="6" borderId="10" xfId="0" applyFont="1" applyFill="1" applyBorder="1" applyAlignment="1">
      <alignment horizontal="left" vertical="center" wrapText="1"/>
    </xf>
    <xf numFmtId="0" fontId="33" fillId="6" borderId="10" xfId="0" applyFont="1" applyFill="1" applyBorder="1" applyAlignment="1">
      <alignment horizontal="left" vertical="top" wrapText="1"/>
    </xf>
    <xf numFmtId="0" fontId="33" fillId="7" borderId="10" xfId="0" applyFont="1" applyFill="1" applyBorder="1" applyAlignment="1">
      <alignment horizontal="left" vertical="top" wrapText="1"/>
    </xf>
    <xf numFmtId="0" fontId="33" fillId="6" borderId="10" xfId="0" applyFont="1" applyFill="1" applyBorder="1" applyAlignment="1">
      <alignment horizontal="left" vertical="center"/>
    </xf>
    <xf numFmtId="0" fontId="33" fillId="9" borderId="10" xfId="0" applyFont="1" applyFill="1" applyBorder="1" applyAlignment="1">
      <alignment horizontal="left" vertical="center" wrapText="1"/>
    </xf>
    <xf numFmtId="0" fontId="43" fillId="9" borderId="10" xfId="0" applyFont="1" applyFill="1" applyBorder="1" applyAlignment="1">
      <alignment horizontal="left" vertical="center" wrapText="1"/>
    </xf>
    <xf numFmtId="0" fontId="33" fillId="9" borderId="10" xfId="0" applyFont="1" applyFill="1" applyBorder="1" applyAlignment="1">
      <alignment horizontal="left" vertical="center"/>
    </xf>
    <xf numFmtId="3" fontId="33" fillId="9" borderId="10" xfId="0" applyNumberFormat="1" applyFont="1" applyFill="1" applyBorder="1" applyAlignment="1">
      <alignment horizontal="left" vertical="center"/>
    </xf>
    <xf numFmtId="0" fontId="33" fillId="9" borderId="26" xfId="0" applyFont="1" applyFill="1" applyBorder="1" applyAlignment="1">
      <alignment horizontal="left" vertical="center" wrapText="1"/>
    </xf>
    <xf numFmtId="0" fontId="33" fillId="9" borderId="27" xfId="0" applyFont="1" applyFill="1" applyBorder="1" applyAlignment="1">
      <alignment horizontal="left" vertical="center" wrapText="1"/>
    </xf>
    <xf numFmtId="0" fontId="33" fillId="9" borderId="21" xfId="0" applyFont="1" applyFill="1" applyBorder="1" applyAlignment="1">
      <alignment horizontal="left" vertical="center" wrapText="1"/>
    </xf>
    <xf numFmtId="0" fontId="33" fillId="9" borderId="28" xfId="0" applyFont="1" applyFill="1" applyBorder="1" applyAlignment="1">
      <alignment horizontal="left" vertical="center"/>
    </xf>
    <xf numFmtId="0" fontId="33" fillId="9" borderId="21" xfId="0" applyFont="1" applyFill="1" applyBorder="1" applyAlignment="1">
      <alignment horizontal="left" vertical="center"/>
    </xf>
    <xf numFmtId="0" fontId="22" fillId="7" borderId="26" xfId="0" applyFont="1" applyFill="1" applyBorder="1" applyAlignment="1">
      <alignment horizontal="left" vertical="center" wrapText="1"/>
    </xf>
    <xf numFmtId="0" fontId="33" fillId="7" borderId="26" xfId="0" applyFont="1" applyFill="1" applyBorder="1" applyAlignment="1">
      <alignment horizontal="left" vertical="center" wrapText="1"/>
    </xf>
    <xf numFmtId="0" fontId="33" fillId="6" borderId="26" xfId="0" applyFont="1" applyFill="1" applyBorder="1" applyAlignment="1">
      <alignment horizontal="left" vertical="top" wrapText="1"/>
    </xf>
    <xf numFmtId="0" fontId="33" fillId="6" borderId="27" xfId="0" applyFont="1" applyFill="1" applyBorder="1" applyAlignment="1">
      <alignment horizontal="left" vertical="top" wrapText="1"/>
    </xf>
    <xf numFmtId="0" fontId="33" fillId="6" borderId="21" xfId="0" applyFont="1" applyFill="1" applyBorder="1" applyAlignment="1">
      <alignment horizontal="left" vertical="top" wrapText="1"/>
    </xf>
    <xf numFmtId="0" fontId="33" fillId="6" borderId="21" xfId="0" applyFont="1" applyFill="1" applyBorder="1" applyAlignment="1">
      <alignment horizontal="left" vertical="center" wrapText="1"/>
    </xf>
    <xf numFmtId="0" fontId="33" fillId="6" borderId="28" xfId="0" applyFont="1" applyFill="1" applyBorder="1" applyAlignment="1">
      <alignment horizontal="left" vertical="center"/>
    </xf>
    <xf numFmtId="0" fontId="33" fillId="6" borderId="21" xfId="0" applyFont="1" applyFill="1" applyBorder="1" applyAlignment="1">
      <alignment horizontal="left" vertical="center"/>
    </xf>
    <xf numFmtId="0" fontId="33" fillId="6" borderId="28" xfId="0" applyFont="1" applyFill="1" applyBorder="1" applyAlignment="1">
      <alignment vertical="center"/>
    </xf>
    <xf numFmtId="0" fontId="33" fillId="9" borderId="18" xfId="0" applyFont="1" applyFill="1" applyBorder="1" applyAlignment="1">
      <alignment horizontal="left" vertical="center" wrapText="1"/>
    </xf>
    <xf numFmtId="0" fontId="33" fillId="9" borderId="19" xfId="0" applyFont="1" applyFill="1" applyBorder="1" applyAlignment="1">
      <alignment horizontal="left" vertical="center" wrapText="1"/>
    </xf>
    <xf numFmtId="49" fontId="3" fillId="7" borderId="10" xfId="0" applyNumberFormat="1" applyFont="1" applyFill="1" applyBorder="1" applyAlignment="1">
      <alignment horizontal="left"/>
    </xf>
    <xf numFmtId="49" fontId="3" fillId="11" borderId="18" xfId="0" applyNumberFormat="1" applyFont="1" applyFill="1" applyBorder="1" applyAlignment="1">
      <alignment wrapText="1"/>
    </xf>
    <xf numFmtId="164" fontId="3" fillId="11" borderId="26" xfId="0" applyNumberFormat="1" applyFont="1" applyFill="1" applyBorder="1" applyAlignment="1">
      <alignment vertical="top" wrapText="1"/>
    </xf>
    <xf numFmtId="49" fontId="3" fillId="11" borderId="26" xfId="0" applyNumberFormat="1" applyFont="1" applyFill="1" applyBorder="1" applyAlignment="1">
      <alignment vertical="top" wrapText="1"/>
    </xf>
    <xf numFmtId="49" fontId="3" fillId="11" borderId="27" xfId="0" applyNumberFormat="1" applyFont="1" applyFill="1" applyBorder="1" applyAlignment="1">
      <alignment vertical="top" wrapText="1"/>
    </xf>
    <xf numFmtId="164" fontId="0" fillId="0" borderId="10" xfId="0" applyNumberFormat="1" applyBorder="1" applyAlignment="1">
      <alignment horizontal="right" vertical="center"/>
    </xf>
    <xf numFmtId="164" fontId="0" fillId="0" borderId="10" xfId="0" applyNumberFormat="1" applyBorder="1" applyAlignment="1">
      <alignment horizontal="right" vertical="center" wrapText="1"/>
    </xf>
    <xf numFmtId="164" fontId="0" fillId="0" borderId="21" xfId="0" applyNumberFormat="1" applyBorder="1" applyAlignment="1">
      <alignment horizontal="right" vertical="center" wrapText="1"/>
    </xf>
    <xf numFmtId="164" fontId="0" fillId="0" borderId="30" xfId="0" applyNumberFormat="1" applyBorder="1" applyAlignment="1">
      <alignment horizontal="right" vertical="center"/>
    </xf>
    <xf numFmtId="164" fontId="0" fillId="0" borderId="31" xfId="0" applyNumberFormat="1" applyBorder="1" applyAlignment="1">
      <alignment horizontal="right" vertical="center" wrapText="1"/>
    </xf>
    <xf numFmtId="164" fontId="0" fillId="0" borderId="10" xfId="0" applyNumberFormat="1" applyBorder="1" applyAlignment="1">
      <alignment horizontal="center" vertical="center"/>
    </xf>
    <xf numFmtId="164" fontId="3" fillId="11" borderId="18" xfId="0" applyNumberFormat="1" applyFont="1" applyFill="1" applyBorder="1" applyAlignment="1">
      <alignment vertical="top" wrapText="1"/>
    </xf>
    <xf numFmtId="164" fontId="33" fillId="11" borderId="10" xfId="0" applyNumberFormat="1" applyFont="1" applyFill="1" applyBorder="1" applyAlignment="1">
      <alignment vertical="top" wrapText="1"/>
    </xf>
    <xf numFmtId="0" fontId="33" fillId="11" borderId="21" xfId="0" applyFont="1" applyFill="1" applyBorder="1" applyAlignment="1">
      <alignment vertical="top" wrapText="1"/>
    </xf>
    <xf numFmtId="164" fontId="3" fillId="11" borderId="27" xfId="0" applyNumberFormat="1" applyFont="1" applyFill="1" applyBorder="1" applyAlignment="1">
      <alignment vertical="top" wrapText="1"/>
    </xf>
    <xf numFmtId="164" fontId="0" fillId="0" borderId="30" xfId="0" applyNumberFormat="1" applyBorder="1" applyAlignment="1">
      <alignment horizontal="center" vertical="center"/>
    </xf>
    <xf numFmtId="0" fontId="33" fillId="11" borderId="10" xfId="0" applyFont="1" applyFill="1" applyBorder="1" applyAlignment="1">
      <alignment horizontal="left" vertical="center" wrapText="1"/>
    </xf>
    <xf numFmtId="0" fontId="33" fillId="11" borderId="10" xfId="0" applyFont="1" applyFill="1" applyBorder="1" applyAlignment="1">
      <alignment horizontal="left" vertical="top" wrapText="1"/>
    </xf>
    <xf numFmtId="0" fontId="33" fillId="11" borderId="21" xfId="0" applyFont="1" applyFill="1" applyBorder="1" applyAlignment="1">
      <alignment horizontal="left" vertical="center" wrapText="1"/>
    </xf>
    <xf numFmtId="164" fontId="0" fillId="0" borderId="18" xfId="0" applyNumberFormat="1" applyBorder="1" applyAlignment="1">
      <alignment horizontal="right" vertical="center"/>
    </xf>
    <xf numFmtId="164" fontId="0" fillId="0" borderId="19" xfId="0" applyNumberFormat="1" applyBorder="1" applyAlignment="1">
      <alignment horizontal="right" vertical="center" wrapText="1"/>
    </xf>
    <xf numFmtId="164" fontId="0" fillId="0" borderId="26" xfId="0" applyNumberFormat="1" applyBorder="1" applyAlignment="1">
      <alignment horizontal="right" vertical="center"/>
    </xf>
    <xf numFmtId="164" fontId="0" fillId="0" borderId="27" xfId="0" applyNumberFormat="1" applyBorder="1" applyAlignment="1">
      <alignment horizontal="right" vertical="center" wrapText="1"/>
    </xf>
    <xf numFmtId="49" fontId="3" fillId="11" borderId="23" xfId="0" applyNumberFormat="1" applyFont="1" applyFill="1" applyBorder="1"/>
    <xf numFmtId="0" fontId="3" fillId="11" borderId="23" xfId="0" applyFont="1" applyFill="1" applyBorder="1"/>
    <xf numFmtId="49" fontId="3" fillId="14" borderId="10" xfId="0" applyNumberFormat="1" applyFont="1" applyFill="1" applyBorder="1" applyAlignment="1">
      <alignment horizontal="left" vertical="top" wrapText="1"/>
    </xf>
    <xf numFmtId="49" fontId="3" fillId="14" borderId="10" xfId="0" applyNumberFormat="1" applyFont="1" applyFill="1" applyBorder="1" applyAlignment="1">
      <alignment horizontal="left"/>
    </xf>
    <xf numFmtId="49" fontId="0" fillId="11" borderId="18" xfId="0" applyNumberFormat="1" applyFill="1" applyBorder="1" applyAlignment="1">
      <alignment vertical="top" wrapText="1"/>
    </xf>
    <xf numFmtId="0" fontId="3" fillId="14" borderId="26" xfId="0" applyFont="1" applyFill="1" applyBorder="1" applyAlignment="1">
      <alignment horizontal="left" vertical="top" wrapText="1"/>
    </xf>
    <xf numFmtId="0" fontId="0" fillId="0" borderId="30" xfId="0" applyBorder="1" applyAlignment="1">
      <alignment horizontal="left" vertical="center"/>
    </xf>
    <xf numFmtId="0" fontId="3" fillId="11" borderId="23" xfId="0" applyFont="1" applyFill="1" applyBorder="1" applyAlignment="1">
      <alignment vertical="center"/>
    </xf>
    <xf numFmtId="49" fontId="0" fillId="14" borderId="26" xfId="0" applyNumberFormat="1" applyFill="1" applyBorder="1" applyAlignment="1">
      <alignment vertical="top" wrapText="1"/>
    </xf>
    <xf numFmtId="0" fontId="3" fillId="11" borderId="30" xfId="0" applyFont="1" applyFill="1" applyBorder="1" applyAlignment="1">
      <alignment vertical="center" wrapText="1"/>
    </xf>
    <xf numFmtId="164" fontId="3" fillId="11" borderId="30" xfId="0" applyNumberFormat="1" applyFont="1" applyFill="1" applyBorder="1"/>
    <xf numFmtId="0" fontId="3" fillId="11" borderId="30" xfId="0" applyFont="1" applyFill="1" applyBorder="1"/>
    <xf numFmtId="164" fontId="3" fillId="11" borderId="30" xfId="0" applyNumberFormat="1" applyFont="1" applyFill="1" applyBorder="1" applyAlignment="1">
      <alignment horizontal="left"/>
    </xf>
    <xf numFmtId="164" fontId="3" fillId="11" borderId="31" xfId="0" applyNumberFormat="1" applyFont="1" applyFill="1" applyBorder="1"/>
    <xf numFmtId="0" fontId="3" fillId="7" borderId="29" xfId="0" applyFont="1" applyFill="1" applyBorder="1" applyAlignment="1">
      <alignment horizontal="left" vertical="top"/>
    </xf>
    <xf numFmtId="0" fontId="3" fillId="7" borderId="30" xfId="0" applyFont="1" applyFill="1" applyBorder="1" applyAlignment="1">
      <alignment horizontal="left" vertical="top" wrapText="1"/>
    </xf>
    <xf numFmtId="49" fontId="3" fillId="7" borderId="30" xfId="0" applyNumberFormat="1" applyFont="1" applyFill="1" applyBorder="1" applyAlignment="1">
      <alignment horizontal="left" vertical="top"/>
    </xf>
    <xf numFmtId="0" fontId="3" fillId="7" borderId="30" xfId="0" applyFont="1" applyFill="1" applyBorder="1" applyAlignment="1">
      <alignment horizontal="left" vertical="top"/>
    </xf>
    <xf numFmtId="0" fontId="3" fillId="7" borderId="31" xfId="0" applyFont="1" applyFill="1" applyBorder="1" applyAlignment="1">
      <alignment horizontal="left" vertical="top"/>
    </xf>
    <xf numFmtId="0" fontId="3" fillId="11" borderId="24" xfId="0" applyFont="1" applyFill="1" applyBorder="1"/>
    <xf numFmtId="164" fontId="0" fillId="0" borderId="18" xfId="0" applyNumberFormat="1" applyBorder="1" applyAlignment="1">
      <alignment horizontal="center" vertical="center"/>
    </xf>
    <xf numFmtId="164" fontId="0" fillId="0" borderId="26" xfId="0" applyNumberFormat="1" applyBorder="1" applyAlignment="1">
      <alignment horizontal="center" vertical="center"/>
    </xf>
    <xf numFmtId="164" fontId="0" fillId="0" borderId="19" xfId="0" applyNumberFormat="1" applyBorder="1" applyAlignment="1">
      <alignment wrapText="1"/>
    </xf>
    <xf numFmtId="164" fontId="3" fillId="11" borderId="23" xfId="0" applyNumberFormat="1" applyFont="1" applyFill="1" applyBorder="1" applyAlignment="1">
      <alignment vertical="top"/>
    </xf>
    <xf numFmtId="49" fontId="3" fillId="11" borderId="23" xfId="0" applyNumberFormat="1" applyFont="1" applyFill="1" applyBorder="1" applyAlignment="1">
      <alignment vertical="top"/>
    </xf>
    <xf numFmtId="164" fontId="3" fillId="11" borderId="24" xfId="0" applyNumberFormat="1" applyFont="1" applyFill="1" applyBorder="1" applyAlignment="1">
      <alignment vertical="top"/>
    </xf>
    <xf numFmtId="164" fontId="0" fillId="0" borderId="19" xfId="0" applyNumberFormat="1" applyBorder="1" applyAlignment="1">
      <alignment horizontal="right" wrapText="1"/>
    </xf>
    <xf numFmtId="164" fontId="0" fillId="0" borderId="27" xfId="0" applyNumberFormat="1" applyBorder="1" applyAlignment="1">
      <alignment horizontal="right" wrapText="1"/>
    </xf>
    <xf numFmtId="0" fontId="46" fillId="13" borderId="0" xfId="0" applyFont="1" applyFill="1" applyAlignment="1">
      <alignment vertical="center" wrapText="1"/>
    </xf>
    <xf numFmtId="0" fontId="45" fillId="13" borderId="0" xfId="2" applyFont="1" applyFill="1" applyAlignment="1">
      <alignment horizontal="center" vertical="center" wrapText="1"/>
    </xf>
    <xf numFmtId="164" fontId="0" fillId="0" borderId="26" xfId="0" applyNumberFormat="1" applyBorder="1" applyAlignment="1">
      <alignment horizontal="right" vertical="center" wrapText="1"/>
    </xf>
    <xf numFmtId="164" fontId="0" fillId="0" borderId="30" xfId="0" applyNumberFormat="1" applyBorder="1" applyAlignment="1">
      <alignment horizontal="right" vertical="center" wrapText="1"/>
    </xf>
    <xf numFmtId="164" fontId="0" fillId="0" borderId="18" xfId="0" applyNumberFormat="1" applyBorder="1" applyAlignment="1">
      <alignment horizontal="right" vertical="center" wrapText="1"/>
    </xf>
    <xf numFmtId="0" fontId="3" fillId="7" borderId="28" xfId="0" applyFont="1" applyFill="1" applyBorder="1" applyAlignment="1">
      <alignment horizontal="center" vertical="center"/>
    </xf>
    <xf numFmtId="0" fontId="3" fillId="7" borderId="10"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18" fillId="0" borderId="10" xfId="0" applyFont="1" applyBorder="1" applyAlignment="1">
      <alignment horizontal="left" vertical="top" wrapText="1"/>
    </xf>
    <xf numFmtId="17" fontId="18" fillId="0" borderId="10" xfId="0" quotePrefix="1" applyNumberFormat="1" applyFont="1" applyBorder="1" applyAlignment="1">
      <alignment horizontal="left" vertical="center" wrapText="1"/>
    </xf>
    <xf numFmtId="0" fontId="22" fillId="6" borderId="10" xfId="0" applyFont="1" applyFill="1" applyBorder="1" applyAlignment="1">
      <alignment horizontal="center" vertical="center" wrapText="1"/>
    </xf>
    <xf numFmtId="0" fontId="22" fillId="7" borderId="10" xfId="0" applyFont="1" applyFill="1" applyBorder="1" applyAlignment="1">
      <alignment horizontal="center" vertical="top" wrapText="1"/>
    </xf>
    <xf numFmtId="0" fontId="22" fillId="6" borderId="10" xfId="0" applyFont="1" applyFill="1" applyBorder="1" applyAlignment="1">
      <alignment horizontal="center" vertical="top" wrapText="1"/>
    </xf>
    <xf numFmtId="0" fontId="22" fillId="6" borderId="10" xfId="0" applyFont="1" applyFill="1" applyBorder="1" applyAlignment="1">
      <alignment vertical="center" wrapText="1"/>
    </xf>
    <xf numFmtId="0" fontId="22" fillId="6" borderId="10" xfId="0" applyFont="1" applyFill="1" applyBorder="1" applyAlignment="1">
      <alignment horizontal="center" vertical="center"/>
    </xf>
    <xf numFmtId="0" fontId="22" fillId="9" borderId="10" xfId="0" applyFont="1" applyFill="1" applyBorder="1" applyAlignment="1">
      <alignment vertical="center" wrapText="1"/>
    </xf>
    <xf numFmtId="0" fontId="22" fillId="9" borderId="10" xfId="0" applyFont="1" applyFill="1" applyBorder="1" applyAlignment="1">
      <alignment horizontal="center" vertical="center" wrapText="1"/>
    </xf>
    <xf numFmtId="0" fontId="22" fillId="9" borderId="10" xfId="0" applyFont="1" applyFill="1" applyBorder="1" applyAlignment="1">
      <alignment horizontal="center" vertical="center"/>
    </xf>
    <xf numFmtId="0" fontId="23" fillId="2" borderId="10" xfId="0" applyFont="1" applyFill="1" applyBorder="1" applyAlignment="1">
      <alignment vertical="top"/>
    </xf>
    <xf numFmtId="0" fontId="22" fillId="6" borderId="26" xfId="0" applyFont="1" applyFill="1" applyBorder="1" applyAlignment="1">
      <alignment horizontal="center" vertical="center" wrapText="1"/>
    </xf>
    <xf numFmtId="0" fontId="22" fillId="7" borderId="26" xfId="0" applyFont="1" applyFill="1" applyBorder="1" applyAlignment="1">
      <alignment horizontal="center" vertical="center" wrapText="1"/>
    </xf>
    <xf numFmtId="0" fontId="22" fillId="6" borderId="27" xfId="0" applyFont="1" applyFill="1" applyBorder="1" applyAlignment="1">
      <alignment horizontal="center" vertical="center" wrapText="1"/>
    </xf>
    <xf numFmtId="0" fontId="22" fillId="6" borderId="21" xfId="0" applyFont="1" applyFill="1" applyBorder="1" applyAlignment="1">
      <alignment horizontal="center" vertical="top" wrapText="1"/>
    </xf>
    <xf numFmtId="0" fontId="22" fillId="6" borderId="21" xfId="0" applyFont="1" applyFill="1" applyBorder="1" applyAlignment="1">
      <alignment horizontal="center" vertical="center" wrapText="1"/>
    </xf>
    <xf numFmtId="0" fontId="22" fillId="6" borderId="28" xfId="0" applyFont="1" applyFill="1" applyBorder="1" applyAlignment="1">
      <alignment vertical="center"/>
    </xf>
    <xf numFmtId="0" fontId="22" fillId="9" borderId="21" xfId="0" applyFont="1" applyFill="1" applyBorder="1" applyAlignment="1">
      <alignment horizontal="center" vertical="center" wrapText="1"/>
    </xf>
    <xf numFmtId="0" fontId="22" fillId="9" borderId="28" xfId="0" applyFont="1" applyFill="1" applyBorder="1" applyAlignment="1">
      <alignment vertical="center"/>
    </xf>
    <xf numFmtId="0" fontId="22" fillId="9"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3" fillId="5" borderId="31" xfId="0" applyFont="1" applyFill="1" applyBorder="1" applyAlignment="1">
      <alignment vertical="top" wrapText="1"/>
    </xf>
    <xf numFmtId="0" fontId="25" fillId="0" borderId="10" xfId="0" applyFont="1" applyBorder="1" applyAlignment="1">
      <alignment vertical="center" wrapText="1"/>
    </xf>
    <xf numFmtId="0" fontId="25" fillId="0" borderId="10" xfId="0" applyFont="1" applyBorder="1" applyAlignment="1">
      <alignment vertical="center"/>
    </xf>
    <xf numFmtId="0" fontId="33" fillId="0" borderId="10" xfId="0" applyFont="1" applyBorder="1" applyAlignment="1">
      <alignment horizontal="left" vertical="center" wrapText="1"/>
    </xf>
    <xf numFmtId="0" fontId="33" fillId="7" borderId="10" xfId="0" applyFont="1" applyFill="1" applyBorder="1" applyAlignment="1">
      <alignment vertical="center" wrapText="1"/>
    </xf>
    <xf numFmtId="0" fontId="33" fillId="7" borderId="10" xfId="0" applyFont="1" applyFill="1" applyBorder="1" applyAlignment="1">
      <alignment horizontal="left" vertical="center" wrapText="1"/>
    </xf>
    <xf numFmtId="0" fontId="0" fillId="0" borderId="23" xfId="0" applyBorder="1" applyAlignment="1">
      <alignment horizontal="left" vertical="center"/>
    </xf>
    <xf numFmtId="49" fontId="0" fillId="14" borderId="18" xfId="0" applyNumberFormat="1" applyFill="1" applyBorder="1" applyAlignment="1">
      <alignment vertical="top" wrapText="1"/>
    </xf>
    <xf numFmtId="164" fontId="3" fillId="11" borderId="10" xfId="0" applyNumberFormat="1" applyFont="1" applyFill="1" applyBorder="1"/>
    <xf numFmtId="49" fontId="3" fillId="11" borderId="10" xfId="0" applyNumberFormat="1" applyFont="1" applyFill="1" applyBorder="1"/>
    <xf numFmtId="49" fontId="3" fillId="14" borderId="10" xfId="0" applyNumberFormat="1" applyFont="1" applyFill="1" applyBorder="1"/>
    <xf numFmtId="49" fontId="0" fillId="11" borderId="26" xfId="0" applyNumberFormat="1" applyFill="1" applyBorder="1" applyAlignment="1">
      <alignment vertical="top" wrapText="1"/>
    </xf>
    <xf numFmtId="0" fontId="3" fillId="11" borderId="28" xfId="0" applyFont="1" applyFill="1" applyBorder="1" applyAlignment="1">
      <alignment vertical="center"/>
    </xf>
    <xf numFmtId="49" fontId="3" fillId="14" borderId="21" xfId="0" applyNumberFormat="1" applyFont="1" applyFill="1" applyBorder="1"/>
    <xf numFmtId="164" fontId="3" fillId="14" borderId="28" xfId="0" applyNumberFormat="1" applyFont="1" applyFill="1" applyBorder="1"/>
    <xf numFmtId="0" fontId="47" fillId="0" borderId="0" xfId="0" applyFont="1" applyAlignment="1">
      <alignment horizontal="left"/>
    </xf>
    <xf numFmtId="0" fontId="14" fillId="14" borderId="11" xfId="0" applyFont="1" applyFill="1" applyBorder="1" applyAlignment="1">
      <alignment horizontal="center" vertical="center" wrapText="1"/>
    </xf>
    <xf numFmtId="0" fontId="14" fillId="15" borderId="11" xfId="0" applyFont="1" applyFill="1" applyBorder="1" applyAlignment="1">
      <alignment horizontal="center" vertical="center" wrapText="1"/>
    </xf>
    <xf numFmtId="0" fontId="33" fillId="14" borderId="20" xfId="0" applyFont="1" applyFill="1" applyBorder="1" applyAlignment="1">
      <alignment vertical="center" wrapText="1"/>
    </xf>
    <xf numFmtId="164" fontId="3" fillId="14" borderId="20" xfId="0" applyNumberFormat="1" applyFont="1" applyFill="1" applyBorder="1"/>
    <xf numFmtId="0" fontId="14" fillId="11" borderId="10" xfId="0" applyFont="1" applyFill="1" applyBorder="1" applyAlignment="1">
      <alignment horizontal="center" vertical="center" wrapText="1"/>
    </xf>
    <xf numFmtId="164" fontId="3" fillId="14" borderId="10" xfId="0" applyNumberFormat="1" applyFont="1" applyFill="1" applyBorder="1"/>
    <xf numFmtId="164" fontId="3" fillId="14" borderId="18" xfId="0" applyNumberFormat="1" applyFont="1" applyFill="1" applyBorder="1" applyAlignment="1">
      <alignment vertical="top" wrapText="1"/>
    </xf>
    <xf numFmtId="0" fontId="48" fillId="13" borderId="0" xfId="2" applyFont="1" applyFill="1" applyAlignment="1">
      <alignment horizontal="center" vertical="center" wrapText="1"/>
    </xf>
    <xf numFmtId="0" fontId="49" fillId="0" borderId="0" xfId="2" applyFont="1" applyAlignment="1">
      <alignment horizontal="center" vertical="center" wrapText="1"/>
    </xf>
    <xf numFmtId="0" fontId="48" fillId="0" borderId="0" xfId="2" applyFont="1" applyAlignment="1">
      <alignment horizontal="center" vertical="center" wrapText="1"/>
    </xf>
    <xf numFmtId="0" fontId="3" fillId="7" borderId="40" xfId="0" applyFont="1" applyFill="1" applyBorder="1" applyAlignment="1">
      <alignment horizontal="center" vertical="center" wrapText="1"/>
    </xf>
    <xf numFmtId="0" fontId="0" fillId="0" borderId="40" xfId="0" applyBorder="1" applyAlignment="1">
      <alignment horizontal="left" vertical="center" wrapText="1"/>
    </xf>
    <xf numFmtId="0" fontId="14" fillId="11" borderId="40" xfId="0" applyFont="1" applyFill="1" applyBorder="1" applyAlignment="1">
      <alignment vertical="center" wrapText="1"/>
    </xf>
    <xf numFmtId="164" fontId="3" fillId="11" borderId="28" xfId="0" applyNumberFormat="1" applyFont="1" applyFill="1" applyBorder="1"/>
    <xf numFmtId="49" fontId="3" fillId="11" borderId="21" xfId="0" applyNumberFormat="1" applyFont="1" applyFill="1" applyBorder="1"/>
    <xf numFmtId="164" fontId="0" fillId="0" borderId="34" xfId="0" applyNumberFormat="1" applyBorder="1" applyAlignment="1">
      <alignment horizontal="right"/>
    </xf>
    <xf numFmtId="0" fontId="0" fillId="0" borderId="42" xfId="0" applyBorder="1" applyAlignment="1">
      <alignment horizontal="left" vertical="center"/>
    </xf>
    <xf numFmtId="0" fontId="3" fillId="7" borderId="46" xfId="0" applyFont="1" applyFill="1" applyBorder="1" applyAlignment="1">
      <alignment horizontal="left" vertical="top" wrapText="1"/>
    </xf>
    <xf numFmtId="49" fontId="3" fillId="7" borderId="40" xfId="0" applyNumberFormat="1" applyFont="1" applyFill="1" applyBorder="1" applyAlignment="1">
      <alignment horizontal="left" vertical="top" wrapText="1"/>
    </xf>
    <xf numFmtId="49" fontId="3" fillId="7" borderId="40" xfId="0" applyNumberFormat="1" applyFont="1" applyFill="1" applyBorder="1" applyAlignment="1">
      <alignment horizontal="left"/>
    </xf>
    <xf numFmtId="164" fontId="0" fillId="0" borderId="40" xfId="0" applyNumberFormat="1" applyBorder="1" applyAlignment="1">
      <alignment horizontal="right"/>
    </xf>
    <xf numFmtId="164" fontId="0" fillId="0" borderId="42" xfId="0" applyNumberFormat="1" applyBorder="1" applyAlignment="1">
      <alignment horizontal="right"/>
    </xf>
    <xf numFmtId="164" fontId="3" fillId="14" borderId="35" xfId="0" applyNumberFormat="1" applyFont="1" applyFill="1" applyBorder="1" applyAlignment="1">
      <alignment vertical="top" wrapText="1"/>
    </xf>
    <xf numFmtId="164" fontId="3" fillId="14" borderId="16" xfId="0" applyNumberFormat="1" applyFont="1" applyFill="1" applyBorder="1" applyAlignment="1">
      <alignment vertical="top" wrapText="1"/>
    </xf>
    <xf numFmtId="164" fontId="3" fillId="11" borderId="35" xfId="0" applyNumberFormat="1" applyFont="1" applyFill="1" applyBorder="1" applyAlignment="1">
      <alignment vertical="top" wrapText="1"/>
    </xf>
    <xf numFmtId="49" fontId="0" fillId="11" borderId="19" xfId="0" applyNumberFormat="1" applyFill="1" applyBorder="1" applyAlignment="1">
      <alignment vertical="top" wrapText="1"/>
    </xf>
    <xf numFmtId="0" fontId="14" fillId="15" borderId="14" xfId="0" applyFont="1" applyFill="1" applyBorder="1" applyAlignment="1">
      <alignment horizontal="center" vertical="center" wrapText="1"/>
    </xf>
    <xf numFmtId="0" fontId="3" fillId="16" borderId="18" xfId="0" applyFont="1" applyFill="1" applyBorder="1"/>
    <xf numFmtId="0" fontId="3" fillId="16" borderId="53" xfId="0" applyFont="1" applyFill="1" applyBorder="1"/>
    <xf numFmtId="0" fontId="50" fillId="16" borderId="16" xfId="0" applyFont="1" applyFill="1" applyBorder="1"/>
    <xf numFmtId="0" fontId="0" fillId="0" borderId="10" xfId="0" applyBorder="1" applyAlignment="1">
      <alignment vertical="top"/>
    </xf>
    <xf numFmtId="0" fontId="0" fillId="0" borderId="10" xfId="0" applyBorder="1" applyAlignment="1">
      <alignment vertical="top" wrapText="1"/>
    </xf>
    <xf numFmtId="0" fontId="0" fillId="0" borderId="0" xfId="0" quotePrefix="1" applyAlignment="1">
      <alignment vertical="top" wrapText="1"/>
    </xf>
    <xf numFmtId="0" fontId="54" fillId="0" borderId="0" xfId="0" applyFont="1" applyAlignment="1">
      <alignment horizontal="centerContinuous"/>
    </xf>
    <xf numFmtId="0" fontId="0" fillId="0" borderId="0" xfId="0" applyAlignment="1">
      <alignment horizontal="centerContinuous"/>
    </xf>
    <xf numFmtId="0" fontId="51" fillId="0" borderId="10" xfId="0" applyFont="1" applyBorder="1" applyAlignment="1">
      <alignment vertical="top" wrapText="1"/>
    </xf>
    <xf numFmtId="0" fontId="51" fillId="0" borderId="10" xfId="0" applyFont="1" applyBorder="1" applyAlignment="1">
      <alignment vertical="top" wrapText="1" readingOrder="1"/>
    </xf>
    <xf numFmtId="164" fontId="0" fillId="10" borderId="10" xfId="0" applyNumberFormat="1" applyFill="1" applyBorder="1" applyAlignment="1">
      <alignment horizontal="right"/>
    </xf>
    <xf numFmtId="164" fontId="0" fillId="10" borderId="10" xfId="0" applyNumberFormat="1" applyFill="1" applyBorder="1" applyAlignment="1">
      <alignment horizontal="right" vertical="center"/>
    </xf>
    <xf numFmtId="164" fontId="0" fillId="5" borderId="10" xfId="0" applyNumberFormat="1" applyFill="1" applyBorder="1" applyAlignment="1">
      <alignment horizontal="right" vertical="center"/>
    </xf>
    <xf numFmtId="0" fontId="4" fillId="2" borderId="0" xfId="1" applyFont="1" applyFill="1" applyAlignment="1">
      <alignment horizontal="center"/>
    </xf>
    <xf numFmtId="0" fontId="6" fillId="2" borderId="0" xfId="2" applyFont="1" applyFill="1" applyAlignment="1">
      <alignment horizontal="center" vertical="center" wrapText="1"/>
    </xf>
    <xf numFmtId="0" fontId="7" fillId="2" borderId="0" xfId="2" applyFont="1" applyFill="1" applyAlignment="1">
      <alignment horizontal="center" vertical="center" wrapText="1"/>
    </xf>
    <xf numFmtId="0" fontId="5" fillId="2" borderId="0" xfId="2" applyFill="1"/>
    <xf numFmtId="0" fontId="9" fillId="2" borderId="0" xfId="2" applyFont="1" applyFill="1" applyAlignment="1">
      <alignment horizontal="center" vertical="center"/>
    </xf>
    <xf numFmtId="0" fontId="6" fillId="2" borderId="0" xfId="2" applyFont="1" applyFill="1" applyAlignment="1">
      <alignment horizontal="left" vertical="center"/>
    </xf>
    <xf numFmtId="0" fontId="12" fillId="2" borderId="1" xfId="2" applyFont="1" applyFill="1" applyBorder="1" applyAlignment="1">
      <alignment horizontal="left" vertical="top" wrapText="1"/>
    </xf>
    <xf numFmtId="0" fontId="12" fillId="2" borderId="2" xfId="2" applyFont="1" applyFill="1" applyBorder="1" applyAlignment="1">
      <alignment horizontal="left" vertical="top" wrapText="1"/>
    </xf>
    <xf numFmtId="0" fontId="12" fillId="2" borderId="3" xfId="2" applyFont="1" applyFill="1" applyBorder="1" applyAlignment="1">
      <alignment horizontal="left" vertical="top" wrapText="1"/>
    </xf>
    <xf numFmtId="0" fontId="12" fillId="2" borderId="4" xfId="2" applyFont="1" applyFill="1" applyBorder="1" applyAlignment="1">
      <alignment horizontal="left" vertical="top" wrapText="1"/>
    </xf>
    <xf numFmtId="0" fontId="12" fillId="2" borderId="0" xfId="2" applyFont="1" applyFill="1" applyAlignment="1">
      <alignment horizontal="left" vertical="top" wrapText="1"/>
    </xf>
    <xf numFmtId="0" fontId="12" fillId="2" borderId="5" xfId="2" applyFont="1" applyFill="1" applyBorder="1" applyAlignment="1">
      <alignment horizontal="left" vertical="top" wrapText="1"/>
    </xf>
    <xf numFmtId="0" fontId="12" fillId="2" borderId="6" xfId="2" applyFont="1" applyFill="1" applyBorder="1" applyAlignment="1">
      <alignment horizontal="left" vertical="top"/>
    </xf>
    <xf numFmtId="0" fontId="12" fillId="2" borderId="7" xfId="2" applyFont="1" applyFill="1" applyBorder="1" applyAlignment="1">
      <alignment horizontal="left" vertical="top"/>
    </xf>
    <xf numFmtId="0" fontId="12" fillId="2" borderId="8" xfId="2" applyFont="1" applyFill="1" applyBorder="1" applyAlignment="1">
      <alignment horizontal="left" vertical="top"/>
    </xf>
    <xf numFmtId="0" fontId="42" fillId="2" borderId="7" xfId="0" applyFont="1" applyFill="1" applyBorder="1" applyAlignment="1">
      <alignment horizontal="center" vertical="center"/>
    </xf>
    <xf numFmtId="0" fontId="3" fillId="0" borderId="9" xfId="0" applyFont="1" applyBorder="1" applyAlignment="1">
      <alignment horizontal="center" vertical="center" wrapText="1"/>
    </xf>
    <xf numFmtId="0" fontId="3" fillId="4" borderId="0" xfId="0" applyFont="1" applyFill="1" applyAlignment="1">
      <alignment horizontal="left"/>
    </xf>
    <xf numFmtId="0" fontId="0" fillId="0" borderId="40" xfId="0" applyBorder="1" applyAlignment="1">
      <alignment horizontal="left" vertical="center" wrapText="1"/>
    </xf>
    <xf numFmtId="0" fontId="0" fillId="0" borderId="55" xfId="0" applyBorder="1" applyAlignment="1">
      <alignment horizontal="left" vertical="center"/>
    </xf>
    <xf numFmtId="0" fontId="0" fillId="0" borderId="20" xfId="0" applyBorder="1" applyAlignment="1">
      <alignment horizontal="left" vertical="center"/>
    </xf>
    <xf numFmtId="0" fontId="10" fillId="0" borderId="42" xfId="3" applyBorder="1" applyAlignment="1" applyProtection="1">
      <alignment horizontal="left" vertical="center" wrapText="1"/>
    </xf>
    <xf numFmtId="0" fontId="0" fillId="0" borderId="54" xfId="0" applyBorder="1" applyAlignment="1">
      <alignment horizontal="left" vertical="center" wrapText="1"/>
    </xf>
    <xf numFmtId="0" fontId="0" fillId="0" borderId="45" xfId="0" applyBorder="1" applyAlignment="1">
      <alignment horizontal="left" vertical="center" wrapText="1"/>
    </xf>
    <xf numFmtId="0" fontId="0" fillId="0" borderId="53" xfId="0" applyBorder="1" applyAlignment="1">
      <alignment horizontal="left" vertical="center" wrapText="1"/>
    </xf>
    <xf numFmtId="0" fontId="0" fillId="0" borderId="9" xfId="0" applyBorder="1" applyAlignment="1">
      <alignment horizontal="left" vertical="center" wrapText="1"/>
    </xf>
    <xf numFmtId="0" fontId="0" fillId="0" borderId="16" xfId="0" applyBorder="1" applyAlignment="1">
      <alignment horizontal="left" vertical="center" wrapText="1"/>
    </xf>
    <xf numFmtId="0" fontId="0" fillId="0" borderId="40" xfId="0" applyBorder="1" applyAlignment="1">
      <alignment wrapText="1"/>
    </xf>
    <xf numFmtId="0" fontId="0" fillId="0" borderId="55" xfId="0" applyBorder="1"/>
    <xf numFmtId="0" fontId="0" fillId="0" borderId="20" xfId="0" applyBorder="1"/>
    <xf numFmtId="0" fontId="0" fillId="0" borderId="55" xfId="0" applyBorder="1" applyAlignment="1">
      <alignment horizontal="left" vertical="center" wrapText="1"/>
    </xf>
    <xf numFmtId="0" fontId="0" fillId="0" borderId="20" xfId="0" applyBorder="1" applyAlignment="1">
      <alignment horizontal="left" vertical="center" wrapText="1"/>
    </xf>
    <xf numFmtId="0" fontId="22" fillId="6" borderId="1"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9" borderId="1" xfId="0" applyFont="1" applyFill="1" applyBorder="1" applyAlignment="1">
      <alignment vertical="center" wrapText="1"/>
    </xf>
    <xf numFmtId="0" fontId="22" fillId="9" borderId="3" xfId="0" applyFont="1" applyFill="1" applyBorder="1" applyAlignment="1">
      <alignment vertical="center" wrapText="1"/>
    </xf>
    <xf numFmtId="0" fontId="22" fillId="9" borderId="4" xfId="0" applyFont="1" applyFill="1" applyBorder="1" applyAlignment="1">
      <alignment vertical="center" wrapText="1"/>
    </xf>
    <xf numFmtId="0" fontId="22" fillId="9" borderId="5" xfId="0" applyFont="1" applyFill="1" applyBorder="1" applyAlignment="1">
      <alignment vertical="center" wrapText="1"/>
    </xf>
    <xf numFmtId="0" fontId="22" fillId="9" borderId="6" xfId="0" applyFont="1" applyFill="1" applyBorder="1" applyAlignment="1">
      <alignment vertical="center" wrapText="1"/>
    </xf>
    <xf numFmtId="0" fontId="22" fillId="9" borderId="8" xfId="0" applyFont="1" applyFill="1" applyBorder="1" applyAlignment="1">
      <alignment vertical="center" wrapText="1"/>
    </xf>
    <xf numFmtId="0" fontId="22" fillId="9" borderId="11" xfId="0" applyFont="1" applyFill="1" applyBorder="1" applyAlignment="1">
      <alignment horizontal="center" vertical="center" wrapText="1"/>
    </xf>
    <xf numFmtId="0" fontId="22" fillId="9" borderId="13" xfId="0" applyFont="1" applyFill="1" applyBorder="1" applyAlignment="1">
      <alignment horizontal="center" vertical="center" wrapText="1"/>
    </xf>
    <xf numFmtId="0" fontId="22" fillId="9" borderId="12" xfId="0" applyFont="1" applyFill="1" applyBorder="1" applyAlignment="1">
      <alignment horizontal="center" vertical="center" wrapText="1"/>
    </xf>
    <xf numFmtId="0" fontId="24" fillId="0" borderId="2" xfId="0" applyFont="1" applyBorder="1" applyAlignment="1">
      <alignment horizontal="center" vertical="center" wrapText="1"/>
    </xf>
    <xf numFmtId="0" fontId="24" fillId="0" borderId="0" xfId="0" applyFont="1" applyAlignment="1">
      <alignment horizontal="center" vertical="center" wrapText="1"/>
    </xf>
    <xf numFmtId="0" fontId="24" fillId="0" borderId="7" xfId="0" applyFont="1" applyBorder="1" applyAlignment="1">
      <alignment horizontal="center" vertical="center" wrapText="1"/>
    </xf>
    <xf numFmtId="0" fontId="23" fillId="0" borderId="27" xfId="0" applyFont="1" applyBorder="1" applyAlignment="1">
      <alignment horizontal="center" vertical="top" wrapText="1"/>
    </xf>
    <xf numFmtId="0" fontId="23" fillId="0" borderId="21" xfId="0" applyFont="1" applyBorder="1" applyAlignment="1">
      <alignment horizontal="center" vertical="top" wrapText="1"/>
    </xf>
    <xf numFmtId="0" fontId="23" fillId="0" borderId="31" xfId="0" applyFont="1" applyBorder="1" applyAlignment="1">
      <alignment horizontal="center" vertical="top" wrapText="1"/>
    </xf>
    <xf numFmtId="0" fontId="23" fillId="0" borderId="26" xfId="0" applyFont="1" applyBorder="1" applyAlignment="1">
      <alignment horizontal="center" vertical="top" wrapText="1"/>
    </xf>
    <xf numFmtId="0" fontId="23" fillId="0" borderId="10" xfId="0" applyFont="1" applyBorder="1" applyAlignment="1">
      <alignment horizontal="center" vertical="top" wrapText="1"/>
    </xf>
    <xf numFmtId="0" fontId="23" fillId="0" borderId="30" xfId="0" applyFont="1" applyBorder="1" applyAlignment="1">
      <alignment horizontal="center" vertical="top" wrapText="1"/>
    </xf>
    <xf numFmtId="0" fontId="22" fillId="4" borderId="0" xfId="0" applyFont="1" applyFill="1" applyAlignment="1">
      <alignment vertical="center"/>
    </xf>
    <xf numFmtId="0" fontId="22" fillId="0" borderId="0" xfId="0" applyFont="1" applyAlignment="1">
      <alignment vertical="center" wrapText="1"/>
    </xf>
    <xf numFmtId="0" fontId="0" fillId="0" borderId="11" xfId="0" quotePrefix="1" applyBorder="1" applyAlignment="1">
      <alignment horizontal="left" vertical="top" wrapText="1"/>
    </xf>
    <xf numFmtId="0" fontId="0" fillId="0" borderId="13" xfId="0" quotePrefix="1" applyBorder="1" applyAlignment="1">
      <alignment horizontal="left" vertical="top" wrapText="1"/>
    </xf>
    <xf numFmtId="0" fontId="0" fillId="0" borderId="12" xfId="0" quotePrefix="1" applyBorder="1" applyAlignment="1">
      <alignment horizontal="left" vertical="top" wrapText="1"/>
    </xf>
    <xf numFmtId="0" fontId="22" fillId="6" borderId="4"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4" fillId="0" borderId="11"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2" xfId="0" applyFont="1" applyBorder="1" applyAlignment="1">
      <alignment horizontal="center" vertical="center" wrapText="1"/>
    </xf>
    <xf numFmtId="0" fontId="23" fillId="0" borderId="17" xfId="0" applyFont="1" applyBorder="1" applyAlignment="1">
      <alignment horizontal="center" vertical="top" wrapText="1"/>
    </xf>
    <xf numFmtId="0" fontId="23" fillId="0" borderId="22" xfId="0" applyFont="1" applyBorder="1" applyAlignment="1">
      <alignment horizontal="center" vertical="top" wrapText="1"/>
    </xf>
    <xf numFmtId="0" fontId="23" fillId="0" borderId="32" xfId="0" applyFont="1" applyBorder="1" applyAlignment="1">
      <alignment horizontal="center" vertical="top" wrapText="1"/>
    </xf>
    <xf numFmtId="0" fontId="22" fillId="9" borderId="25" xfId="0" applyFont="1" applyFill="1" applyBorder="1" applyAlignment="1">
      <alignment horizontal="center" vertical="center" wrapText="1"/>
    </xf>
    <xf numFmtId="0" fontId="22" fillId="9" borderId="28" xfId="0" applyFont="1" applyFill="1" applyBorder="1" applyAlignment="1">
      <alignment horizontal="center" vertical="center" wrapText="1"/>
    </xf>
    <xf numFmtId="0" fontId="22" fillId="9" borderId="29" xfId="0" applyFont="1" applyFill="1" applyBorder="1" applyAlignment="1">
      <alignment horizontal="center" vertical="center" wrapText="1"/>
    </xf>
    <xf numFmtId="0" fontId="24" fillId="0" borderId="26"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30" xfId="0" applyFont="1" applyBorder="1" applyAlignment="1">
      <alignment horizontal="center" vertical="center" wrapText="1"/>
    </xf>
    <xf numFmtId="0" fontId="22" fillId="6" borderId="25" xfId="0" applyFont="1" applyFill="1" applyBorder="1" applyAlignment="1">
      <alignment horizontal="center" vertical="center" wrapText="1"/>
    </xf>
    <xf numFmtId="0" fontId="22" fillId="6" borderId="26" xfId="0" applyFont="1" applyFill="1" applyBorder="1" applyAlignment="1">
      <alignment horizontal="center" vertical="center" wrapText="1"/>
    </xf>
    <xf numFmtId="0" fontId="22" fillId="6" borderId="28"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28" xfId="0" applyFont="1" applyFill="1" applyBorder="1" applyAlignment="1">
      <alignment vertical="center" wrapText="1"/>
    </xf>
    <xf numFmtId="0" fontId="22" fillId="6" borderId="10" xfId="0" applyFont="1" applyFill="1" applyBorder="1" applyAlignment="1">
      <alignment vertical="center" wrapText="1"/>
    </xf>
    <xf numFmtId="0" fontId="22" fillId="7" borderId="28" xfId="0" applyFont="1" applyFill="1" applyBorder="1" applyAlignment="1">
      <alignment horizontal="center" vertical="center"/>
    </xf>
    <xf numFmtId="0" fontId="22" fillId="7" borderId="29" xfId="0" applyFont="1" applyFill="1" applyBorder="1" applyAlignment="1">
      <alignment horizontal="center" vertical="center"/>
    </xf>
    <xf numFmtId="0" fontId="22" fillId="9" borderId="35" xfId="0" applyFont="1" applyFill="1" applyBorder="1" applyAlignment="1">
      <alignment vertical="center" wrapText="1"/>
    </xf>
    <xf numFmtId="0" fontId="22" fillId="9" borderId="18" xfId="0" applyFont="1" applyFill="1" applyBorder="1" applyAlignment="1">
      <alignment vertical="center" wrapText="1"/>
    </xf>
    <xf numFmtId="0" fontId="22" fillId="9" borderId="28" xfId="0" applyFont="1" applyFill="1" applyBorder="1" applyAlignment="1">
      <alignment vertical="center" wrapText="1"/>
    </xf>
    <xf numFmtId="0" fontId="22" fillId="9" borderId="10" xfId="0" applyFont="1" applyFill="1" applyBorder="1" applyAlignment="1">
      <alignment vertical="center" wrapText="1"/>
    </xf>
    <xf numFmtId="0" fontId="22" fillId="0" borderId="28" xfId="0" applyFont="1" applyBorder="1" applyAlignment="1">
      <alignment horizontal="center" vertical="center" wrapText="1"/>
    </xf>
    <xf numFmtId="0" fontId="22" fillId="0" borderId="29" xfId="0" applyFont="1" applyBorder="1" applyAlignment="1">
      <alignment horizontal="center" vertical="center" wrapText="1"/>
    </xf>
    <xf numFmtId="0" fontId="25" fillId="0" borderId="0" xfId="0" applyFont="1" applyAlignment="1">
      <alignment vertical="center"/>
    </xf>
    <xf numFmtId="0" fontId="31" fillId="0" borderId="0" xfId="0" applyFont="1"/>
    <xf numFmtId="0" fontId="33" fillId="6" borderId="25" xfId="0" applyFont="1" applyFill="1" applyBorder="1" applyAlignment="1">
      <alignment horizontal="center" vertical="center" wrapText="1"/>
    </xf>
    <xf numFmtId="0" fontId="33" fillId="6" borderId="26" xfId="0" applyFont="1" applyFill="1" applyBorder="1" applyAlignment="1">
      <alignment horizontal="center" vertical="center" wrapText="1"/>
    </xf>
    <xf numFmtId="0" fontId="33" fillId="6" borderId="28" xfId="0" applyFont="1" applyFill="1" applyBorder="1" applyAlignment="1">
      <alignment horizontal="center" vertical="center" wrapText="1"/>
    </xf>
    <xf numFmtId="0" fontId="33" fillId="6" borderId="10" xfId="0" applyFont="1" applyFill="1" applyBorder="1" applyAlignment="1">
      <alignment horizontal="center" vertical="center" wrapText="1"/>
    </xf>
    <xf numFmtId="0" fontId="33" fillId="6" borderId="28" xfId="0" applyFont="1" applyFill="1" applyBorder="1" applyAlignment="1">
      <alignment vertical="center" wrapText="1"/>
    </xf>
    <xf numFmtId="0" fontId="33" fillId="6" borderId="10" xfId="0" applyFont="1" applyFill="1" applyBorder="1" applyAlignment="1">
      <alignment vertical="center" wrapText="1"/>
    </xf>
    <xf numFmtId="0" fontId="33" fillId="6" borderId="28" xfId="0" applyFont="1" applyFill="1" applyBorder="1" applyAlignment="1">
      <alignment horizontal="center" vertical="center"/>
    </xf>
    <xf numFmtId="0" fontId="33" fillId="6" borderId="29" xfId="0" applyFont="1" applyFill="1" applyBorder="1" applyAlignment="1">
      <alignment horizontal="center" vertical="center"/>
    </xf>
    <xf numFmtId="0" fontId="33" fillId="9" borderId="35" xfId="0" applyFont="1" applyFill="1" applyBorder="1" applyAlignment="1">
      <alignment horizontal="left" vertical="center" wrapText="1"/>
    </xf>
    <xf numFmtId="0" fontId="33" fillId="9" borderId="18" xfId="0" applyFont="1" applyFill="1" applyBorder="1" applyAlignment="1">
      <alignment horizontal="left" vertical="center" wrapText="1"/>
    </xf>
    <xf numFmtId="0" fontId="33" fillId="9" borderId="28" xfId="0" applyFont="1" applyFill="1" applyBorder="1" applyAlignment="1">
      <alignment horizontal="left" vertical="center" wrapText="1"/>
    </xf>
    <xf numFmtId="0" fontId="33" fillId="9" borderId="10" xfId="0" applyFont="1" applyFill="1" applyBorder="1" applyAlignment="1">
      <alignment horizontal="left" vertical="center" wrapText="1"/>
    </xf>
    <xf numFmtId="0" fontId="33" fillId="9" borderId="28" xfId="0" applyFont="1" applyFill="1" applyBorder="1" applyAlignment="1">
      <alignment horizontal="center" vertical="center"/>
    </xf>
    <xf numFmtId="0" fontId="33" fillId="9" borderId="29" xfId="0" applyFont="1" applyFill="1" applyBorder="1" applyAlignment="1">
      <alignment horizontal="center" vertical="center"/>
    </xf>
    <xf numFmtId="0" fontId="33" fillId="9" borderId="25" xfId="0" applyFont="1" applyFill="1" applyBorder="1" applyAlignment="1">
      <alignment horizontal="left" vertical="center" wrapText="1"/>
    </xf>
    <xf numFmtId="0" fontId="33" fillId="9" borderId="26" xfId="0" applyFont="1" applyFill="1" applyBorder="1" applyAlignment="1">
      <alignment horizontal="left" vertical="center" wrapText="1"/>
    </xf>
    <xf numFmtId="0" fontId="22" fillId="0" borderId="0" xfId="0" applyFont="1" applyAlignment="1">
      <alignment vertical="center"/>
    </xf>
    <xf numFmtId="0" fontId="33" fillId="6" borderId="25" xfId="0" applyFont="1" applyFill="1" applyBorder="1" applyAlignment="1">
      <alignment horizontal="left" vertical="center" wrapText="1"/>
    </xf>
    <xf numFmtId="0" fontId="33" fillId="6" borderId="26" xfId="0" applyFont="1" applyFill="1" applyBorder="1" applyAlignment="1">
      <alignment horizontal="left" vertical="center" wrapText="1"/>
    </xf>
    <xf numFmtId="0" fontId="33" fillId="6" borderId="28" xfId="0" applyFont="1" applyFill="1" applyBorder="1" applyAlignment="1">
      <alignment horizontal="left" vertical="center" wrapText="1"/>
    </xf>
    <xf numFmtId="0" fontId="33" fillId="6" borderId="10" xfId="0" applyFont="1" applyFill="1" applyBorder="1" applyAlignment="1">
      <alignment horizontal="left" vertical="center" wrapText="1"/>
    </xf>
    <xf numFmtId="0" fontId="3" fillId="11" borderId="28" xfId="0" applyFont="1" applyFill="1" applyBorder="1" applyAlignment="1">
      <alignment horizontal="center" vertical="center"/>
    </xf>
    <xf numFmtId="0" fontId="3" fillId="11" borderId="29" xfId="0" applyFont="1" applyFill="1" applyBorder="1" applyAlignment="1">
      <alignment horizontal="center" vertical="center"/>
    </xf>
    <xf numFmtId="0" fontId="3" fillId="7" borderId="28" xfId="0" applyFont="1" applyFill="1" applyBorder="1" applyAlignment="1">
      <alignment horizontal="center" vertical="center"/>
    </xf>
    <xf numFmtId="0" fontId="3" fillId="11" borderId="28" xfId="0" applyFont="1" applyFill="1" applyBorder="1" applyAlignment="1">
      <alignment vertical="center" wrapText="1"/>
    </xf>
    <xf numFmtId="0" fontId="3" fillId="11" borderId="40" xfId="0" applyFont="1" applyFill="1" applyBorder="1" applyAlignment="1">
      <alignment vertical="center" wrapText="1"/>
    </xf>
    <xf numFmtId="0" fontId="32" fillId="0" borderId="0" xfId="0" applyFont="1" applyAlignment="1">
      <alignment horizontal="left"/>
    </xf>
    <xf numFmtId="0" fontId="47" fillId="0" borderId="0" xfId="0" applyFont="1" applyAlignment="1">
      <alignment horizontal="left"/>
    </xf>
    <xf numFmtId="0" fontId="3" fillId="7" borderId="25" xfId="0" applyFont="1" applyFill="1" applyBorder="1" applyAlignment="1">
      <alignment horizontal="left" vertical="center" wrapText="1"/>
    </xf>
    <xf numFmtId="0" fontId="3" fillId="7" borderId="46" xfId="0" applyFont="1" applyFill="1" applyBorder="1" applyAlignment="1">
      <alignment horizontal="left" vertical="center" wrapText="1"/>
    </xf>
    <xf numFmtId="0" fontId="3" fillId="7" borderId="28" xfId="0" applyFont="1" applyFill="1" applyBorder="1" applyAlignment="1">
      <alignment horizontal="left" vertical="center" wrapText="1"/>
    </xf>
    <xf numFmtId="0" fontId="3" fillId="7" borderId="40" xfId="0" applyFont="1" applyFill="1" applyBorder="1" applyAlignment="1">
      <alignment horizontal="left" vertical="center" wrapText="1"/>
    </xf>
    <xf numFmtId="49" fontId="14" fillId="7" borderId="1" xfId="0" applyNumberFormat="1" applyFont="1" applyFill="1" applyBorder="1" applyAlignment="1">
      <alignment horizontal="center"/>
    </xf>
    <xf numFmtId="49" fontId="14" fillId="7" borderId="2" xfId="0" applyNumberFormat="1" applyFont="1" applyFill="1" applyBorder="1" applyAlignment="1">
      <alignment horizontal="center"/>
    </xf>
    <xf numFmtId="49" fontId="14" fillId="7" borderId="3" xfId="0" applyNumberFormat="1" applyFont="1" applyFill="1" applyBorder="1" applyAlignment="1">
      <alignment horizontal="center"/>
    </xf>
    <xf numFmtId="49" fontId="14" fillId="14" borderId="51" xfId="0" applyNumberFormat="1" applyFont="1" applyFill="1" applyBorder="1" applyAlignment="1">
      <alignment horizontal="center"/>
    </xf>
    <xf numFmtId="49" fontId="14" fillId="14" borderId="32" xfId="0" applyNumberFormat="1" applyFont="1" applyFill="1" applyBorder="1" applyAlignment="1">
      <alignment horizontal="center"/>
    </xf>
    <xf numFmtId="49" fontId="14" fillId="14" borderId="50" xfId="0" applyNumberFormat="1" applyFont="1" applyFill="1" applyBorder="1" applyAlignment="1">
      <alignment horizontal="center"/>
    </xf>
    <xf numFmtId="49" fontId="14" fillId="7" borderId="47" xfId="0" applyNumberFormat="1" applyFont="1" applyFill="1" applyBorder="1" applyAlignment="1">
      <alignment horizontal="center"/>
    </xf>
    <xf numFmtId="49" fontId="14" fillId="7" borderId="48" xfId="0" applyNumberFormat="1" applyFont="1" applyFill="1" applyBorder="1" applyAlignment="1">
      <alignment horizontal="center"/>
    </xf>
    <xf numFmtId="49" fontId="14" fillId="7" borderId="15" xfId="0" applyNumberFormat="1" applyFont="1" applyFill="1" applyBorder="1" applyAlignment="1">
      <alignment horizontal="center"/>
    </xf>
    <xf numFmtId="49" fontId="14" fillId="14" borderId="52" xfId="0" applyNumberFormat="1" applyFont="1" applyFill="1" applyBorder="1" applyAlignment="1">
      <alignment horizontal="center"/>
    </xf>
    <xf numFmtId="0" fontId="47" fillId="0" borderId="7" xfId="0" applyFont="1" applyBorder="1" applyAlignment="1">
      <alignment horizontal="left"/>
    </xf>
    <xf numFmtId="0" fontId="3" fillId="7" borderId="34" xfId="0" applyFont="1" applyFill="1" applyBorder="1" applyAlignment="1">
      <alignment horizontal="center" vertical="center"/>
    </xf>
    <xf numFmtId="0" fontId="3" fillId="11" borderId="25" xfId="0" applyFont="1" applyFill="1" applyBorder="1" applyAlignment="1">
      <alignment vertical="center" wrapText="1"/>
    </xf>
    <xf numFmtId="0" fontId="3" fillId="11" borderId="46" xfId="0" applyFont="1" applyFill="1" applyBorder="1" applyAlignment="1">
      <alignment vertical="center" wrapText="1"/>
    </xf>
    <xf numFmtId="0" fontId="32" fillId="4" borderId="0" xfId="0" applyFont="1" applyFill="1" applyAlignment="1">
      <alignment horizontal="left"/>
    </xf>
    <xf numFmtId="0" fontId="3" fillId="7" borderId="25"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0" xfId="0" applyFont="1" applyFill="1" applyBorder="1" applyAlignment="1">
      <alignment horizontal="left" vertical="center" wrapText="1"/>
    </xf>
    <xf numFmtId="0" fontId="0" fillId="0" borderId="0" xfId="0" applyAlignment="1">
      <alignment horizontal="center"/>
    </xf>
    <xf numFmtId="0" fontId="3" fillId="7" borderId="26" xfId="0" applyFont="1" applyFill="1" applyBorder="1" applyAlignment="1">
      <alignment horizontal="left" vertical="center" wrapText="1"/>
    </xf>
    <xf numFmtId="0" fontId="3" fillId="11" borderId="25" xfId="0" applyFont="1" applyFill="1" applyBorder="1" applyAlignment="1">
      <alignment horizontal="center" vertical="center"/>
    </xf>
    <xf numFmtId="0" fontId="3" fillId="11" borderId="35" xfId="0" applyFont="1" applyFill="1" applyBorder="1" applyAlignment="1">
      <alignment horizontal="center" vertical="center"/>
    </xf>
    <xf numFmtId="0" fontId="3" fillId="11" borderId="26" xfId="0" applyFont="1" applyFill="1" applyBorder="1" applyAlignment="1">
      <alignment vertical="center" wrapText="1"/>
    </xf>
    <xf numFmtId="0" fontId="3" fillId="11" borderId="10" xfId="0" applyFont="1" applyFill="1" applyBorder="1" applyAlignment="1">
      <alignment vertical="center" wrapText="1"/>
    </xf>
    <xf numFmtId="0" fontId="3" fillId="7" borderId="35" xfId="0" applyFont="1" applyFill="1" applyBorder="1" applyAlignment="1">
      <alignment horizontal="center" vertical="center"/>
    </xf>
    <xf numFmtId="0" fontId="3" fillId="11" borderId="35" xfId="0" applyFont="1" applyFill="1" applyBorder="1" applyAlignment="1">
      <alignment vertical="center" wrapText="1"/>
    </xf>
    <xf numFmtId="0" fontId="3" fillId="11" borderId="18" xfId="0" applyFont="1" applyFill="1" applyBorder="1" applyAlignment="1">
      <alignment vertical="center" wrapText="1"/>
    </xf>
    <xf numFmtId="0" fontId="3" fillId="11" borderId="35" xfId="0" applyFont="1" applyFill="1" applyBorder="1" applyAlignment="1">
      <alignment horizontal="left" vertical="center" wrapText="1"/>
    </xf>
    <xf numFmtId="0" fontId="3" fillId="11" borderId="18" xfId="0" applyFont="1" applyFill="1" applyBorder="1" applyAlignment="1">
      <alignment horizontal="left" vertical="center" wrapText="1"/>
    </xf>
    <xf numFmtId="0" fontId="3" fillId="11" borderId="28" xfId="0" applyFont="1" applyFill="1" applyBorder="1" applyAlignment="1">
      <alignment horizontal="left" vertical="center" wrapText="1"/>
    </xf>
    <xf numFmtId="0" fontId="3" fillId="11" borderId="10"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3" fillId="11" borderId="2" xfId="0" applyFont="1" applyFill="1" applyBorder="1" applyAlignment="1">
      <alignment horizontal="left" vertical="center" wrapText="1"/>
    </xf>
    <xf numFmtId="0" fontId="3" fillId="11" borderId="39" xfId="0" applyFont="1" applyFill="1" applyBorder="1" applyAlignment="1">
      <alignment horizontal="left" vertical="center" wrapText="1"/>
    </xf>
    <xf numFmtId="0" fontId="3" fillId="11" borderId="9" xfId="0" applyFont="1" applyFill="1" applyBorder="1" applyAlignment="1">
      <alignment horizontal="left" vertical="center" wrapText="1"/>
    </xf>
    <xf numFmtId="0" fontId="3" fillId="11" borderId="34" xfId="0" applyFont="1" applyFill="1" applyBorder="1" applyAlignment="1">
      <alignment horizontal="center" vertical="center"/>
    </xf>
    <xf numFmtId="49" fontId="14" fillId="7" borderId="49" xfId="0" applyNumberFormat="1" applyFont="1" applyFill="1" applyBorder="1" applyAlignment="1">
      <alignment horizontal="center"/>
    </xf>
    <xf numFmtId="49" fontId="14" fillId="14" borderId="37" xfId="0" applyNumberFormat="1" applyFont="1" applyFill="1" applyBorder="1" applyAlignment="1">
      <alignment horizontal="center"/>
    </xf>
    <xf numFmtId="49" fontId="14" fillId="14" borderId="38" xfId="0" applyNumberFormat="1" applyFont="1" applyFill="1" applyBorder="1" applyAlignment="1">
      <alignment horizontal="center"/>
    </xf>
    <xf numFmtId="0" fontId="3" fillId="0" borderId="0" xfId="0" applyFont="1" applyAlignment="1">
      <alignment horizontal="left"/>
    </xf>
    <xf numFmtId="0" fontId="3" fillId="7" borderId="25" xfId="0" applyFont="1" applyFill="1" applyBorder="1" applyAlignment="1">
      <alignment horizontal="left" vertical="top" wrapText="1"/>
    </xf>
    <xf numFmtId="0" fontId="3" fillId="7" borderId="26" xfId="0" applyFont="1" applyFill="1" applyBorder="1" applyAlignment="1">
      <alignment horizontal="left" vertical="top" wrapText="1"/>
    </xf>
    <xf numFmtId="0" fontId="3" fillId="7" borderId="28" xfId="0" applyFont="1" applyFill="1" applyBorder="1" applyAlignment="1">
      <alignment horizontal="left" vertical="top" wrapText="1"/>
    </xf>
    <xf numFmtId="0" fontId="3" fillId="7" borderId="10" xfId="0" applyFont="1" applyFill="1" applyBorder="1" applyAlignment="1">
      <alignment horizontal="left" vertical="top" wrapText="1"/>
    </xf>
    <xf numFmtId="0" fontId="3" fillId="7" borderId="25" xfId="0" applyFont="1" applyFill="1" applyBorder="1" applyAlignment="1">
      <alignment vertical="center"/>
    </xf>
    <xf numFmtId="0" fontId="3" fillId="7" borderId="28" xfId="0" applyFont="1" applyFill="1" applyBorder="1" applyAlignment="1">
      <alignment vertical="center"/>
    </xf>
    <xf numFmtId="0" fontId="3" fillId="7" borderId="29" xfId="0" applyFont="1" applyFill="1" applyBorder="1" applyAlignment="1">
      <alignment vertical="center"/>
    </xf>
    <xf numFmtId="0" fontId="3" fillId="7" borderId="34" xfId="0" applyFont="1" applyFill="1" applyBorder="1" applyAlignment="1">
      <alignment vertical="center"/>
    </xf>
    <xf numFmtId="0" fontId="3" fillId="7" borderId="35" xfId="0" applyFont="1" applyFill="1" applyBorder="1" applyAlignment="1">
      <alignment vertical="center"/>
    </xf>
    <xf numFmtId="0" fontId="3" fillId="7" borderId="44" xfId="0" applyFont="1" applyFill="1" applyBorder="1" applyAlignment="1">
      <alignment horizontal="left" vertical="center" wrapText="1"/>
    </xf>
    <xf numFmtId="0" fontId="3" fillId="7" borderId="45" xfId="0" applyFont="1" applyFill="1" applyBorder="1" applyAlignment="1">
      <alignment horizontal="left" vertical="center" wrapText="1"/>
    </xf>
    <xf numFmtId="0" fontId="3" fillId="7" borderId="39" xfId="0" applyFont="1" applyFill="1" applyBorder="1" applyAlignment="1">
      <alignment horizontal="left" vertical="center" wrapText="1"/>
    </xf>
    <xf numFmtId="0" fontId="3" fillId="7" borderId="16" xfId="0" applyFont="1" applyFill="1" applyBorder="1" applyAlignment="1">
      <alignment horizontal="left" vertical="center" wrapText="1"/>
    </xf>
    <xf numFmtId="0" fontId="3" fillId="7" borderId="25" xfId="0" applyFont="1" applyFill="1" applyBorder="1" applyAlignment="1">
      <alignment horizontal="left" vertical="center"/>
    </xf>
    <xf numFmtId="0" fontId="3" fillId="7" borderId="28" xfId="0" applyFont="1" applyFill="1" applyBorder="1" applyAlignment="1">
      <alignment horizontal="left" vertical="center"/>
    </xf>
    <xf numFmtId="0" fontId="3" fillId="7" borderId="29" xfId="0" applyFont="1" applyFill="1" applyBorder="1" applyAlignment="1">
      <alignment horizontal="left" vertical="center"/>
    </xf>
    <xf numFmtId="0" fontId="3" fillId="7" borderId="44" xfId="0" applyFont="1" applyFill="1" applyBorder="1" applyAlignment="1">
      <alignment horizontal="left" vertical="center"/>
    </xf>
    <xf numFmtId="0" fontId="3" fillId="7" borderId="45" xfId="0" applyFont="1" applyFill="1" applyBorder="1" applyAlignment="1">
      <alignment horizontal="left" vertical="center"/>
    </xf>
    <xf numFmtId="0" fontId="3" fillId="7" borderId="39" xfId="0" applyFont="1" applyFill="1" applyBorder="1" applyAlignment="1">
      <alignment horizontal="left" vertical="center"/>
    </xf>
    <xf numFmtId="0" fontId="3" fillId="7" borderId="16" xfId="0" applyFont="1" applyFill="1" applyBorder="1" applyAlignment="1">
      <alignment horizontal="left" vertical="center"/>
    </xf>
  </cellXfs>
  <cellStyles count="4">
    <cellStyle name="Hyperlink" xfId="3" builtinId="8"/>
    <cellStyle name="Normal" xfId="0" builtinId="0"/>
    <cellStyle name="Normal 3 2" xfId="2" xr:uid="{BB0F1879-9B9F-4BC8-B067-D8C5E53B913C}"/>
    <cellStyle name="Normal 4 2" xfId="1" xr:uid="{8777BDB5-7BB0-406D-9F12-8230EE81F416}"/>
  </cellStyles>
  <dxfs count="1716">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ont>
        <b/>
        <i val="0"/>
        <strike val="0"/>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ont>
        <sz val="12"/>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rgb="FF0070C0"/>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CC"/>
      <color rgb="FFFF66CC"/>
      <color rgb="FFCC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xdr:colOff>
      <xdr:row>14</xdr:row>
      <xdr:rowOff>59972</xdr:rowOff>
    </xdr:from>
    <xdr:ext cx="4876800" cy="1871570"/>
    <xdr:pic>
      <xdr:nvPicPr>
        <xdr:cNvPr id="2" name="Picture 1" descr="PIAS.png">
          <a:extLst>
            <a:ext uri="{FF2B5EF4-FFF2-40B4-BE49-F238E27FC236}">
              <a16:creationId xmlns:a16="http://schemas.microsoft.com/office/drawing/2014/main" id="{CEF9D1FC-90A3-483E-B1C5-C76376F29839}"/>
            </a:ext>
          </a:extLst>
        </xdr:cNvPr>
        <xdr:cNvPicPr>
          <a:picLocks noChangeAspect="1"/>
        </xdr:cNvPicPr>
      </xdr:nvPicPr>
      <xdr:blipFill>
        <a:blip xmlns:r="http://schemas.openxmlformats.org/officeDocument/2006/relationships" r:embed="rId1" cstate="print"/>
        <a:stretch>
          <a:fillRect/>
        </a:stretch>
      </xdr:blipFill>
      <xdr:spPr>
        <a:xfrm>
          <a:off x="657226" y="2450747"/>
          <a:ext cx="4876800" cy="1871570"/>
        </a:xfrm>
        <a:prstGeom prst="rect">
          <a:avLst/>
        </a:prstGeom>
      </xdr:spPr>
    </xdr:pic>
    <xdr:clientData/>
  </xdr:oneCellAnchor>
  <xdr:twoCellAnchor>
    <xdr:from>
      <xdr:col>0</xdr:col>
      <xdr:colOff>4257</xdr:colOff>
      <xdr:row>37</xdr:row>
      <xdr:rowOff>19050</xdr:rowOff>
    </xdr:from>
    <xdr:to>
      <xdr:col>8</xdr:col>
      <xdr:colOff>600074</xdr:colOff>
      <xdr:row>46</xdr:row>
      <xdr:rowOff>47625</xdr:rowOff>
    </xdr:to>
    <xdr:sp macro="" textlink="">
      <xdr:nvSpPr>
        <xdr:cNvPr id="3" name="TextBox 2">
          <a:extLst>
            <a:ext uri="{FF2B5EF4-FFF2-40B4-BE49-F238E27FC236}">
              <a16:creationId xmlns:a16="http://schemas.microsoft.com/office/drawing/2014/main" id="{9B77B474-D687-4AC7-ABB3-BC5B40527F34}"/>
            </a:ext>
          </a:extLst>
        </xdr:cNvPr>
        <xdr:cNvSpPr txBox="1"/>
      </xdr:nvSpPr>
      <xdr:spPr>
        <a:xfrm>
          <a:off x="7432" y="6134100"/>
          <a:ext cx="5853617" cy="1482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Term Placemat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50800</xdr:colOff>
      <xdr:row>0</xdr:row>
      <xdr:rowOff>173038</xdr:rowOff>
    </xdr:from>
    <xdr:to>
      <xdr:col>11</xdr:col>
      <xdr:colOff>1634695</xdr:colOff>
      <xdr:row>3</xdr:row>
      <xdr:rowOff>79572</xdr:rowOff>
    </xdr:to>
    <xdr:pic>
      <xdr:nvPicPr>
        <xdr:cNvPr id="2" name="Picture 1" descr="PIAS.png">
          <a:extLst>
            <a:ext uri="{FF2B5EF4-FFF2-40B4-BE49-F238E27FC236}">
              <a16:creationId xmlns:a16="http://schemas.microsoft.com/office/drawing/2014/main" id="{C4A4CF8E-0CE7-4B53-B34F-8D30CCD9A440}"/>
            </a:ext>
          </a:extLst>
        </xdr:cNvPr>
        <xdr:cNvPicPr>
          <a:picLocks noChangeAspect="1"/>
        </xdr:cNvPicPr>
      </xdr:nvPicPr>
      <xdr:blipFill>
        <a:blip xmlns:r="http://schemas.openxmlformats.org/officeDocument/2006/relationships" r:embed="rId1" cstate="print"/>
        <a:stretch>
          <a:fillRect/>
        </a:stretch>
      </xdr:blipFill>
      <xdr:spPr>
        <a:xfrm>
          <a:off x="13496925" y="173038"/>
          <a:ext cx="1582625" cy="5777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2402479</xdr:colOff>
      <xdr:row>0</xdr:row>
      <xdr:rowOff>153854</xdr:rowOff>
    </xdr:from>
    <xdr:to>
      <xdr:col>12</xdr:col>
      <xdr:colOff>1582</xdr:colOff>
      <xdr:row>3</xdr:row>
      <xdr:rowOff>172316</xdr:rowOff>
    </xdr:to>
    <xdr:pic>
      <xdr:nvPicPr>
        <xdr:cNvPr id="2" name="Picture 1" descr="PIAS.png">
          <a:extLst>
            <a:ext uri="{FF2B5EF4-FFF2-40B4-BE49-F238E27FC236}">
              <a16:creationId xmlns:a16="http://schemas.microsoft.com/office/drawing/2014/main" id="{A3EC7C73-98DE-4CB9-8101-BD3238127BF4}"/>
            </a:ext>
          </a:extLst>
        </xdr:cNvPr>
        <xdr:cNvPicPr>
          <a:picLocks noChangeAspect="1"/>
        </xdr:cNvPicPr>
      </xdr:nvPicPr>
      <xdr:blipFill>
        <a:blip xmlns:r="http://schemas.openxmlformats.org/officeDocument/2006/relationships" r:embed="rId1" cstate="print"/>
        <a:stretch>
          <a:fillRect/>
        </a:stretch>
      </xdr:blipFill>
      <xdr:spPr>
        <a:xfrm>
          <a:off x="12371979" y="153854"/>
          <a:ext cx="1543574" cy="5675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141941</xdr:colOff>
      <xdr:row>0</xdr:row>
      <xdr:rowOff>45010</xdr:rowOff>
    </xdr:from>
    <xdr:to>
      <xdr:col>14</xdr:col>
      <xdr:colOff>1654239</xdr:colOff>
      <xdr:row>3</xdr:row>
      <xdr:rowOff>170108</xdr:rowOff>
    </xdr:to>
    <xdr:pic>
      <xdr:nvPicPr>
        <xdr:cNvPr id="2" name="Picture 1" descr="PIAS.png">
          <a:extLst>
            <a:ext uri="{FF2B5EF4-FFF2-40B4-BE49-F238E27FC236}">
              <a16:creationId xmlns:a16="http://schemas.microsoft.com/office/drawing/2014/main" id="{0DD7BB59-F17C-4957-9C6A-9DA733B305F2}"/>
            </a:ext>
          </a:extLst>
        </xdr:cNvPr>
        <xdr:cNvPicPr>
          <a:picLocks noChangeAspect="1"/>
        </xdr:cNvPicPr>
      </xdr:nvPicPr>
      <xdr:blipFill>
        <a:blip xmlns:r="http://schemas.openxmlformats.org/officeDocument/2006/relationships" r:embed="rId1" cstate="print"/>
        <a:stretch>
          <a:fillRect/>
        </a:stretch>
      </xdr:blipFill>
      <xdr:spPr>
        <a:xfrm>
          <a:off x="12647706" y="45010"/>
          <a:ext cx="1508488" cy="5615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14</xdr:col>
      <xdr:colOff>237067</xdr:colOff>
      <xdr:row>0</xdr:row>
      <xdr:rowOff>101599</xdr:rowOff>
    </xdr:from>
    <xdr:to>
      <xdr:col>14</xdr:col>
      <xdr:colOff>1769050</xdr:colOff>
      <xdr:row>4</xdr:row>
      <xdr:rowOff>22078</xdr:rowOff>
    </xdr:to>
    <xdr:pic>
      <xdr:nvPicPr>
        <xdr:cNvPr id="2" name="Picture 1" descr="PIAS.png">
          <a:extLst>
            <a:ext uri="{FF2B5EF4-FFF2-40B4-BE49-F238E27FC236}">
              <a16:creationId xmlns:a16="http://schemas.microsoft.com/office/drawing/2014/main" id="{2FDB7C9A-4725-4923-B850-880777AB91E2}"/>
            </a:ext>
          </a:extLst>
        </xdr:cNvPr>
        <xdr:cNvPicPr>
          <a:picLocks noChangeAspect="1"/>
        </xdr:cNvPicPr>
      </xdr:nvPicPr>
      <xdr:blipFill>
        <a:blip xmlns:r="http://schemas.openxmlformats.org/officeDocument/2006/relationships" r:embed="rId1" cstate="print"/>
        <a:stretch>
          <a:fillRect/>
        </a:stretch>
      </xdr:blipFill>
      <xdr:spPr>
        <a:xfrm>
          <a:off x="11565467" y="101599"/>
          <a:ext cx="1526268" cy="58638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74706</xdr:colOff>
      <xdr:row>0</xdr:row>
      <xdr:rowOff>156510</xdr:rowOff>
    </xdr:from>
    <xdr:to>
      <xdr:col>14</xdr:col>
      <xdr:colOff>1621929</xdr:colOff>
      <xdr:row>3</xdr:row>
      <xdr:rowOff>179558</xdr:rowOff>
    </xdr:to>
    <xdr:pic>
      <xdr:nvPicPr>
        <xdr:cNvPr id="2" name="Picture 1" descr="PIAS.png">
          <a:extLst>
            <a:ext uri="{FF2B5EF4-FFF2-40B4-BE49-F238E27FC236}">
              <a16:creationId xmlns:a16="http://schemas.microsoft.com/office/drawing/2014/main" id="{778A7A3E-D622-4E63-AB84-41E87B7DE1F7}"/>
            </a:ext>
          </a:extLst>
        </xdr:cNvPr>
        <xdr:cNvPicPr>
          <a:picLocks noChangeAspect="1"/>
        </xdr:cNvPicPr>
      </xdr:nvPicPr>
      <xdr:blipFill>
        <a:blip xmlns:r="http://schemas.openxmlformats.org/officeDocument/2006/relationships" r:embed="rId1" cstate="print"/>
        <a:stretch>
          <a:fillRect/>
        </a:stretch>
      </xdr:blipFill>
      <xdr:spPr>
        <a:xfrm>
          <a:off x="11579412" y="156510"/>
          <a:ext cx="1539603" cy="57041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1544048</xdr:colOff>
      <xdr:row>3</xdr:row>
      <xdr:rowOff>172209</xdr:rowOff>
    </xdr:to>
    <xdr:pic>
      <xdr:nvPicPr>
        <xdr:cNvPr id="2" name="Picture 1" descr="PIAS.png">
          <a:extLst>
            <a:ext uri="{FF2B5EF4-FFF2-40B4-BE49-F238E27FC236}">
              <a16:creationId xmlns:a16="http://schemas.microsoft.com/office/drawing/2014/main" id="{8748DDEE-2923-46FF-BC10-27CD024DCDDE}"/>
            </a:ext>
          </a:extLst>
        </xdr:cNvPr>
        <xdr:cNvPicPr>
          <a:picLocks noChangeAspect="1"/>
        </xdr:cNvPicPr>
      </xdr:nvPicPr>
      <xdr:blipFill>
        <a:blip xmlns:r="http://schemas.openxmlformats.org/officeDocument/2006/relationships" r:embed="rId1" cstate="print"/>
        <a:stretch>
          <a:fillRect/>
        </a:stretch>
      </xdr:blipFill>
      <xdr:spPr>
        <a:xfrm>
          <a:off x="12906375" y="228600"/>
          <a:ext cx="1540238" cy="56844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1537063</xdr:colOff>
      <xdr:row>3</xdr:row>
      <xdr:rowOff>165224</xdr:rowOff>
    </xdr:to>
    <xdr:pic>
      <xdr:nvPicPr>
        <xdr:cNvPr id="2" name="Picture 1" descr="PIAS.png">
          <a:extLst>
            <a:ext uri="{FF2B5EF4-FFF2-40B4-BE49-F238E27FC236}">
              <a16:creationId xmlns:a16="http://schemas.microsoft.com/office/drawing/2014/main" id="{B4EF7E29-14AF-4EE0-981C-AD67BEF7FA81}"/>
            </a:ext>
          </a:extLst>
        </xdr:cNvPr>
        <xdr:cNvPicPr>
          <a:picLocks noChangeAspect="1"/>
        </xdr:cNvPicPr>
      </xdr:nvPicPr>
      <xdr:blipFill>
        <a:blip xmlns:r="http://schemas.openxmlformats.org/officeDocument/2006/relationships" r:embed="rId1" cstate="print"/>
        <a:stretch>
          <a:fillRect/>
        </a:stretch>
      </xdr:blipFill>
      <xdr:spPr>
        <a:xfrm>
          <a:off x="11763375" y="228600"/>
          <a:ext cx="1543413" cy="571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5381625</xdr:colOff>
      <xdr:row>0</xdr:row>
      <xdr:rowOff>19050</xdr:rowOff>
    </xdr:from>
    <xdr:ext cx="7537" cy="400050"/>
    <xdr:pic>
      <xdr:nvPicPr>
        <xdr:cNvPr id="2" name="Picture 5" descr="PIAS logo">
          <a:extLst>
            <a:ext uri="{FF2B5EF4-FFF2-40B4-BE49-F238E27FC236}">
              <a16:creationId xmlns:a16="http://schemas.microsoft.com/office/drawing/2014/main" id="{774B1AC5-4655-46F1-AFE4-8A6B399996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97625" y="19050"/>
          <a:ext cx="7537" cy="400050"/>
        </a:xfrm>
        <a:prstGeom prst="rect">
          <a:avLst/>
        </a:prstGeom>
        <a:noFill/>
        <a:ln w="9525">
          <a:noFill/>
          <a:miter lim="800000"/>
          <a:headEnd/>
          <a:tailEnd/>
        </a:ln>
      </xdr:spPr>
    </xdr:pic>
    <xdr:clientData/>
  </xdr:oneCellAnchor>
  <xdr:oneCellAnchor>
    <xdr:from>
      <xdr:col>4</xdr:col>
      <xdr:colOff>351459</xdr:colOff>
      <xdr:row>0</xdr:row>
      <xdr:rowOff>38100</xdr:rowOff>
    </xdr:from>
    <xdr:ext cx="1828462" cy="704850"/>
    <xdr:pic>
      <xdr:nvPicPr>
        <xdr:cNvPr id="3" name="Picture 2" descr="PIAS.png">
          <a:extLst>
            <a:ext uri="{FF2B5EF4-FFF2-40B4-BE49-F238E27FC236}">
              <a16:creationId xmlns:a16="http://schemas.microsoft.com/office/drawing/2014/main" id="{8A077361-3868-4160-960E-B909B458B259}"/>
            </a:ext>
          </a:extLst>
        </xdr:cNvPr>
        <xdr:cNvPicPr>
          <a:picLocks noChangeAspect="1"/>
        </xdr:cNvPicPr>
      </xdr:nvPicPr>
      <xdr:blipFill>
        <a:blip xmlns:r="http://schemas.openxmlformats.org/officeDocument/2006/relationships" r:embed="rId2" cstate="print"/>
        <a:stretch>
          <a:fillRect/>
        </a:stretch>
      </xdr:blipFill>
      <xdr:spPr>
        <a:xfrm>
          <a:off x="7412659"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1337529</xdr:colOff>
      <xdr:row>0</xdr:row>
      <xdr:rowOff>96763</xdr:rowOff>
    </xdr:from>
    <xdr:to>
      <xdr:col>12</xdr:col>
      <xdr:colOff>932108</xdr:colOff>
      <xdr:row>0</xdr:row>
      <xdr:rowOff>703896</xdr:rowOff>
    </xdr:to>
    <xdr:pic>
      <xdr:nvPicPr>
        <xdr:cNvPr id="2" name="Picture 1" descr="PIAS.png">
          <a:extLst>
            <a:ext uri="{FF2B5EF4-FFF2-40B4-BE49-F238E27FC236}">
              <a16:creationId xmlns:a16="http://schemas.microsoft.com/office/drawing/2014/main" id="{CC5BAC7D-FC18-430B-B2D8-041DA01DC0B3}"/>
            </a:ext>
          </a:extLst>
        </xdr:cNvPr>
        <xdr:cNvPicPr>
          <a:picLocks noChangeAspect="1"/>
        </xdr:cNvPicPr>
      </xdr:nvPicPr>
      <xdr:blipFill>
        <a:blip xmlns:r="http://schemas.openxmlformats.org/officeDocument/2006/relationships" r:embed="rId1" cstate="print"/>
        <a:stretch>
          <a:fillRect/>
        </a:stretch>
      </xdr:blipFill>
      <xdr:spPr>
        <a:xfrm>
          <a:off x="14559640" y="96763"/>
          <a:ext cx="1315359" cy="6166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3553883</xdr:colOff>
      <xdr:row>1</xdr:row>
      <xdr:rowOff>228600</xdr:rowOff>
    </xdr:from>
    <xdr:to>
      <xdr:col>5</xdr:col>
      <xdr:colOff>5279541</xdr:colOff>
      <xdr:row>3</xdr:row>
      <xdr:rowOff>230834</xdr:rowOff>
    </xdr:to>
    <xdr:pic>
      <xdr:nvPicPr>
        <xdr:cNvPr id="2" name="Picture 1" descr="PIAS.png">
          <a:extLst>
            <a:ext uri="{FF2B5EF4-FFF2-40B4-BE49-F238E27FC236}">
              <a16:creationId xmlns:a16="http://schemas.microsoft.com/office/drawing/2014/main" id="{B6E9D6C9-0275-475D-90D0-54F6DFBC6F98}"/>
            </a:ext>
          </a:extLst>
        </xdr:cNvPr>
        <xdr:cNvPicPr>
          <a:picLocks noChangeAspect="1"/>
        </xdr:cNvPicPr>
      </xdr:nvPicPr>
      <xdr:blipFill>
        <a:blip xmlns:r="http://schemas.openxmlformats.org/officeDocument/2006/relationships" r:embed="rId1" cstate="print"/>
        <a:stretch>
          <a:fillRect/>
        </a:stretch>
      </xdr:blipFill>
      <xdr:spPr>
        <a:xfrm>
          <a:off x="11516783" y="228600"/>
          <a:ext cx="1737088" cy="6435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33617</xdr:colOff>
      <xdr:row>0</xdr:row>
      <xdr:rowOff>145304</xdr:rowOff>
    </xdr:from>
    <xdr:to>
      <xdr:col>8</xdr:col>
      <xdr:colOff>1449418</xdr:colOff>
      <xdr:row>2</xdr:row>
      <xdr:rowOff>287106</xdr:rowOff>
    </xdr:to>
    <xdr:pic>
      <xdr:nvPicPr>
        <xdr:cNvPr id="2" name="Picture 1" descr="PIAS.png">
          <a:extLst>
            <a:ext uri="{FF2B5EF4-FFF2-40B4-BE49-F238E27FC236}">
              <a16:creationId xmlns:a16="http://schemas.microsoft.com/office/drawing/2014/main" id="{3A7C1C85-6AB7-4DC4-97DF-17A8ED3453E5}"/>
            </a:ext>
          </a:extLst>
        </xdr:cNvPr>
        <xdr:cNvPicPr>
          <a:picLocks noChangeAspect="1"/>
        </xdr:cNvPicPr>
      </xdr:nvPicPr>
      <xdr:blipFill>
        <a:blip xmlns:r="http://schemas.openxmlformats.org/officeDocument/2006/relationships" r:embed="rId1" cstate="print"/>
        <a:stretch>
          <a:fillRect/>
        </a:stretch>
      </xdr:blipFill>
      <xdr:spPr>
        <a:xfrm>
          <a:off x="12851092" y="142129"/>
          <a:ext cx="1418976" cy="5253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0</xdr:colOff>
      <xdr:row>1</xdr:row>
      <xdr:rowOff>0</xdr:rowOff>
    </xdr:from>
    <xdr:to>
      <xdr:col>15</xdr:col>
      <xdr:colOff>1737088</xdr:colOff>
      <xdr:row>3</xdr:row>
      <xdr:rowOff>117</xdr:rowOff>
    </xdr:to>
    <xdr:pic>
      <xdr:nvPicPr>
        <xdr:cNvPr id="2" name="Picture 1" descr="PIAS.png">
          <a:extLst>
            <a:ext uri="{FF2B5EF4-FFF2-40B4-BE49-F238E27FC236}">
              <a16:creationId xmlns:a16="http://schemas.microsoft.com/office/drawing/2014/main" id="{7411F0FF-A17B-4D37-A3BA-00EF2EC829C9}"/>
            </a:ext>
          </a:extLst>
        </xdr:cNvPr>
        <xdr:cNvPicPr>
          <a:picLocks noChangeAspect="1"/>
        </xdr:cNvPicPr>
      </xdr:nvPicPr>
      <xdr:blipFill>
        <a:blip xmlns:r="http://schemas.openxmlformats.org/officeDocument/2006/relationships" r:embed="rId1" cstate="print"/>
        <a:stretch>
          <a:fillRect/>
        </a:stretch>
      </xdr:blipFill>
      <xdr:spPr>
        <a:xfrm>
          <a:off x="14516100" y="180975"/>
          <a:ext cx="1734548" cy="6382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2402479</xdr:colOff>
      <xdr:row>0</xdr:row>
      <xdr:rowOff>153854</xdr:rowOff>
    </xdr:from>
    <xdr:to>
      <xdr:col>12</xdr:col>
      <xdr:colOff>1582</xdr:colOff>
      <xdr:row>3</xdr:row>
      <xdr:rowOff>172316</xdr:rowOff>
    </xdr:to>
    <xdr:pic>
      <xdr:nvPicPr>
        <xdr:cNvPr id="2" name="Picture 1" descr="PIAS.png">
          <a:extLst>
            <a:ext uri="{FF2B5EF4-FFF2-40B4-BE49-F238E27FC236}">
              <a16:creationId xmlns:a16="http://schemas.microsoft.com/office/drawing/2014/main" id="{526752EA-11F3-4F1C-8F20-FE79F85FEB2B}"/>
            </a:ext>
          </a:extLst>
        </xdr:cNvPr>
        <xdr:cNvPicPr>
          <a:picLocks noChangeAspect="1"/>
        </xdr:cNvPicPr>
      </xdr:nvPicPr>
      <xdr:blipFill>
        <a:blip xmlns:r="http://schemas.openxmlformats.org/officeDocument/2006/relationships" r:embed="rId1" cstate="print"/>
        <a:stretch>
          <a:fillRect/>
        </a:stretch>
      </xdr:blipFill>
      <xdr:spPr>
        <a:xfrm>
          <a:off x="12384679" y="153854"/>
          <a:ext cx="1543574" cy="5675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709146</xdr:colOff>
      <xdr:row>0</xdr:row>
      <xdr:rowOff>170787</xdr:rowOff>
    </xdr:from>
    <xdr:to>
      <xdr:col>14</xdr:col>
      <xdr:colOff>1524586</xdr:colOff>
      <xdr:row>3</xdr:row>
      <xdr:rowOff>170075</xdr:rowOff>
    </xdr:to>
    <xdr:pic>
      <xdr:nvPicPr>
        <xdr:cNvPr id="2" name="Picture 1" descr="PIAS.png">
          <a:extLst>
            <a:ext uri="{FF2B5EF4-FFF2-40B4-BE49-F238E27FC236}">
              <a16:creationId xmlns:a16="http://schemas.microsoft.com/office/drawing/2014/main" id="{920E660E-B1DD-4FAD-A180-CA3518B33312}"/>
            </a:ext>
          </a:extLst>
        </xdr:cNvPr>
        <xdr:cNvPicPr>
          <a:picLocks noChangeAspect="1"/>
        </xdr:cNvPicPr>
      </xdr:nvPicPr>
      <xdr:blipFill>
        <a:blip xmlns:r="http://schemas.openxmlformats.org/officeDocument/2006/relationships" r:embed="rId1" cstate="print"/>
        <a:stretch>
          <a:fillRect/>
        </a:stretch>
      </xdr:blipFill>
      <xdr:spPr>
        <a:xfrm>
          <a:off x="14561671" y="170787"/>
          <a:ext cx="1545690" cy="5739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262466</xdr:colOff>
      <xdr:row>0</xdr:row>
      <xdr:rowOff>136920</xdr:rowOff>
    </xdr:from>
    <xdr:to>
      <xdr:col>14</xdr:col>
      <xdr:colOff>1810698</xdr:colOff>
      <xdr:row>3</xdr:row>
      <xdr:rowOff>171769</xdr:rowOff>
    </xdr:to>
    <xdr:pic>
      <xdr:nvPicPr>
        <xdr:cNvPr id="3" name="Picture 2" descr="PIAS.png">
          <a:extLst>
            <a:ext uri="{FF2B5EF4-FFF2-40B4-BE49-F238E27FC236}">
              <a16:creationId xmlns:a16="http://schemas.microsoft.com/office/drawing/2014/main" id="{CE1F9415-09DB-476F-8FFE-B241AD928808}"/>
            </a:ext>
          </a:extLst>
        </xdr:cNvPr>
        <xdr:cNvPicPr>
          <a:picLocks noChangeAspect="1"/>
        </xdr:cNvPicPr>
      </xdr:nvPicPr>
      <xdr:blipFill>
        <a:blip xmlns:r="http://schemas.openxmlformats.org/officeDocument/2006/relationships" r:embed="rId1" cstate="print"/>
        <a:stretch>
          <a:fillRect/>
        </a:stretch>
      </xdr:blipFill>
      <xdr:spPr>
        <a:xfrm>
          <a:off x="11827933" y="136920"/>
          <a:ext cx="1540612" cy="5633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g-s0007\product%20and%20research\Documents%20and%20Settings\User\Desktop\KEN\SP-WL\WHOLE%20LIFE\LPWhole%20Life%20with%20CI%20Benefit%20Comparison%20with%20Multiplier_15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Page"/>
      <sheetName val="Summary"/>
      <sheetName val="Highlights "/>
      <sheetName val="ProductSpecification"/>
      <sheetName val="DB Ratios"/>
      <sheetName val="D.B. Ratio (FNS)"/>
      <sheetName val="D.B. Ratio (MNS)"/>
      <sheetName val="C.V. Ratio (MNS)"/>
      <sheetName val="C.V. Ratio (FNS)"/>
      <sheetName val="M0"/>
      <sheetName val="M10"/>
      <sheetName val="M20"/>
      <sheetName val="M30"/>
      <sheetName val="M40"/>
      <sheetName val="M50"/>
      <sheetName val="F0"/>
      <sheetName val="F10"/>
      <sheetName val="F20"/>
      <sheetName val="F30"/>
      <sheetName val="F40"/>
      <sheetName val="F50"/>
      <sheetName val="Workspace"/>
      <sheetName val="D.B. Ratio (MNS30) "/>
      <sheetName val="C.V. Ratio (MNS30)"/>
      <sheetName val="50KSA"/>
      <sheetName val="100KSA"/>
      <sheetName val="250KSA"/>
      <sheetName val="500KSA"/>
      <sheetName val="M30_AGE60_20YR"/>
      <sheetName val="TotalDB@Inception"/>
      <sheetName val="TotalDB@Age60"/>
      <sheetName val="CV3.25"/>
      <sheetName val="CV4.75"/>
      <sheetName val="MPB Summary"/>
      <sheetName val="MPB_Line"/>
      <sheetName val="Line_DB_M0"/>
      <sheetName val="Line_DB_M30"/>
      <sheetName val="Appendix (CI Table)"/>
      <sheetName val="Disclaimer"/>
      <sheetName val="Charting"/>
    </sheetNames>
    <sheetDataSet>
      <sheetData sheetId="0"/>
      <sheetData sheetId="1" refreshError="1"/>
      <sheetData sheetId="2" refreshError="1"/>
      <sheetData sheetId="3" refreshError="1"/>
      <sheetData sheetId="4" refreshError="1"/>
      <sheetData sheetId="5" refreshError="1"/>
      <sheetData sheetId="6">
        <row r="20">
          <cell r="A20" t="str">
            <v>FNS 0</v>
          </cell>
          <cell r="B20">
            <v>14.245014245014245</v>
          </cell>
          <cell r="C20">
            <v>6.1907238194289675</v>
          </cell>
          <cell r="D20">
            <v>14.836795252225519</v>
          </cell>
          <cell r="E20">
            <v>9.025270758122744</v>
          </cell>
          <cell r="F20">
            <v>13.265798359864929</v>
          </cell>
          <cell r="G20">
            <v>12.338062924120914</v>
          </cell>
          <cell r="H20">
            <v>5.5988533548329302</v>
          </cell>
          <cell r="I20">
            <v>12.850167052171678</v>
          </cell>
        </row>
        <row r="21">
          <cell r="A21" t="str">
            <v>FNS10</v>
          </cell>
          <cell r="B21">
            <v>11.574074074074074</v>
          </cell>
          <cell r="C21">
            <v>5.1836032262746476</v>
          </cell>
          <cell r="D21">
            <v>11.210762331838565</v>
          </cell>
          <cell r="E21">
            <v>7.8277886497064575</v>
          </cell>
          <cell r="F21">
            <v>10.54245735096799</v>
          </cell>
          <cell r="G21">
            <v>10.01001001001001</v>
          </cell>
          <cell r="H21">
            <v>4.6899475663862082</v>
          </cell>
          <cell r="I21">
            <v>9.7068530382450007</v>
          </cell>
        </row>
        <row r="22">
          <cell r="A22" t="str">
            <v>FNS20</v>
          </cell>
          <cell r="B22">
            <v>8.0601826974744757</v>
          </cell>
          <cell r="C22">
            <v>4.1350336591739856</v>
          </cell>
          <cell r="D22">
            <v>7.7881619937694708</v>
          </cell>
          <cell r="E22">
            <v>5.4716568176843952</v>
          </cell>
          <cell r="F22">
            <v>7.1500071500071503</v>
          </cell>
          <cell r="G22">
            <v>6.9979006298110571</v>
          </cell>
          <cell r="H22">
            <v>3.7422068542260742</v>
          </cell>
          <cell r="I22">
            <v>6.7640692640692643</v>
          </cell>
        </row>
        <row r="23">
          <cell r="A23" t="str">
            <v>FNS30</v>
          </cell>
          <cell r="B23">
            <v>6.2604340567612686</v>
          </cell>
          <cell r="C23">
            <v>3.1770641385708296</v>
          </cell>
          <cell r="D23">
            <v>5.4957133435919978</v>
          </cell>
          <cell r="E23">
            <v>3.9123630672926448</v>
          </cell>
          <cell r="F23">
            <v>4.294149221685454</v>
          </cell>
          <cell r="G23">
            <v>5.4854635216675813</v>
          </cell>
          <cell r="H23">
            <v>2.8890044490668516</v>
          </cell>
          <cell r="I23">
            <v>4.7673531655225023</v>
          </cell>
        </row>
        <row r="24">
          <cell r="A24" t="str">
            <v>FNS40</v>
          </cell>
          <cell r="B24">
            <v>4.6425255338904368</v>
          </cell>
          <cell r="C24">
            <v>2.4345590526643814</v>
          </cell>
          <cell r="D24">
            <v>3.3835222466587718</v>
          </cell>
          <cell r="E24">
            <v>2.705293553755947</v>
          </cell>
          <cell r="F24">
            <v>2.4925224327018944</v>
          </cell>
          <cell r="G24">
            <v>4.1000410004100045</v>
          </cell>
          <cell r="H24">
            <v>2.2087049479408245</v>
          </cell>
          <cell r="I24">
            <v>2.9895366218236172</v>
          </cell>
        </row>
        <row r="25">
          <cell r="A25" t="str">
            <v>FNS50</v>
          </cell>
          <cell r="B25">
            <v>2.0938023450586263</v>
          </cell>
          <cell r="C25">
            <v>1.8026202888518752</v>
          </cell>
          <cell r="D25">
            <v>2.097800925925926</v>
          </cell>
          <cell r="E25">
            <v>1.6836231570339371</v>
          </cell>
          <cell r="F25">
            <v>1.9094901661256445</v>
          </cell>
          <cell r="G25">
            <v>1.8248841198583889</v>
          </cell>
          <cell r="H25">
            <v>1.5979546180888462</v>
          </cell>
          <cell r="I25" t="str">
            <v>N.A.</v>
          </cell>
        </row>
        <row r="31">
          <cell r="A31" t="str">
            <v>FNS 0</v>
          </cell>
          <cell r="B31">
            <v>14.245014245014245</v>
          </cell>
          <cell r="C31">
            <v>4.9525790555431737</v>
          </cell>
          <cell r="D31">
            <v>14.836795252225519</v>
          </cell>
          <cell r="E31">
            <v>9.025270758122744</v>
          </cell>
          <cell r="F31">
            <v>4.8239266763145201</v>
          </cell>
          <cell r="G31">
            <v>12.338062924120914</v>
          </cell>
          <cell r="H31">
            <v>4.479082683866344</v>
          </cell>
          <cell r="I31">
            <v>12.850167052171678</v>
          </cell>
        </row>
        <row r="32">
          <cell r="A32" t="str">
            <v>FNS10</v>
          </cell>
          <cell r="B32">
            <v>11.574074074074074</v>
          </cell>
          <cell r="C32">
            <v>5.1836032262746476</v>
          </cell>
          <cell r="D32">
            <v>11.210762331838565</v>
          </cell>
          <cell r="E32">
            <v>7.8277886497064575</v>
          </cell>
          <cell r="F32">
            <v>3.8336208548974509</v>
          </cell>
          <cell r="G32">
            <v>10.01001001001001</v>
          </cell>
          <cell r="H32">
            <v>4.6899475663862082</v>
          </cell>
          <cell r="I32">
            <v>9.7068530382450007</v>
          </cell>
        </row>
        <row r="33">
          <cell r="A33" t="str">
            <v>FNS20</v>
          </cell>
          <cell r="B33">
            <v>8.0601826974744757</v>
          </cell>
          <cell r="C33">
            <v>4.1350336591739856</v>
          </cell>
          <cell r="D33">
            <v>7.7881619937694708</v>
          </cell>
          <cell r="E33">
            <v>5.4716568176843952</v>
          </cell>
          <cell r="F33">
            <v>2.8600028600028602</v>
          </cell>
          <cell r="G33">
            <v>6.9979006298110571</v>
          </cell>
          <cell r="H33">
            <v>3.7422068542260742</v>
          </cell>
          <cell r="I33">
            <v>6.7640692640692643</v>
          </cell>
        </row>
        <row r="34">
          <cell r="A34" t="str">
            <v>FNS30</v>
          </cell>
          <cell r="B34">
            <v>6.2604340567612686</v>
          </cell>
          <cell r="C34">
            <v>3.1770641385708296</v>
          </cell>
          <cell r="D34">
            <v>5.4957133435919978</v>
          </cell>
          <cell r="E34">
            <v>3.9123630672926448</v>
          </cell>
          <cell r="F34">
            <v>2.147074610842727</v>
          </cell>
          <cell r="G34">
            <v>5.4854635216675813</v>
          </cell>
          <cell r="H34">
            <v>2.8890044490668516</v>
          </cell>
          <cell r="I34">
            <v>4.7673531655225023</v>
          </cell>
        </row>
        <row r="35">
          <cell r="A35" t="str">
            <v>FNS40</v>
          </cell>
          <cell r="B35">
            <v>4.6425255338904368</v>
          </cell>
          <cell r="C35">
            <v>2.4345590526643814</v>
          </cell>
          <cell r="D35">
            <v>3.3835222466587718</v>
          </cell>
          <cell r="E35">
            <v>2.705293553755947</v>
          </cell>
          <cell r="F35">
            <v>1.6616816218012629</v>
          </cell>
          <cell r="G35">
            <v>4.1000410004100045</v>
          </cell>
          <cell r="H35">
            <v>2.2087049479408245</v>
          </cell>
          <cell r="I35">
            <v>2.9895366218236172</v>
          </cell>
        </row>
        <row r="36">
          <cell r="A36" t="str">
            <v>FNS50</v>
          </cell>
          <cell r="B36">
            <v>2.0938023450586263</v>
          </cell>
          <cell r="C36">
            <v>1.8026202888518752</v>
          </cell>
          <cell r="D36">
            <v>2.097800925925926</v>
          </cell>
          <cell r="E36">
            <v>1.6836231570339371</v>
          </cell>
          <cell r="F36">
            <v>1.9094901661256445</v>
          </cell>
          <cell r="G36">
            <v>1.8248841198583889</v>
          </cell>
          <cell r="H36">
            <v>1.5979546180888462</v>
          </cell>
          <cell r="I36" t="str">
            <v>N.A.</v>
          </cell>
        </row>
        <row r="42">
          <cell r="A42" t="str">
            <v>FNS 0</v>
          </cell>
          <cell r="B42">
            <v>14.245014245014245</v>
          </cell>
          <cell r="C42">
            <v>6.419830126538395</v>
          </cell>
          <cell r="D42">
            <v>14.836795252225519</v>
          </cell>
          <cell r="E42">
            <v>10.236040914560769</v>
          </cell>
          <cell r="F42">
            <v>5.8433188615533043</v>
          </cell>
          <cell r="G42">
            <v>12.338062924120914</v>
          </cell>
          <cell r="H42">
            <v>5.8060557197885876</v>
          </cell>
          <cell r="I42">
            <v>12.850167052171678</v>
          </cell>
        </row>
        <row r="43">
          <cell r="A43" t="str">
            <v>FNS10</v>
          </cell>
          <cell r="B43">
            <v>11.574074074074074</v>
          </cell>
          <cell r="C43">
            <v>5.1836032262746476</v>
          </cell>
          <cell r="D43">
            <v>11.210762331838565</v>
          </cell>
          <cell r="E43">
            <v>8.6326418786692756</v>
          </cell>
          <cell r="F43">
            <v>4.5066896683917959</v>
          </cell>
          <cell r="G43">
            <v>10.01001001001001</v>
          </cell>
          <cell r="H43">
            <v>4.6899475663862082</v>
          </cell>
          <cell r="I43">
            <v>9.7068530382450007</v>
          </cell>
        </row>
        <row r="44">
          <cell r="A44" t="str">
            <v>FNS20</v>
          </cell>
          <cell r="B44">
            <v>8.0601826974744757</v>
          </cell>
          <cell r="C44">
            <v>4.1350336591739856</v>
          </cell>
          <cell r="D44">
            <v>7.7881619937694708</v>
          </cell>
          <cell r="E44">
            <v>5.9917268548916613</v>
          </cell>
          <cell r="F44">
            <v>3.8874302874302873</v>
          </cell>
          <cell r="G44">
            <v>6.9979006298110571</v>
          </cell>
          <cell r="H44">
            <v>3.7422068542260742</v>
          </cell>
          <cell r="I44">
            <v>6.7640692640692643</v>
          </cell>
        </row>
        <row r="45">
          <cell r="A45" t="str">
            <v>FNS30</v>
          </cell>
          <cell r="B45">
            <v>6.2604340567612686</v>
          </cell>
          <cell r="C45">
            <v>3.1770641385708296</v>
          </cell>
          <cell r="D45">
            <v>5.4957133435919978</v>
          </cell>
          <cell r="E45">
            <v>4.2359467918622844</v>
          </cell>
          <cell r="F45">
            <v>2.7217391304347824</v>
          </cell>
          <cell r="G45">
            <v>5.4854635216675813</v>
          </cell>
          <cell r="H45">
            <v>2.8890044490668516</v>
          </cell>
          <cell r="I45">
            <v>4.7673531655225023</v>
          </cell>
        </row>
        <row r="46">
          <cell r="A46" t="str">
            <v>FNS40</v>
          </cell>
          <cell r="B46">
            <v>4.6425255338904368</v>
          </cell>
          <cell r="C46">
            <v>2.4345590526643814</v>
          </cell>
          <cell r="D46">
            <v>3.3835222466587718</v>
          </cell>
          <cell r="E46">
            <v>2.8967577644865528</v>
          </cell>
          <cell r="F46">
            <v>1.964506480558325</v>
          </cell>
          <cell r="G46">
            <v>4.1000410004100045</v>
          </cell>
          <cell r="H46">
            <v>2.2087049479408245</v>
          </cell>
          <cell r="I46">
            <v>2.9895366218236172</v>
          </cell>
        </row>
        <row r="47">
          <cell r="A47" t="str">
            <v>FNS50</v>
          </cell>
          <cell r="B47">
            <v>2.0938023450586263</v>
          </cell>
          <cell r="C47">
            <v>1.8026202888518752</v>
          </cell>
          <cell r="D47">
            <v>2.097800925925926</v>
          </cell>
          <cell r="E47">
            <v>1.780041850061332</v>
          </cell>
          <cell r="F47">
            <v>1.9094901661256445</v>
          </cell>
          <cell r="G47">
            <v>1.8248841198583889</v>
          </cell>
          <cell r="H47">
            <v>1.5979546180888462</v>
          </cell>
          <cell r="I47" t="str">
            <v>N.A.</v>
          </cell>
        </row>
        <row r="53">
          <cell r="A53" t="str">
            <v>FNS 0</v>
          </cell>
          <cell r="B53">
            <v>14.245014245014245</v>
          </cell>
          <cell r="C53">
            <v>19.137607409058266</v>
          </cell>
          <cell r="D53">
            <v>16.674362017804153</v>
          </cell>
          <cell r="E53">
            <v>12.117418772563177</v>
          </cell>
          <cell r="F53">
            <v>11.61041968162084</v>
          </cell>
          <cell r="G53">
            <v>12.338062924120914</v>
          </cell>
          <cell r="H53">
            <v>17.307936934515812</v>
          </cell>
          <cell r="I53">
            <v>14.441685941917244</v>
          </cell>
        </row>
        <row r="54">
          <cell r="A54" t="str">
            <v>FNS10</v>
          </cell>
          <cell r="B54">
            <v>11.574074074074074</v>
          </cell>
          <cell r="C54">
            <v>12.261917103817206</v>
          </cell>
          <cell r="D54">
            <v>11.210762331838565</v>
          </cell>
          <cell r="E54">
            <v>9.8535159817351605</v>
          </cell>
          <cell r="F54">
            <v>8.2177496645581751</v>
          </cell>
          <cell r="G54">
            <v>10.01001001001001</v>
          </cell>
          <cell r="H54">
            <v>11.094164767237903</v>
          </cell>
          <cell r="I54">
            <v>9.7068530382450007</v>
          </cell>
        </row>
        <row r="55">
          <cell r="A55" t="str">
            <v>FNS20</v>
          </cell>
          <cell r="B55">
            <v>8.0601826974744757</v>
          </cell>
          <cell r="C55">
            <v>7.6696273507666355</v>
          </cell>
          <cell r="D55">
            <v>7.7881619937694708</v>
          </cell>
          <cell r="E55">
            <v>6.7656817684394834</v>
          </cell>
          <cell r="F55">
            <v>6.5792935792935792</v>
          </cell>
          <cell r="G55">
            <v>6.9979006298110571</v>
          </cell>
          <cell r="H55">
            <v>6.941015335563689</v>
          </cell>
          <cell r="I55">
            <v>6.7640692640692643</v>
          </cell>
        </row>
        <row r="56">
          <cell r="A56" t="str">
            <v>FNS30</v>
          </cell>
          <cell r="B56">
            <v>6.2604340567612686</v>
          </cell>
          <cell r="C56">
            <v>4.8491148699309941</v>
          </cell>
          <cell r="D56">
            <v>5.4957133435919978</v>
          </cell>
          <cell r="E56">
            <v>4.7082003129890451</v>
          </cell>
          <cell r="F56">
            <v>3.9745571658615138</v>
          </cell>
          <cell r="G56">
            <v>5.4854635216675813</v>
          </cell>
          <cell r="H56">
            <v>4.4094528225573466</v>
          </cell>
          <cell r="I56">
            <v>4.7673531655225023</v>
          </cell>
        </row>
        <row r="57">
          <cell r="A57" t="str">
            <v>FNS40</v>
          </cell>
          <cell r="B57">
            <v>4.6425255338904368</v>
          </cell>
          <cell r="C57">
            <v>3.1632517918354628</v>
          </cell>
          <cell r="D57">
            <v>3.3835222466587718</v>
          </cell>
          <cell r="E57">
            <v>3.1742150237889399</v>
          </cell>
          <cell r="F57">
            <v>2.4066467264872049</v>
          </cell>
          <cell r="G57">
            <v>4.1000410004100045</v>
          </cell>
          <cell r="H57">
            <v>2.8697968433188885</v>
          </cell>
          <cell r="I57">
            <v>2.9895366218236172</v>
          </cell>
        </row>
        <row r="58">
          <cell r="A58" t="str">
            <v>FNS50</v>
          </cell>
          <cell r="B58">
            <v>2.0938023450586263</v>
          </cell>
          <cell r="C58">
            <v>1.8901987929654547</v>
          </cell>
          <cell r="D58">
            <v>2.097800925925926</v>
          </cell>
          <cell r="E58">
            <v>1.9134232869134378</v>
          </cell>
          <cell r="F58">
            <v>1.9094901661256445</v>
          </cell>
          <cell r="G58">
            <v>1.8248841198583889</v>
          </cell>
          <cell r="H58">
            <v>1.6755896452540748</v>
          </cell>
          <cell r="I58" t="str">
            <v>N.A.</v>
          </cell>
        </row>
        <row r="75">
          <cell r="A75" t="str">
            <v>FNS 0</v>
          </cell>
          <cell r="B75">
            <v>7.9957356076759059</v>
          </cell>
          <cell r="C75">
            <v>11.904761904761905</v>
          </cell>
          <cell r="D75">
            <v>10.668563300142248</v>
          </cell>
          <cell r="E75">
            <v>6.0913705583756341</v>
          </cell>
          <cell r="F75">
            <v>4.8801436714296873</v>
          </cell>
          <cell r="G75">
            <v>11.111111111111111</v>
          </cell>
          <cell r="H75">
            <v>10.721247563352826</v>
          </cell>
          <cell r="I75">
            <v>9.3095422808378583</v>
          </cell>
          <cell r="J75">
            <v>4.3335066736002776</v>
          </cell>
          <cell r="K75">
            <v>9.6993210475266736</v>
          </cell>
        </row>
        <row r="76">
          <cell r="A76" t="str">
            <v>FNS10</v>
          </cell>
          <cell r="B76">
            <v>6.8933823529411766</v>
          </cell>
          <cell r="C76">
            <v>9.4893029675638374</v>
          </cell>
          <cell r="D76">
            <v>8.6705202312138727</v>
          </cell>
          <cell r="E76">
            <v>4.8859934853420199</v>
          </cell>
          <cell r="F76">
            <v>4.0728552344335469</v>
          </cell>
          <cell r="G76">
            <v>8.4118438761776577</v>
          </cell>
          <cell r="H76">
            <v>8.5470085470085468</v>
          </cell>
          <cell r="I76">
            <v>7.5757575757575761</v>
          </cell>
          <cell r="J76">
            <v>3.7038408829956664</v>
          </cell>
          <cell r="K76">
            <v>7.3421439060205582</v>
          </cell>
        </row>
        <row r="77">
          <cell r="A77" t="str">
            <v>FNS20</v>
          </cell>
          <cell r="B77">
            <v>4.8885412592882282</v>
          </cell>
          <cell r="C77">
            <v>6.4366632337796084</v>
          </cell>
          <cell r="D77">
            <v>6.0704168352893566</v>
          </cell>
          <cell r="E77">
            <v>3.7759597230962871</v>
          </cell>
          <cell r="F77">
            <v>3.2631963661045269</v>
          </cell>
          <cell r="G77">
            <v>5.8657907085875172</v>
          </cell>
          <cell r="H77">
            <v>5.7870370370370372</v>
          </cell>
          <cell r="I77">
            <v>5.3097345132743365</v>
          </cell>
          <cell r="J77">
            <v>2.9479393903661339</v>
          </cell>
          <cell r="K77">
            <v>5.13083632632119</v>
          </cell>
        </row>
        <row r="78">
          <cell r="A78" t="str">
            <v>FNS30</v>
          </cell>
          <cell r="B78">
            <v>3.5330695308083664</v>
          </cell>
          <cell r="C78">
            <v>3.8446751249519417</v>
          </cell>
          <cell r="D78">
            <v>4.804612427930814</v>
          </cell>
          <cell r="E78">
            <v>2.8639618138424821</v>
          </cell>
          <cell r="F78">
            <v>2.5431315104166665</v>
          </cell>
          <cell r="G78">
            <v>4.2186972662841713</v>
          </cell>
          <cell r="H78">
            <v>3.4349506225848003</v>
          </cell>
          <cell r="I78">
            <v>4.2372881355932206</v>
          </cell>
          <cell r="J78">
            <v>2.2928417480625489</v>
          </cell>
          <cell r="K78">
            <v>3.6845983787767134</v>
          </cell>
        </row>
        <row r="79">
          <cell r="A79" t="str">
            <v>FNS40</v>
          </cell>
          <cell r="B79">
            <v>2.4765801658231936</v>
          </cell>
          <cell r="C79">
            <v>2.2156573116691285</v>
          </cell>
          <cell r="D79">
            <v>3.5394053798961775</v>
          </cell>
          <cell r="E79">
            <v>1.874136910633261</v>
          </cell>
          <cell r="F79">
            <v>1.9345952052992432</v>
          </cell>
          <cell r="G79">
            <v>2.5799793601651189</v>
          </cell>
          <cell r="H79">
            <v>1.9639934533551555</v>
          </cell>
          <cell r="I79">
            <v>3.0800821355236141</v>
          </cell>
          <cell r="J79">
            <v>1.7473963793947018</v>
          </cell>
          <cell r="K79" t="str">
            <v>N.A.</v>
          </cell>
        </row>
        <row r="80">
          <cell r="A80" t="str">
            <v>FNS50</v>
          </cell>
          <cell r="B80">
            <v>1.4874628134296644</v>
          </cell>
          <cell r="C80" t="str">
            <v>N.A.</v>
          </cell>
          <cell r="D80">
            <v>2.0505249343832022</v>
          </cell>
          <cell r="E80">
            <v>1.1846336097478423</v>
          </cell>
          <cell r="F80">
            <v>1.3678992350707477</v>
          </cell>
          <cell r="G80" t="str">
            <v>N.A.</v>
          </cell>
          <cell r="H80" t="str">
            <v>N.A.</v>
          </cell>
          <cell r="I80">
            <v>1.8889308651303363</v>
          </cell>
          <cell r="J80">
            <v>1.2138721307097511</v>
          </cell>
          <cell r="K80" t="str">
            <v>N.A.</v>
          </cell>
        </row>
        <row r="86">
          <cell r="A86" t="str">
            <v>FNS 0</v>
          </cell>
          <cell r="B86">
            <v>7.9957356076759059</v>
          </cell>
          <cell r="C86">
            <v>4.329004329004329</v>
          </cell>
          <cell r="D86">
            <v>10.668563300142248</v>
          </cell>
          <cell r="E86">
            <v>2.5380710659898478</v>
          </cell>
          <cell r="F86">
            <v>3.9041149371437496</v>
          </cell>
          <cell r="G86">
            <v>11.111111111111111</v>
          </cell>
          <cell r="H86">
            <v>3.8986354775828458</v>
          </cell>
          <cell r="I86">
            <v>9.3095422808378583</v>
          </cell>
          <cell r="J86">
            <v>3.466805338880222</v>
          </cell>
          <cell r="K86">
            <v>9.6993210475266736</v>
          </cell>
        </row>
        <row r="87">
          <cell r="A87" t="str">
            <v>FNS10</v>
          </cell>
          <cell r="B87">
            <v>6.8933823529411766</v>
          </cell>
          <cell r="C87">
            <v>3.4506556245686681</v>
          </cell>
          <cell r="D87">
            <v>8.6705202312138727</v>
          </cell>
          <cell r="E87">
            <v>2.0358306188925082</v>
          </cell>
          <cell r="F87">
            <v>4.0728552344335469</v>
          </cell>
          <cell r="G87">
            <v>8.4118438761776577</v>
          </cell>
          <cell r="H87">
            <v>3.1080031080031079</v>
          </cell>
          <cell r="I87">
            <v>7.5757575757575761</v>
          </cell>
          <cell r="J87">
            <v>3.7038408829956664</v>
          </cell>
          <cell r="K87">
            <v>7.3421439060205582</v>
          </cell>
        </row>
        <row r="88">
          <cell r="A88" t="str">
            <v>FNS20</v>
          </cell>
          <cell r="B88">
            <v>4.8885412592882282</v>
          </cell>
          <cell r="C88">
            <v>2.5746652935118433</v>
          </cell>
          <cell r="D88">
            <v>6.0704168352893566</v>
          </cell>
          <cell r="E88">
            <v>1.5733165512901195</v>
          </cell>
          <cell r="F88">
            <v>3.2631963661045269</v>
          </cell>
          <cell r="G88">
            <v>5.8657907085875172</v>
          </cell>
          <cell r="H88">
            <v>2.3148148148148149</v>
          </cell>
          <cell r="I88">
            <v>5.3097345132743365</v>
          </cell>
          <cell r="J88">
            <v>2.9479393903661339</v>
          </cell>
          <cell r="K88">
            <v>5.13083632632119</v>
          </cell>
        </row>
        <row r="89">
          <cell r="A89" t="str">
            <v>FNS30</v>
          </cell>
          <cell r="B89">
            <v>3.5330695308083664</v>
          </cell>
          <cell r="C89">
            <v>1.9223375624759709</v>
          </cell>
          <cell r="D89">
            <v>4.804612427930814</v>
          </cell>
          <cell r="E89">
            <v>1.1933174224343674</v>
          </cell>
          <cell r="F89">
            <v>2.5431315104166665</v>
          </cell>
          <cell r="G89">
            <v>4.2186972662841713</v>
          </cell>
          <cell r="H89">
            <v>1.7174753112924002</v>
          </cell>
          <cell r="I89">
            <v>4.2372881355932206</v>
          </cell>
          <cell r="J89">
            <v>2.2928417480625489</v>
          </cell>
          <cell r="K89">
            <v>3.6845983787767134</v>
          </cell>
        </row>
        <row r="90">
          <cell r="A90" t="str">
            <v>FNS40</v>
          </cell>
          <cell r="B90">
            <v>2.4765801658231936</v>
          </cell>
          <cell r="C90">
            <v>1.4771048744460857</v>
          </cell>
          <cell r="D90">
            <v>3.5394053798961775</v>
          </cell>
          <cell r="E90">
            <v>0.98638784770171628</v>
          </cell>
          <cell r="F90">
            <v>1.9345952052992432</v>
          </cell>
          <cell r="G90">
            <v>2.5799793601651189</v>
          </cell>
          <cell r="H90">
            <v>1.3093289689034371</v>
          </cell>
          <cell r="I90">
            <v>3.0800821355236141</v>
          </cell>
          <cell r="J90">
            <v>1.7473963793947018</v>
          </cell>
          <cell r="K90" t="str">
            <v>N.A.</v>
          </cell>
        </row>
        <row r="91">
          <cell r="A91" t="str">
            <v>FNS50</v>
          </cell>
          <cell r="B91">
            <v>1.4874628134296644</v>
          </cell>
          <cell r="C91" t="str">
            <v>N.A.</v>
          </cell>
          <cell r="D91">
            <v>2.0505249343832022</v>
          </cell>
          <cell r="E91">
            <v>0.8461668641056016</v>
          </cell>
          <cell r="F91">
            <v>1.3678992350707477</v>
          </cell>
          <cell r="G91" t="str">
            <v>N.A.</v>
          </cell>
          <cell r="H91" t="str">
            <v>N.A.</v>
          </cell>
          <cell r="I91">
            <v>1.8889308651303363</v>
          </cell>
          <cell r="J91">
            <v>1.2138721307097511</v>
          </cell>
          <cell r="K91" t="str">
            <v>N.A.</v>
          </cell>
        </row>
        <row r="97">
          <cell r="A97" t="str">
            <v>FNS 0</v>
          </cell>
          <cell r="B97">
            <v>9.1896588486140729</v>
          </cell>
          <cell r="C97">
            <v>5.2438095238095235</v>
          </cell>
          <cell r="D97">
            <v>10.668563300142248</v>
          </cell>
          <cell r="E97">
            <v>7.186548223350254</v>
          </cell>
          <cell r="F97">
            <v>5.0607480284219566</v>
          </cell>
          <cell r="G97">
            <v>11.111111111111111</v>
          </cell>
          <cell r="H97">
            <v>4.7224951267056534</v>
          </cell>
          <cell r="I97">
            <v>9.3095422808378583</v>
          </cell>
          <cell r="J97">
            <v>4.4938810885768765</v>
          </cell>
          <cell r="K97">
            <v>9.6993210475266736</v>
          </cell>
        </row>
        <row r="98">
          <cell r="A98" t="str">
            <v>FNS10</v>
          </cell>
          <cell r="B98">
            <v>7.6767233455882353</v>
          </cell>
          <cell r="C98">
            <v>4.056487232574189</v>
          </cell>
          <cell r="D98">
            <v>8.6705202312138727</v>
          </cell>
          <cell r="E98">
            <v>5.0614820846905539</v>
          </cell>
          <cell r="F98">
            <v>4.0728552344335469</v>
          </cell>
          <cell r="G98">
            <v>8.4118438761776577</v>
          </cell>
          <cell r="H98">
            <v>3.6536752136752138</v>
          </cell>
          <cell r="I98">
            <v>7.5757575757575761</v>
          </cell>
          <cell r="J98">
            <v>3.7038408829956664</v>
          </cell>
          <cell r="K98">
            <v>7.3421439060205582</v>
          </cell>
        </row>
        <row r="99">
          <cell r="A99" t="str">
            <v>FNS20</v>
          </cell>
          <cell r="B99">
            <v>5.4285686351192801</v>
          </cell>
          <cell r="C99">
            <v>3.4995880535530381</v>
          </cell>
          <cell r="D99">
            <v>6.0704168352893566</v>
          </cell>
          <cell r="E99">
            <v>3.4089364380113278</v>
          </cell>
          <cell r="F99">
            <v>3.2631963661045269</v>
          </cell>
          <cell r="G99">
            <v>5.8657907085875172</v>
          </cell>
          <cell r="H99">
            <v>2.6409259259259259</v>
          </cell>
          <cell r="I99">
            <v>5.3097345132743365</v>
          </cell>
          <cell r="J99">
            <v>2.9479393903661339</v>
          </cell>
          <cell r="K99">
            <v>5.13083632632119</v>
          </cell>
        </row>
        <row r="100">
          <cell r="A100" t="str">
            <v>FNS30</v>
          </cell>
          <cell r="B100">
            <v>3.8512153759185979</v>
          </cell>
          <cell r="C100">
            <v>2.4368512110726646</v>
          </cell>
          <cell r="D100">
            <v>4.804612427930814</v>
          </cell>
          <cell r="E100">
            <v>2.2328400954653937</v>
          </cell>
          <cell r="F100">
            <v>2.5431315104166665</v>
          </cell>
          <cell r="G100">
            <v>4.2186972662841713</v>
          </cell>
          <cell r="H100">
            <v>2.1771575783598109</v>
          </cell>
          <cell r="I100">
            <v>4.2372881355932206</v>
          </cell>
          <cell r="J100">
            <v>2.2928417480625489</v>
          </cell>
          <cell r="K100">
            <v>3.6845983787767134</v>
          </cell>
        </row>
        <row r="101">
          <cell r="A101" t="str">
            <v>FNS40</v>
          </cell>
          <cell r="B101">
            <v>2.657079788952299</v>
          </cell>
          <cell r="C101">
            <v>1.7462924667651403</v>
          </cell>
          <cell r="D101">
            <v>3.5394053798961775</v>
          </cell>
          <cell r="E101">
            <v>1.4040441901755771</v>
          </cell>
          <cell r="F101">
            <v>1.9345952052992432</v>
          </cell>
          <cell r="G101">
            <v>2.5799793601651189</v>
          </cell>
          <cell r="H101">
            <v>1.4080916530278231</v>
          </cell>
          <cell r="I101">
            <v>3.0800821355236141</v>
          </cell>
          <cell r="J101">
            <v>1.7473963793947018</v>
          </cell>
          <cell r="K101" t="str">
            <v>N.A.</v>
          </cell>
        </row>
        <row r="102">
          <cell r="A102" t="str">
            <v>FNS50</v>
          </cell>
          <cell r="B102">
            <v>1.5702252443688909</v>
          </cell>
          <cell r="C102" t="str">
            <v>N.A.</v>
          </cell>
          <cell r="D102">
            <v>2.0505249343832022</v>
          </cell>
          <cell r="E102">
            <v>1.0017515654086986</v>
          </cell>
          <cell r="F102">
            <v>1.3678992350707477</v>
          </cell>
          <cell r="G102" t="str">
            <v>N.A.</v>
          </cell>
          <cell r="H102" t="str">
            <v>N.A.</v>
          </cell>
          <cell r="I102">
            <v>1.8889308651303363</v>
          </cell>
          <cell r="J102">
            <v>1.2138721307097511</v>
          </cell>
          <cell r="K102" t="str">
            <v>N.A.</v>
          </cell>
        </row>
        <row r="108">
          <cell r="A108" t="str">
            <v>FNS 0</v>
          </cell>
          <cell r="B108">
            <v>10.817777185501066</v>
          </cell>
          <cell r="C108">
            <v>10.053809523809523</v>
          </cell>
          <cell r="D108">
            <v>10.668563300142248</v>
          </cell>
          <cell r="E108">
            <v>14.831215621562157</v>
          </cell>
          <cell r="F108">
            <v>15.086163816662763</v>
          </cell>
          <cell r="G108">
            <v>12.487244444444444</v>
          </cell>
          <cell r="H108">
            <v>8.9446003898635471</v>
          </cell>
          <cell r="I108">
            <v>8.4865629420084865</v>
          </cell>
          <cell r="J108">
            <v>13.396325186340787</v>
          </cell>
          <cell r="K108">
            <v>10.900601357904947</v>
          </cell>
        </row>
        <row r="109">
          <cell r="A109" t="str">
            <v>FNS10</v>
          </cell>
          <cell r="B109">
            <v>8.7140625000000007</v>
          </cell>
          <cell r="C109">
            <v>7.160041407867495</v>
          </cell>
          <cell r="D109">
            <v>8.6705202312138727</v>
          </cell>
          <cell r="E109">
            <v>9.1144543973941374</v>
          </cell>
          <cell r="F109">
            <v>9.6344205141572452</v>
          </cell>
          <cell r="G109">
            <v>8.4118438761776577</v>
          </cell>
          <cell r="H109">
            <v>6.3779642579642584</v>
          </cell>
          <cell r="I109">
            <v>6.9124423963133639</v>
          </cell>
          <cell r="J109">
            <v>8.7615096855439099</v>
          </cell>
          <cell r="K109">
            <v>7.3421439060205582</v>
          </cell>
        </row>
        <row r="110">
          <cell r="A110" t="str">
            <v>FNS20</v>
          </cell>
          <cell r="B110">
            <v>6.1228783730934691</v>
          </cell>
          <cell r="C110">
            <v>5.7194129763130794</v>
          </cell>
          <cell r="D110">
            <v>6.0704168352893566</v>
          </cell>
          <cell r="E110">
            <v>5.7652139710509758</v>
          </cell>
          <cell r="F110">
            <v>6.0525505142797469</v>
          </cell>
          <cell r="G110">
            <v>5.8657907085875172</v>
          </cell>
          <cell r="H110">
            <v>4.2274305555555554</v>
          </cell>
          <cell r="I110">
            <v>4.8076923076923075</v>
          </cell>
          <cell r="J110">
            <v>5.4678143977359825</v>
          </cell>
          <cell r="K110">
            <v>5.13083632632119</v>
          </cell>
        </row>
        <row r="111">
          <cell r="A111" t="str">
            <v>FNS30</v>
          </cell>
          <cell r="B111">
            <v>4.2574053137365739</v>
          </cell>
          <cell r="C111">
            <v>3.4659169550173012</v>
          </cell>
          <cell r="D111">
            <v>4.804612427930814</v>
          </cell>
          <cell r="E111">
            <v>3.5120644391408113</v>
          </cell>
          <cell r="F111">
            <v>3.8815511067708335</v>
          </cell>
          <cell r="G111">
            <v>4.2186972662841713</v>
          </cell>
          <cell r="H111">
            <v>3.0413911550021466</v>
          </cell>
          <cell r="I111">
            <v>3.8597619813444837</v>
          </cell>
          <cell r="J111">
            <v>3.4995368459668916</v>
          </cell>
          <cell r="K111">
            <v>3.6845983787767134</v>
          </cell>
        </row>
        <row r="112">
          <cell r="A112" t="str">
            <v>FNS40</v>
          </cell>
          <cell r="B112">
            <v>2.882168622806073</v>
          </cell>
          <cell r="C112">
            <v>2.1043131462333826</v>
          </cell>
          <cell r="D112">
            <v>3.5394053798961775</v>
          </cell>
          <cell r="E112">
            <v>1.8431939238508581</v>
          </cell>
          <cell r="F112">
            <v>2.5136427653877704</v>
          </cell>
          <cell r="G112">
            <v>2.5799793601651189</v>
          </cell>
          <cell r="H112">
            <v>1.7292962356792143</v>
          </cell>
          <cell r="I112">
            <v>2.7662517289073305</v>
          </cell>
          <cell r="J112">
            <v>2.2704130845040891</v>
          </cell>
          <cell r="K112" t="str">
            <v>N.A.</v>
          </cell>
        </row>
        <row r="113">
          <cell r="A113" t="str">
            <v>FNS50</v>
          </cell>
          <cell r="B113">
            <v>1.6726391840203996</v>
          </cell>
          <cell r="C113" t="str">
            <v>N.A.</v>
          </cell>
          <cell r="D113">
            <v>2.0505249343832022</v>
          </cell>
          <cell r="E113">
            <v>1.1363090201387713</v>
          </cell>
          <cell r="F113">
            <v>1.434357251507425</v>
          </cell>
          <cell r="G113" t="str">
            <v>N.A.</v>
          </cell>
          <cell r="H113" t="str">
            <v>N.A.</v>
          </cell>
          <cell r="I113">
            <v>1.6084928422068521</v>
          </cell>
          <cell r="J113">
            <v>1.2728468943081537</v>
          </cell>
          <cell r="K113" t="str">
            <v>N.A.</v>
          </cell>
        </row>
      </sheetData>
      <sheetData sheetId="7">
        <row r="20">
          <cell r="A20" t="str">
            <v>MNS 0</v>
          </cell>
          <cell r="B20">
            <v>13.009540329575021</v>
          </cell>
          <cell r="C20">
            <v>5.4441323141917639</v>
          </cell>
          <cell r="D20">
            <v>13.550135501355014</v>
          </cell>
          <cell r="E20">
            <v>8.639308855291576</v>
          </cell>
          <cell r="F20">
            <v>11.889321227842629</v>
          </cell>
          <cell r="G20">
            <v>11.24859392575928</v>
          </cell>
          <cell r="H20">
            <v>4.9132323172768899</v>
          </cell>
          <cell r="I20">
            <v>11.720581340834505</v>
          </cell>
        </row>
        <row r="21">
          <cell r="A21" t="str">
            <v>MNS10</v>
          </cell>
          <cell r="B21">
            <v>10.552233556102708</v>
          </cell>
          <cell r="C21">
            <v>4.551992862475192</v>
          </cell>
          <cell r="D21">
            <v>10.21659174499387</v>
          </cell>
          <cell r="E21">
            <v>7.2020165646380985</v>
          </cell>
          <cell r="F21">
            <v>9.5287595287595295</v>
          </cell>
          <cell r="G21">
            <v>9.1365920511649161</v>
          </cell>
          <cell r="H21">
            <v>4.0804668054025379</v>
          </cell>
          <cell r="I21">
            <v>8.8464260438782727</v>
          </cell>
        </row>
        <row r="22">
          <cell r="A22" t="str">
            <v>MNS20</v>
          </cell>
          <cell r="B22">
            <v>7.2904009720534626</v>
          </cell>
          <cell r="C22">
            <v>3.6112555613335644</v>
          </cell>
          <cell r="D22">
            <v>7.0521861777150914</v>
          </cell>
          <cell r="E22">
            <v>4.936808846761453</v>
          </cell>
          <cell r="F22">
            <v>6.603275224511358</v>
          </cell>
          <cell r="G22">
            <v>6.3291139240506329</v>
          </cell>
          <cell r="H22">
            <v>3.268102017072565</v>
          </cell>
          <cell r="I22">
            <v>6.1251990689697413</v>
          </cell>
        </row>
        <row r="23">
          <cell r="A23" t="str">
            <v>MNS30</v>
          </cell>
          <cell r="B23">
            <v>5.6753688989784337</v>
          </cell>
          <cell r="C23">
            <v>2.8139527030829665</v>
          </cell>
          <cell r="D23">
            <v>4.9790878311093412</v>
          </cell>
          <cell r="E23">
            <v>3.4725839497169844</v>
          </cell>
          <cell r="F23">
            <v>4.1050903119868636</v>
          </cell>
          <cell r="G23">
            <v>4.9825610363726955</v>
          </cell>
          <cell r="H23">
            <v>2.5611867514931719</v>
          </cell>
          <cell r="I23">
            <v>4.3233895373973192</v>
          </cell>
        </row>
        <row r="24">
          <cell r="A24" t="str">
            <v>MNS40</v>
          </cell>
          <cell r="B24">
            <v>4.1724617524339358</v>
          </cell>
          <cell r="C24">
            <v>2.128438492384447</v>
          </cell>
          <cell r="D24">
            <v>3.0303030303030303</v>
          </cell>
          <cell r="E24">
            <v>2.4283504637621482</v>
          </cell>
          <cell r="F24">
            <v>2.3137436372049978</v>
          </cell>
          <cell r="G24">
            <v>3.6941263391207979</v>
          </cell>
          <cell r="H24">
            <v>1.9311580768755408</v>
          </cell>
          <cell r="I24">
            <v>2.6838432635534084</v>
          </cell>
        </row>
        <row r="25">
          <cell r="A25" t="str">
            <v>MNS50</v>
          </cell>
          <cell r="B25">
            <v>1.8708373868143382</v>
          </cell>
          <cell r="C25">
            <v>1.5543397164884356</v>
          </cell>
          <cell r="D25">
            <v>1.8678346000257633</v>
          </cell>
          <cell r="E25">
            <v>1.523660267293544</v>
          </cell>
          <cell r="F25">
            <v>1.639344262295082</v>
          </cell>
          <cell r="G25">
            <v>1.6261749113734674</v>
          </cell>
          <cell r="H25">
            <v>1.6216518481239166</v>
          </cell>
          <cell r="I25" t="str">
            <v>N.A.</v>
          </cell>
        </row>
        <row r="31">
          <cell r="A31" t="str">
            <v>MNS 0</v>
          </cell>
          <cell r="B31">
            <v>13.009540329575021</v>
          </cell>
          <cell r="C31">
            <v>4.3553058513534113</v>
          </cell>
          <cell r="D31">
            <v>13.550135501355014</v>
          </cell>
          <cell r="E31">
            <v>8.639308855291576</v>
          </cell>
          <cell r="F31">
            <v>4.3233895373973192</v>
          </cell>
          <cell r="G31">
            <v>11.24859392575928</v>
          </cell>
          <cell r="H31">
            <v>3.9305858538215119</v>
          </cell>
          <cell r="I31">
            <v>11.720581340834505</v>
          </cell>
        </row>
        <row r="32">
          <cell r="A32" t="str">
            <v>MNS10</v>
          </cell>
          <cell r="B32">
            <v>10.552233556102708</v>
          </cell>
          <cell r="C32">
            <v>4.551992862475192</v>
          </cell>
          <cell r="D32">
            <v>10.21659174499387</v>
          </cell>
          <cell r="E32">
            <v>7.2020165646380985</v>
          </cell>
          <cell r="F32">
            <v>3.4650034650034649</v>
          </cell>
          <cell r="G32">
            <v>9.1365920511649161</v>
          </cell>
          <cell r="H32">
            <v>4.0804668054025379</v>
          </cell>
          <cell r="I32">
            <v>8.8464260438782727</v>
          </cell>
        </row>
        <row r="33">
          <cell r="A33" t="str">
            <v>MNS20</v>
          </cell>
          <cell r="B33">
            <v>7.2904009720534626</v>
          </cell>
          <cell r="C33">
            <v>3.6112555613335644</v>
          </cell>
          <cell r="D33">
            <v>7.0521861777150914</v>
          </cell>
          <cell r="E33">
            <v>4.936808846761453</v>
          </cell>
          <cell r="F33">
            <v>2.6413100898045432</v>
          </cell>
          <cell r="G33">
            <v>6.3291139240506329</v>
          </cell>
          <cell r="H33">
            <v>3.268102017072565</v>
          </cell>
          <cell r="I33">
            <v>6.1251990689697413</v>
          </cell>
        </row>
        <row r="34">
          <cell r="A34" t="str">
            <v>MNS30</v>
          </cell>
          <cell r="B34">
            <v>5.6753688989784337</v>
          </cell>
          <cell r="C34">
            <v>2.8139527030829665</v>
          </cell>
          <cell r="D34">
            <v>4.9790878311093412</v>
          </cell>
          <cell r="E34">
            <v>3.4725839497169844</v>
          </cell>
          <cell r="F34">
            <v>2.0525451559934318</v>
          </cell>
          <cell r="G34">
            <v>4.9825610363726955</v>
          </cell>
          <cell r="H34">
            <v>2.5611867514931719</v>
          </cell>
          <cell r="I34">
            <v>4.3233895373973192</v>
          </cell>
        </row>
        <row r="35">
          <cell r="A35" t="str">
            <v>MNS40</v>
          </cell>
          <cell r="B35">
            <v>4.1724617524339358</v>
          </cell>
          <cell r="C35">
            <v>2.128438492384447</v>
          </cell>
          <cell r="D35">
            <v>3.0303030303030303</v>
          </cell>
          <cell r="E35">
            <v>2.4283504637621482</v>
          </cell>
          <cell r="F35">
            <v>1.5424957581366652</v>
          </cell>
          <cell r="G35">
            <v>3.6941263391207979</v>
          </cell>
          <cell r="H35">
            <v>1.9311580768755408</v>
          </cell>
          <cell r="I35">
            <v>2.6838432635534084</v>
          </cell>
        </row>
        <row r="36">
          <cell r="A36" t="str">
            <v>MNS50</v>
          </cell>
          <cell r="B36">
            <v>1.8708373868143382</v>
          </cell>
          <cell r="C36">
            <v>1.5543397164884356</v>
          </cell>
          <cell r="D36">
            <v>1.8678346000257633</v>
          </cell>
          <cell r="E36">
            <v>1.523660267293544</v>
          </cell>
          <cell r="F36">
            <v>1.639344262295082</v>
          </cell>
          <cell r="G36">
            <v>1.6261749113734674</v>
          </cell>
          <cell r="H36">
            <v>1.6216518481239166</v>
          </cell>
          <cell r="I36" t="str">
            <v>N.A.</v>
          </cell>
        </row>
        <row r="41">
          <cell r="A41" t="str">
            <v>MNS 0</v>
          </cell>
          <cell r="B41">
            <v>13.009540329575021</v>
          </cell>
          <cell r="C41">
            <v>5.6456087628753728</v>
          </cell>
          <cell r="D41">
            <v>13.550135501355014</v>
          </cell>
          <cell r="E41">
            <v>9.8869978401727856</v>
          </cell>
          <cell r="F41">
            <v>5.2370082144401211</v>
          </cell>
          <cell r="G41">
            <v>11.24859392575928</v>
          </cell>
          <cell r="H41">
            <v>5.0950612188746733</v>
          </cell>
          <cell r="I41">
            <v>11.720581340834505</v>
          </cell>
        </row>
        <row r="42">
          <cell r="A42" t="str">
            <v>MNS10</v>
          </cell>
          <cell r="B42">
            <v>10.552233556102708</v>
          </cell>
          <cell r="C42">
            <v>4.551992862475192</v>
          </cell>
          <cell r="D42">
            <v>10.21659174499387</v>
          </cell>
          <cell r="E42">
            <v>8.009746729084144</v>
          </cell>
          <cell r="F42">
            <v>4.0733541233541235</v>
          </cell>
          <cell r="G42">
            <v>9.1365920511649161</v>
          </cell>
          <cell r="H42">
            <v>4.0804668054025379</v>
          </cell>
          <cell r="I42">
            <v>8.8464260438782727</v>
          </cell>
        </row>
        <row r="43">
          <cell r="A43" t="str">
            <v>MNS20</v>
          </cell>
          <cell r="B43">
            <v>7.2904009720534626</v>
          </cell>
          <cell r="C43">
            <v>3.6112555613335644</v>
          </cell>
          <cell r="D43">
            <v>7.0521861777150914</v>
          </cell>
          <cell r="E43">
            <v>5.4968799368088463</v>
          </cell>
          <cell r="F43">
            <v>3.0134178552562072</v>
          </cell>
          <cell r="G43">
            <v>6.3291139240506329</v>
          </cell>
          <cell r="H43">
            <v>3.268102017072565</v>
          </cell>
          <cell r="I43">
            <v>6.1251990689697413</v>
          </cell>
        </row>
        <row r="44">
          <cell r="A44" t="str">
            <v>MNS30</v>
          </cell>
          <cell r="B44">
            <v>5.6753688989784337</v>
          </cell>
          <cell r="C44">
            <v>2.8139527030829665</v>
          </cell>
          <cell r="D44">
            <v>4.9790878311093412</v>
          </cell>
          <cell r="E44">
            <v>3.8209119005451955</v>
          </cell>
          <cell r="F44">
            <v>2.2725985221674878</v>
          </cell>
          <cell r="G44">
            <v>4.9825610363726955</v>
          </cell>
          <cell r="H44">
            <v>2.5611867514931719</v>
          </cell>
          <cell r="I44">
            <v>4.3233895373973192</v>
          </cell>
        </row>
        <row r="45">
          <cell r="A45" t="str">
            <v>MNS40</v>
          </cell>
          <cell r="B45">
            <v>4.1724617524339358</v>
          </cell>
          <cell r="C45">
            <v>2.128438492384447</v>
          </cell>
          <cell r="D45">
            <v>3.0303030303030303</v>
          </cell>
          <cell r="E45">
            <v>2.6238643502314853</v>
          </cell>
          <cell r="F45">
            <v>1.6574579669905907</v>
          </cell>
          <cell r="G45">
            <v>3.6941263391207979</v>
          </cell>
          <cell r="H45">
            <v>1.9311580768755408</v>
          </cell>
          <cell r="I45">
            <v>2.6838432635534084</v>
          </cell>
        </row>
        <row r="46">
          <cell r="A46" t="str">
            <v>MNS50</v>
          </cell>
          <cell r="B46">
            <v>1.8708373868143382</v>
          </cell>
          <cell r="C46">
            <v>1.5543397164884356</v>
          </cell>
          <cell r="D46">
            <v>1.8678346000257633</v>
          </cell>
          <cell r="E46">
            <v>1.6175351530190241</v>
          </cell>
          <cell r="F46">
            <v>1.639344262295082</v>
          </cell>
          <cell r="G46">
            <v>1.6261749113734674</v>
          </cell>
          <cell r="H46">
            <v>1.6216518481239166</v>
          </cell>
          <cell r="I46" t="str">
            <v>N.A</v>
          </cell>
        </row>
        <row r="52">
          <cell r="A52" t="str">
            <v>MNS 0</v>
          </cell>
          <cell r="B52">
            <v>13.009540329575021</v>
          </cell>
          <cell r="C52">
            <v>16.829642211624311</v>
          </cell>
          <cell r="D52">
            <v>15.228346883468834</v>
          </cell>
          <cell r="E52">
            <v>11.820964722822174</v>
          </cell>
          <cell r="F52">
            <v>10.405706874189365</v>
          </cell>
          <cell r="G52">
            <v>11.24859392575928</v>
          </cell>
          <cell r="H52">
            <v>15.188451938761473</v>
          </cell>
          <cell r="I52">
            <v>13.17219878105954</v>
          </cell>
        </row>
        <row r="53">
          <cell r="A53" t="str">
            <v>MNS10</v>
          </cell>
          <cell r="B53">
            <v>10.552233556102708</v>
          </cell>
          <cell r="C53">
            <v>10.767830156042315</v>
          </cell>
          <cell r="D53">
            <v>10.21659174499387</v>
          </cell>
          <cell r="E53">
            <v>9.2338494778537985</v>
          </cell>
          <cell r="F53">
            <v>7.4275814275814271</v>
          </cell>
          <cell r="G53">
            <v>9.1365920511649161</v>
          </cell>
          <cell r="H53">
            <v>9.6524258375158123</v>
          </cell>
          <cell r="I53">
            <v>8.8464260438782727</v>
          </cell>
        </row>
        <row r="54">
          <cell r="A54" t="str">
            <v>MNS20</v>
          </cell>
          <cell r="B54">
            <v>7.2904009720534626</v>
          </cell>
          <cell r="C54">
            <v>6.6981279251170047</v>
          </cell>
          <cell r="D54">
            <v>7.0521861777150914</v>
          </cell>
          <cell r="E54">
            <v>6.3314375987361773</v>
          </cell>
          <cell r="F54">
            <v>5.0134706814580028</v>
          </cell>
          <cell r="G54">
            <v>6.3291139240506329</v>
          </cell>
          <cell r="H54">
            <v>6.0616494764500573</v>
          </cell>
          <cell r="I54">
            <v>6.1251990689697413</v>
          </cell>
        </row>
        <row r="55">
          <cell r="A55" t="str">
            <v>MNS30</v>
          </cell>
          <cell r="B55">
            <v>5.6753688989784337</v>
          </cell>
          <cell r="C55">
            <v>4.2949022432830946</v>
          </cell>
          <cell r="D55">
            <v>4.9790878311093412</v>
          </cell>
          <cell r="E55">
            <v>4.3317567802201618</v>
          </cell>
          <cell r="F55">
            <v>3.3270935960591133</v>
          </cell>
          <cell r="G55">
            <v>4.9825610363726955</v>
          </cell>
          <cell r="H55">
            <v>3.9091086045630101</v>
          </cell>
          <cell r="I55">
            <v>4.3233895373973192</v>
          </cell>
        </row>
        <row r="56">
          <cell r="A56" t="str">
            <v>MNS40</v>
          </cell>
          <cell r="B56">
            <v>4.1724617524339358</v>
          </cell>
          <cell r="C56">
            <v>2.7655056744170206</v>
          </cell>
          <cell r="D56">
            <v>3.0303030303030303</v>
          </cell>
          <cell r="E56">
            <v>2.9083931182659466</v>
          </cell>
          <cell r="F56">
            <v>2.0541107511954344</v>
          </cell>
          <cell r="G56">
            <v>3.6941263391207979</v>
          </cell>
          <cell r="H56">
            <v>2.5091768631813127</v>
          </cell>
          <cell r="I56">
            <v>2.6838432635534084</v>
          </cell>
        </row>
        <row r="57">
          <cell r="A57" t="str">
            <v>MNS50</v>
          </cell>
          <cell r="B57">
            <v>1.8708373868143382</v>
          </cell>
          <cell r="C57">
            <v>1.62985575727431</v>
          </cell>
          <cell r="D57">
            <v>1.8678346000257633</v>
          </cell>
          <cell r="E57">
            <v>1.7481694310217231</v>
          </cell>
          <cell r="F57">
            <v>1.639344262295082</v>
          </cell>
          <cell r="G57">
            <v>1.6261749113734674</v>
          </cell>
          <cell r="H57">
            <v>1.6216518481239166</v>
          </cell>
          <cell r="I57" t="str">
            <v>N.A.</v>
          </cell>
        </row>
        <row r="73">
          <cell r="A73" t="str">
            <v>MNS 0</v>
          </cell>
          <cell r="B73">
            <v>7.8084331077563771</v>
          </cell>
          <cell r="C73">
            <v>10.667183863460046</v>
          </cell>
          <cell r="D73">
            <v>9.7339390006489293</v>
          </cell>
          <cell r="E73">
            <v>5.825242718446602</v>
          </cell>
          <cell r="F73">
            <v>4.2990782776172791</v>
          </cell>
          <cell r="G73">
            <v>10.137875101378752</v>
          </cell>
          <cell r="H73">
            <v>9.5902353966870102</v>
          </cell>
          <cell r="I73">
            <v>8.4865629420084865</v>
          </cell>
          <cell r="J73">
            <v>3.9041149371437496</v>
          </cell>
          <cell r="K73">
            <v>8.8417329796640143</v>
          </cell>
        </row>
        <row r="74">
          <cell r="A74" t="str">
            <v>MNS10</v>
          </cell>
          <cell r="B74">
            <v>6.5189048239895699</v>
          </cell>
          <cell r="C74">
            <v>8.5883822610868208</v>
          </cell>
          <cell r="D74">
            <v>7.9113924050632916</v>
          </cell>
          <cell r="E74">
            <v>4.61716044632551</v>
          </cell>
          <cell r="F74">
            <v>3.5404747068486944</v>
          </cell>
          <cell r="G74">
            <v>7.659313725490196</v>
          </cell>
          <cell r="H74">
            <v>7.7301475755446241</v>
          </cell>
          <cell r="I74">
            <v>6.9124423963133639</v>
          </cell>
          <cell r="J74">
            <v>3.2099637274098805</v>
          </cell>
          <cell r="K74">
            <v>6.6934404283801872</v>
          </cell>
        </row>
        <row r="75">
          <cell r="A75" t="str">
            <v>MNS20</v>
          </cell>
          <cell r="B75">
            <v>4.4154009184033907</v>
          </cell>
          <cell r="C75">
            <v>5.9438896814075131</v>
          </cell>
          <cell r="D75">
            <v>5.4904831625183013</v>
          </cell>
          <cell r="E75">
            <v>3.5874439461883409</v>
          </cell>
          <cell r="F75">
            <v>2.8660521850781859</v>
          </cell>
          <cell r="G75">
            <v>5.3168864313058277</v>
          </cell>
          <cell r="H75">
            <v>5.3504547886570357</v>
          </cell>
          <cell r="I75">
            <v>4.8076923076923075</v>
          </cell>
          <cell r="J75">
            <v>2.7868349915001533</v>
          </cell>
          <cell r="K75">
            <v>4.6511627906976747</v>
          </cell>
        </row>
        <row r="76">
          <cell r="A76" t="str">
            <v>MNS30</v>
          </cell>
          <cell r="B76">
            <v>3.1344032096288865</v>
          </cell>
          <cell r="C76">
            <v>3.6859565057132326</v>
          </cell>
          <cell r="D76">
            <v>4.369356248179435</v>
          </cell>
          <cell r="E76">
            <v>2.763067004374856</v>
          </cell>
          <cell r="F76">
            <v>2.2476759031161779</v>
          </cell>
          <cell r="G76">
            <v>3.8355323718932186</v>
          </cell>
          <cell r="H76">
            <v>3.3044196612969845</v>
          </cell>
          <cell r="I76">
            <v>3.8597619813444837</v>
          </cell>
          <cell r="J76">
            <v>2.0441119355695916</v>
          </cell>
          <cell r="K76">
            <v>3.3500837520938025</v>
          </cell>
        </row>
        <row r="77">
          <cell r="A77" t="str">
            <v>MNS40</v>
          </cell>
          <cell r="B77">
            <v>2.2174659185129482</v>
          </cell>
          <cell r="C77">
            <v>2.058177826564215</v>
          </cell>
          <cell r="D77">
            <v>3.1860662701784199</v>
          </cell>
          <cell r="E77">
            <v>1.8043684710351378</v>
          </cell>
          <cell r="F77">
            <v>1.6927806291727043</v>
          </cell>
          <cell r="G77">
            <v>2.3132084200786491</v>
          </cell>
          <cell r="H77">
            <v>1.8209408194233687</v>
          </cell>
          <cell r="I77">
            <v>2.7662517289073305</v>
          </cell>
          <cell r="J77">
            <v>1.5152203888055518</v>
          </cell>
          <cell r="K77" t="str">
            <v>N.A.</v>
          </cell>
        </row>
        <row r="78">
          <cell r="A78" t="str">
            <v>MNS50</v>
          </cell>
          <cell r="B78">
            <v>1.3332317537711413</v>
          </cell>
          <cell r="C78" t="str">
            <v>N.A.</v>
          </cell>
          <cell r="D78">
            <v>1.8477457501847745</v>
          </cell>
          <cell r="E78">
            <v>1.1406224539677368</v>
          </cell>
          <cell r="F78">
            <v>1.1428049003474128</v>
          </cell>
          <cell r="G78" t="str">
            <v>N.A.</v>
          </cell>
          <cell r="H78" t="str">
            <v>N.A.</v>
          </cell>
          <cell r="I78">
            <v>1.6084928422068521</v>
          </cell>
          <cell r="J78">
            <v>1.0008106566318717</v>
          </cell>
          <cell r="K78" t="str">
            <v>N.A.</v>
          </cell>
        </row>
        <row r="84">
          <cell r="A84" t="str">
            <v>MNS 0</v>
          </cell>
          <cell r="B84">
            <v>7.8084331077563771</v>
          </cell>
          <cell r="C84">
            <v>3.8789759503491079</v>
          </cell>
          <cell r="D84">
            <v>9.7339390006489293</v>
          </cell>
          <cell r="E84">
            <v>2.4271844660194173</v>
          </cell>
          <cell r="F84">
            <v>3.4392626220938229</v>
          </cell>
          <cell r="G84">
            <v>10.137875101378752</v>
          </cell>
          <cell r="H84">
            <v>3.4873583260680037</v>
          </cell>
          <cell r="I84">
            <v>8.4865629420084865</v>
          </cell>
          <cell r="J84">
            <v>3.1232919497149996</v>
          </cell>
          <cell r="K84">
            <v>8.8417329796640143</v>
          </cell>
        </row>
        <row r="85">
          <cell r="A85" t="str">
            <v>MNS10</v>
          </cell>
          <cell r="B85">
            <v>6.5189048239895699</v>
          </cell>
          <cell r="C85">
            <v>3.1230480949406623</v>
          </cell>
          <cell r="D85">
            <v>7.9113924050632916</v>
          </cell>
          <cell r="E85">
            <v>1.9238168526356292</v>
          </cell>
          <cell r="F85">
            <v>3.5404747068486944</v>
          </cell>
          <cell r="G85">
            <v>7.659313725490196</v>
          </cell>
          <cell r="H85">
            <v>2.8109627547434997</v>
          </cell>
          <cell r="I85">
            <v>6.9124423963133639</v>
          </cell>
          <cell r="J85">
            <v>3.2099637274098805</v>
          </cell>
          <cell r="K85">
            <v>6.6934404283801872</v>
          </cell>
        </row>
        <row r="86">
          <cell r="A86" t="str">
            <v>MNS20</v>
          </cell>
          <cell r="B86">
            <v>4.4154009184033907</v>
          </cell>
          <cell r="C86">
            <v>2.377555872563005</v>
          </cell>
          <cell r="D86">
            <v>5.4904831625183013</v>
          </cell>
          <cell r="E86">
            <v>1.4947683109118086</v>
          </cell>
          <cell r="F86">
            <v>2.8660521850781859</v>
          </cell>
          <cell r="G86">
            <v>5.3168864313058277</v>
          </cell>
          <cell r="H86">
            <v>2.1401819154628146</v>
          </cell>
          <cell r="I86">
            <v>4.8076923076923075</v>
          </cell>
          <cell r="J86">
            <v>2.7868349915001533</v>
          </cell>
          <cell r="K86">
            <v>4.6511627906976747</v>
          </cell>
        </row>
        <row r="87">
          <cell r="A87" t="str">
            <v>MNS30</v>
          </cell>
          <cell r="B87">
            <v>3.1344032096288865</v>
          </cell>
          <cell r="C87">
            <v>1.8429782528566163</v>
          </cell>
          <cell r="D87">
            <v>4.369356248179435</v>
          </cell>
          <cell r="E87">
            <v>1.1512779184895234</v>
          </cell>
          <cell r="F87">
            <v>2.2476759031161779</v>
          </cell>
          <cell r="G87">
            <v>3.8355323718932186</v>
          </cell>
          <cell r="H87">
            <v>1.6522098306484923</v>
          </cell>
          <cell r="I87">
            <v>3.8597619813444837</v>
          </cell>
          <cell r="J87">
            <v>2.0441119355695916</v>
          </cell>
          <cell r="K87">
            <v>3.3500837520938025</v>
          </cell>
        </row>
        <row r="88">
          <cell r="A88" t="str">
            <v>MNS40</v>
          </cell>
          <cell r="B88">
            <v>2.2174659185129482</v>
          </cell>
          <cell r="C88">
            <v>1.37211855104281</v>
          </cell>
          <cell r="D88">
            <v>3.1860662701784199</v>
          </cell>
          <cell r="E88">
            <v>0.94966761633428298</v>
          </cell>
          <cell r="F88">
            <v>1.6927806291727043</v>
          </cell>
          <cell r="G88">
            <v>2.3132084200786491</v>
          </cell>
          <cell r="H88">
            <v>1.2139605462822458</v>
          </cell>
          <cell r="I88">
            <v>2.7662517289073305</v>
          </cell>
          <cell r="J88">
            <v>1.5152203888055518</v>
          </cell>
          <cell r="K88" t="str">
            <v>N.A.</v>
          </cell>
        </row>
        <row r="89">
          <cell r="A89" t="str">
            <v>MNS50</v>
          </cell>
          <cell r="B89">
            <v>1.3332317537711413</v>
          </cell>
          <cell r="C89" t="str">
            <v>N.A.</v>
          </cell>
          <cell r="D89">
            <v>1.8477457501847745</v>
          </cell>
          <cell r="E89">
            <v>0.814730324262669</v>
          </cell>
          <cell r="F89">
            <v>1.1428049003474128</v>
          </cell>
          <cell r="G89" t="str">
            <v>N.A.</v>
          </cell>
          <cell r="H89" t="str">
            <v>N.A</v>
          </cell>
          <cell r="I89">
            <v>1.6084928422068521</v>
          </cell>
          <cell r="J89">
            <v>1.0008106566318717</v>
          </cell>
          <cell r="K89" t="str">
            <v>N.A.</v>
          </cell>
        </row>
        <row r="95">
          <cell r="A95" t="str">
            <v>MNS 0</v>
          </cell>
          <cell r="B95">
            <v>9.0399791775117126</v>
          </cell>
          <cell r="C95">
            <v>4.6986811481768811</v>
          </cell>
          <cell r="D95">
            <v>9.7339390006489293</v>
          </cell>
          <cell r="E95">
            <v>6.8725728155339807</v>
          </cell>
          <cell r="F95">
            <v>4.4581785665153388</v>
          </cell>
          <cell r="G95">
            <v>10.137875101378752</v>
          </cell>
          <cell r="H95">
            <v>4.2243068875326939</v>
          </cell>
          <cell r="I95">
            <v>8.4865629420084865</v>
          </cell>
          <cell r="J95">
            <v>4.0485984227375651</v>
          </cell>
          <cell r="K95">
            <v>8.8417329796640143</v>
          </cell>
        </row>
        <row r="96">
          <cell r="A96" t="str">
            <v>MNS10</v>
          </cell>
          <cell r="B96">
            <v>7.335962624945676</v>
          </cell>
          <cell r="C96">
            <v>3.6713616489693943</v>
          </cell>
          <cell r="D96">
            <v>7.9113924050632916</v>
          </cell>
          <cell r="E96">
            <v>4.782993459022701</v>
          </cell>
          <cell r="F96">
            <v>3.5404747068486944</v>
          </cell>
          <cell r="G96">
            <v>7.659313725490196</v>
          </cell>
          <cell r="H96">
            <v>3.3044834855938157</v>
          </cell>
          <cell r="I96">
            <v>6.9124423963133639</v>
          </cell>
          <cell r="J96">
            <v>3.2099637274098805</v>
          </cell>
          <cell r="K96">
            <v>6.6934404283801872</v>
          </cell>
        </row>
        <row r="97">
          <cell r="A97" t="str">
            <v>MNS20</v>
          </cell>
          <cell r="B97">
            <v>4.9905863652419642</v>
          </cell>
          <cell r="C97">
            <v>2.7125059438896812</v>
          </cell>
          <cell r="D97">
            <v>5.4904831625183013</v>
          </cell>
          <cell r="E97">
            <v>3.2387443946188341</v>
          </cell>
          <cell r="F97">
            <v>2.8660521850781859</v>
          </cell>
          <cell r="G97">
            <v>5.3168864313058277</v>
          </cell>
          <cell r="H97">
            <v>2.4416907437132158</v>
          </cell>
          <cell r="I97">
            <v>4.8076923076923075</v>
          </cell>
          <cell r="J97">
            <v>2.7868349915001533</v>
          </cell>
          <cell r="K97">
            <v>4.6511627906976747</v>
          </cell>
        </row>
        <row r="98">
          <cell r="A98" t="str">
            <v>MNS30</v>
          </cell>
          <cell r="B98">
            <v>3.4815320962888667</v>
          </cell>
          <cell r="C98">
            <v>2.0405639513453742</v>
          </cell>
          <cell r="D98">
            <v>4.369356248179435</v>
          </cell>
          <cell r="E98">
            <v>2.1541791388441172</v>
          </cell>
          <cell r="F98">
            <v>2.2476759031161779</v>
          </cell>
          <cell r="G98">
            <v>3.8355323718932186</v>
          </cell>
          <cell r="H98">
            <v>1.8293432465923172</v>
          </cell>
          <cell r="I98">
            <v>3.8597619813444837</v>
          </cell>
          <cell r="J98">
            <v>2.0441119355695916</v>
          </cell>
          <cell r="K98">
            <v>3.3500837520938025</v>
          </cell>
        </row>
        <row r="99">
          <cell r="A99" t="str">
            <v>MNS40</v>
          </cell>
          <cell r="B99">
            <v>2.405545593027516</v>
          </cell>
          <cell r="C99">
            <v>1.4743825466520308</v>
          </cell>
          <cell r="D99">
            <v>3.1860662701784199</v>
          </cell>
          <cell r="E99">
            <v>1.3517758784425451</v>
          </cell>
          <cell r="F99">
            <v>1.6927806291727043</v>
          </cell>
          <cell r="G99">
            <v>2.3132084200786491</v>
          </cell>
          <cell r="H99">
            <v>1.3044370257966615</v>
          </cell>
          <cell r="I99">
            <v>2.7662517289073305</v>
          </cell>
          <cell r="J99">
            <v>1.5152203888055518</v>
          </cell>
          <cell r="K99" t="str">
            <v>N.A.</v>
          </cell>
        </row>
        <row r="100">
          <cell r="A100" t="str">
            <v>MNS50</v>
          </cell>
          <cell r="B100">
            <v>1.4108410787749506</v>
          </cell>
          <cell r="C100" t="str">
            <v>N.A.</v>
          </cell>
          <cell r="D100">
            <v>1.8477457501847745</v>
          </cell>
          <cell r="E100">
            <v>0.96453478898484601</v>
          </cell>
          <cell r="F100">
            <v>1.1428049003474128</v>
          </cell>
          <cell r="G100" t="str">
            <v>N.A.</v>
          </cell>
          <cell r="H100" t="str">
            <v>N.A.</v>
          </cell>
          <cell r="I100">
            <v>1.6084928422068521</v>
          </cell>
          <cell r="J100">
            <v>1.0008106566318717</v>
          </cell>
          <cell r="K100" t="str">
            <v>N.A.</v>
          </cell>
        </row>
        <row r="106">
          <cell r="A106" t="str">
            <v>MNS 0</v>
          </cell>
          <cell r="B106">
            <v>10.710124934929723</v>
          </cell>
          <cell r="C106">
            <v>9.008650116369278</v>
          </cell>
          <cell r="D106">
            <v>9.7339390006489293</v>
          </cell>
          <cell r="E106">
            <v>13.088907766990291</v>
          </cell>
          <cell r="F106">
            <v>13.289895446416288</v>
          </cell>
          <cell r="G106">
            <v>11.393471208434713</v>
          </cell>
          <cell r="H106">
            <v>8.0010113339145601</v>
          </cell>
          <cell r="I106">
            <v>8.4865629420084865</v>
          </cell>
          <cell r="J106">
            <v>12.068931053330211</v>
          </cell>
          <cell r="K106">
            <v>9.9367992926613624</v>
          </cell>
        </row>
        <row r="107">
          <cell r="A107" t="str">
            <v>MNS10</v>
          </cell>
          <cell r="B107">
            <v>8.4101694915254246</v>
          </cell>
          <cell r="C107">
            <v>6.4802623360399751</v>
          </cell>
          <cell r="D107">
            <v>7.9113924050632916</v>
          </cell>
          <cell r="E107">
            <v>8.6129665255867636</v>
          </cell>
          <cell r="F107">
            <v>8.375063728544724</v>
          </cell>
          <cell r="G107">
            <v>7.659313725490196</v>
          </cell>
          <cell r="H107">
            <v>5.7684047786366834</v>
          </cell>
          <cell r="I107">
            <v>6.9124423963133639</v>
          </cell>
          <cell r="J107">
            <v>7.5932333964626197</v>
          </cell>
          <cell r="K107">
            <v>6.6934404283801872</v>
          </cell>
        </row>
        <row r="108">
          <cell r="A108" t="str">
            <v>MNS20</v>
          </cell>
          <cell r="B108">
            <v>5.7245496291063231</v>
          </cell>
          <cell r="C108">
            <v>4.3847123157394199</v>
          </cell>
          <cell r="D108">
            <v>5.4904831625183013</v>
          </cell>
          <cell r="E108">
            <v>5.477384155455904</v>
          </cell>
          <cell r="F108">
            <v>5.3159306644655384</v>
          </cell>
          <cell r="G108">
            <v>5.3168864313058277</v>
          </cell>
          <cell r="H108">
            <v>3.9085072231139648</v>
          </cell>
          <cell r="I108">
            <v>4.8076923076923075</v>
          </cell>
          <cell r="J108">
            <v>5.1689992475545523</v>
          </cell>
          <cell r="K108">
            <v>4.6511627906976747</v>
          </cell>
        </row>
        <row r="109">
          <cell r="A109" t="str">
            <v>MNS30</v>
          </cell>
          <cell r="B109">
            <v>3.9211885656970913</v>
          </cell>
          <cell r="C109">
            <v>2.9380759307040178</v>
          </cell>
          <cell r="D109">
            <v>4.369356248179435</v>
          </cell>
          <cell r="E109">
            <v>3.3883375546857013</v>
          </cell>
          <cell r="F109">
            <v>3.4306007588153848</v>
          </cell>
          <cell r="G109">
            <v>3.8355323718932186</v>
          </cell>
          <cell r="H109">
            <v>2.6118298223874432</v>
          </cell>
          <cell r="I109">
            <v>3.8597619813444837</v>
          </cell>
          <cell r="J109">
            <v>3.1199035179166406</v>
          </cell>
          <cell r="K109">
            <v>3.3500837520938025</v>
          </cell>
        </row>
        <row r="110">
          <cell r="A110" t="str">
            <v>MNS40</v>
          </cell>
          <cell r="B110">
            <v>2.6394304004936271</v>
          </cell>
          <cell r="C110">
            <v>1.8197173435784852</v>
          </cell>
          <cell r="D110">
            <v>3.1860662701784199</v>
          </cell>
          <cell r="E110">
            <v>1.7745773979107313</v>
          </cell>
          <cell r="F110">
            <v>2.1994501848516448</v>
          </cell>
          <cell r="G110">
            <v>2.3132084200786491</v>
          </cell>
          <cell r="H110">
            <v>1.6033383915022761</v>
          </cell>
          <cell r="I110">
            <v>2.7662517289073305</v>
          </cell>
          <cell r="J110">
            <v>1.9687440338197191</v>
          </cell>
          <cell r="K110" t="str">
            <v>N.A.</v>
          </cell>
        </row>
        <row r="111">
          <cell r="A111" t="str">
            <v>MNS50</v>
          </cell>
          <cell r="B111">
            <v>1.5068261465793082</v>
          </cell>
          <cell r="C111" t="str">
            <v>N.A.</v>
          </cell>
          <cell r="D111">
            <v>1.8477457501847745</v>
          </cell>
          <cell r="E111">
            <v>1.0940932051490957</v>
          </cell>
          <cell r="F111">
            <v>1.1983269336258915</v>
          </cell>
          <cell r="G111" t="str">
            <v>N.A.</v>
          </cell>
          <cell r="H111" t="str">
            <v>N.A.</v>
          </cell>
          <cell r="I111">
            <v>1.6084928422068521</v>
          </cell>
          <cell r="J111">
            <v>1.0494340415736747</v>
          </cell>
          <cell r="K111" t="str">
            <v>N.A.</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F96FAE-BA01-495F-A60E-BC698DF9D3A9}" name="Table2" displayName="Table2" ref="C5:F13" totalsRowShown="0" headerRowDxfId="1715" headerRowBorderDxfId="1714" tableBorderDxfId="1713" totalsRowBorderDxfId="1712">
  <autoFilter ref="C5:F13" xr:uid="{87F96FAE-BA01-495F-A60E-BC698DF9D3A9}"/>
  <sortState xmlns:xlrd2="http://schemas.microsoft.com/office/spreadsheetml/2017/richdata2" ref="C6:F13">
    <sortCondition ref="C5:C13"/>
  </sortState>
  <tableColumns count="4">
    <tableColumn id="2" xr3:uid="{25F27547-5F94-4E10-B9B1-6246FA972E7F}" name="Provider" dataDxfId="1711"/>
    <tableColumn id="4" xr3:uid="{253EFF7C-C4B9-4054-BDC7-CAF9EED621C4}" name="Plan" dataDxfId="1710"/>
    <tableColumn id="5" xr3:uid="{3A2FBEE9-B4EA-4F33-ACC9-32FE49B366FF}" name="Premium Discount" dataDxfId="1709"/>
    <tableColumn id="3" xr3:uid="{B941570F-92E8-4581-B1F6-82369624BBB0}" name="Promotion Details" dataDxfId="1708"/>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www.sg.cntaiping.com/images/2024/12/16/ct165-customer-promo-2025-life-flyer_r8.pdf%0a%0aNote:%20For%20CTP%20I-Assure99,%20the%20%25%20has%20been%20reduced%20from%2010%25%20to%205%25%20(for%20premium%20term%205-9%20years);%2020%25%20to%2015%25%20(for%20premium%20term%2010%20years%20and%20above)"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1365-89AB-4EC0-AD11-69D371FD344E}">
  <sheetPr codeName="Sheet1">
    <pageSetUpPr fitToPage="1"/>
  </sheetPr>
  <dimension ref="A3:I4"/>
  <sheetViews>
    <sheetView zoomScale="75" zoomScaleNormal="75" zoomScaleSheetLayoutView="62" workbookViewId="0"/>
  </sheetViews>
  <sheetFormatPr defaultColWidth="9.453125" defaultRowHeight="12.5" x14ac:dyDescent="0.25"/>
  <cols>
    <col min="1" max="8" width="9.453125" style="1"/>
    <col min="9" max="9" width="13.54296875" style="1" customWidth="1"/>
    <col min="10" max="16384" width="9.453125" style="1"/>
  </cols>
  <sheetData>
    <row r="3" spans="1:9" ht="18" customHeight="1" x14ac:dyDescent="0.35">
      <c r="A3" s="473" t="s">
        <v>0</v>
      </c>
      <c r="B3" s="473"/>
      <c r="C3" s="473"/>
      <c r="D3" s="473"/>
      <c r="E3" s="473"/>
      <c r="F3" s="473"/>
      <c r="G3" s="473"/>
      <c r="H3" s="473"/>
      <c r="I3" s="473"/>
    </row>
    <row r="4" spans="1:9" ht="17.5" x14ac:dyDescent="0.35">
      <c r="A4" s="473" t="s">
        <v>1</v>
      </c>
      <c r="B4" s="473"/>
      <c r="C4" s="473"/>
      <c r="D4" s="473"/>
      <c r="E4" s="473"/>
      <c r="F4" s="473"/>
      <c r="G4" s="473"/>
      <c r="H4" s="473"/>
      <c r="I4" s="473"/>
    </row>
  </sheetData>
  <sheetProtection password="C13C" sheet="1"/>
  <mergeCells count="2">
    <mergeCell ref="A3:I3"/>
    <mergeCell ref="A4:I4"/>
  </mergeCells>
  <printOptions horizontalCentered="1" verticalCentered="1"/>
  <pageMargins left="0.25" right="0.25" top="0.25" bottom="0.45" header="0.25" footer="0.25"/>
  <pageSetup paperSize="9" orientation="portrait" r:id="rId1"/>
  <headerFooter>
    <oddFooter>&amp;L_x000D_&amp;1#&amp;"Calibri"&amp;8&amp;K008000 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F93A-8F7E-4657-8184-4FDE5DF7F943}">
  <sheetPr codeName="Sheet9">
    <pageSetUpPr fitToPage="1"/>
  </sheetPr>
  <dimension ref="A1:O141"/>
  <sheetViews>
    <sheetView showGridLines="0" topLeftCell="A6" zoomScale="75" zoomScaleNormal="75" workbookViewId="0">
      <selection activeCell="G12" sqref="G12"/>
    </sheetView>
  </sheetViews>
  <sheetFormatPr defaultRowHeight="14.5" x14ac:dyDescent="0.35"/>
  <cols>
    <col min="1" max="1" width="17.453125" customWidth="1"/>
    <col min="2" max="2" width="14.453125" customWidth="1"/>
    <col min="3" max="3" width="25.81640625" hidden="1" customWidth="1"/>
    <col min="4" max="4" width="25.81640625" customWidth="1"/>
    <col min="5" max="5" width="15.453125" customWidth="1"/>
    <col min="6" max="6" width="15.54296875" style="124" hidden="1" customWidth="1"/>
    <col min="7" max="7" width="15.54296875" style="124" customWidth="1"/>
    <col min="8" max="9" width="15.453125" customWidth="1"/>
    <col min="10" max="10" width="17.54296875" customWidth="1"/>
    <col min="11" max="11" width="18.54296875" hidden="1" customWidth="1"/>
    <col min="12" max="12" width="18.54296875" customWidth="1"/>
    <col min="13" max="13" width="16.453125" customWidth="1"/>
    <col min="15" max="15" width="81.1796875" customWidth="1"/>
  </cols>
  <sheetData>
    <row r="1" spans="1:15" ht="36" hidden="1" x14ac:dyDescent="0.35">
      <c r="A1" s="122"/>
      <c r="B1" s="122"/>
      <c r="C1" s="300" t="s">
        <v>377</v>
      </c>
      <c r="D1" s="389" t="s">
        <v>378</v>
      </c>
      <c r="E1" s="122"/>
      <c r="F1" s="122"/>
      <c r="G1" s="122"/>
      <c r="H1" s="122"/>
      <c r="I1" s="122"/>
      <c r="J1" s="122"/>
      <c r="K1" s="122"/>
      <c r="L1" s="122"/>
      <c r="M1" s="123"/>
      <c r="N1" s="124"/>
    </row>
    <row r="2" spans="1:15" ht="15.5" x14ac:dyDescent="0.35">
      <c r="A2" s="610" t="s">
        <v>127</v>
      </c>
      <c r="B2" s="610"/>
      <c r="C2" s="125"/>
      <c r="D2" s="125"/>
      <c r="F2"/>
      <c r="G2"/>
      <c r="J2" s="97"/>
      <c r="K2" s="46" t="s">
        <v>128</v>
      </c>
      <c r="L2" s="562" t="s">
        <v>128</v>
      </c>
      <c r="M2" s="562"/>
      <c r="N2" s="562"/>
    </row>
    <row r="3" spans="1:15" ht="15.5" x14ac:dyDescent="0.35">
      <c r="A3" s="590" t="s">
        <v>129</v>
      </c>
      <c r="B3" s="590"/>
      <c r="C3" s="99">
        <v>1000000</v>
      </c>
      <c r="D3" s="99">
        <v>1000000</v>
      </c>
      <c r="E3" s="126"/>
      <c r="F3" s="126"/>
      <c r="G3" s="126"/>
      <c r="H3" s="126"/>
      <c r="I3" s="126"/>
      <c r="J3" s="101"/>
      <c r="K3" s="562" t="s">
        <v>211</v>
      </c>
      <c r="L3" s="562"/>
      <c r="M3" s="562"/>
      <c r="N3" s="124"/>
    </row>
    <row r="4" spans="1:15" ht="15" thickBot="1" x14ac:dyDescent="0.4">
      <c r="A4" s="614"/>
      <c r="B4" s="614"/>
      <c r="C4" s="127"/>
      <c r="D4" s="127"/>
      <c r="E4" s="127"/>
      <c r="F4" s="127"/>
      <c r="G4" s="127"/>
      <c r="H4" s="127"/>
      <c r="I4" s="127"/>
      <c r="N4" s="124"/>
    </row>
    <row r="5" spans="1:15" ht="58.5" customHeight="1" thickBot="1" x14ac:dyDescent="0.4">
      <c r="A5" s="592"/>
      <c r="B5" s="615"/>
      <c r="C5" s="328" t="s">
        <v>385</v>
      </c>
      <c r="D5" s="328" t="s">
        <v>385</v>
      </c>
      <c r="E5" s="128" t="s">
        <v>228</v>
      </c>
      <c r="F5" s="128" t="s">
        <v>354</v>
      </c>
      <c r="G5" s="128" t="s">
        <v>354</v>
      </c>
      <c r="H5" s="128" t="s">
        <v>229</v>
      </c>
      <c r="I5" s="128" t="s">
        <v>230</v>
      </c>
      <c r="J5" s="128" t="s">
        <v>231</v>
      </c>
      <c r="K5" s="128" t="s">
        <v>232</v>
      </c>
      <c r="L5" s="128" t="s">
        <v>334</v>
      </c>
      <c r="M5" s="129" t="s">
        <v>233</v>
      </c>
      <c r="N5" s="35"/>
      <c r="O5" s="434" t="s">
        <v>131</v>
      </c>
    </row>
    <row r="6" spans="1:15" ht="34.4" customHeight="1" x14ac:dyDescent="0.35">
      <c r="A6" s="594" t="s">
        <v>213</v>
      </c>
      <c r="B6" s="613"/>
      <c r="C6" s="130" t="s">
        <v>311</v>
      </c>
      <c r="D6" s="130" t="s">
        <v>311</v>
      </c>
      <c r="E6" s="130" t="s">
        <v>235</v>
      </c>
      <c r="F6" s="130" t="s">
        <v>353</v>
      </c>
      <c r="G6" s="130" t="s">
        <v>353</v>
      </c>
      <c r="H6" s="130" t="s">
        <v>234</v>
      </c>
      <c r="I6" s="130" t="s">
        <v>236</v>
      </c>
      <c r="J6" s="159" t="s">
        <v>234</v>
      </c>
      <c r="K6" s="130" t="s">
        <v>237</v>
      </c>
      <c r="L6" s="130" t="s">
        <v>237</v>
      </c>
      <c r="M6" s="131" t="s">
        <v>234</v>
      </c>
      <c r="N6" s="124"/>
      <c r="O6" s="529" t="s">
        <v>411</v>
      </c>
    </row>
    <row r="7" spans="1:15" ht="15" thickBot="1" x14ac:dyDescent="0.4">
      <c r="A7" s="132" t="s">
        <v>176</v>
      </c>
      <c r="B7" s="133" t="s">
        <v>140</v>
      </c>
      <c r="C7" s="134" t="s">
        <v>141</v>
      </c>
      <c r="D7" s="134" t="s">
        <v>141</v>
      </c>
      <c r="E7" s="134" t="s">
        <v>142</v>
      </c>
      <c r="F7" s="134" t="s">
        <v>141</v>
      </c>
      <c r="G7" s="134" t="s">
        <v>141</v>
      </c>
      <c r="H7" s="136" t="s">
        <v>141</v>
      </c>
      <c r="I7" s="136" t="s">
        <v>141</v>
      </c>
      <c r="J7" s="136" t="s">
        <v>142</v>
      </c>
      <c r="K7" s="136" t="s">
        <v>142</v>
      </c>
      <c r="L7" s="136" t="s">
        <v>142</v>
      </c>
      <c r="M7" s="135" t="s">
        <v>141</v>
      </c>
      <c r="N7" s="124"/>
      <c r="O7" s="530"/>
    </row>
    <row r="8" spans="1:15" x14ac:dyDescent="0.35">
      <c r="A8" s="611" t="s">
        <v>238</v>
      </c>
      <c r="B8" s="137" t="s">
        <v>239</v>
      </c>
      <c r="C8" s="107">
        <v>278.55</v>
      </c>
      <c r="D8" s="358">
        <f>278.55-60</f>
        <v>218.55</v>
      </c>
      <c r="E8" s="358">
        <v>560</v>
      </c>
      <c r="F8" s="358" t="s">
        <v>111</v>
      </c>
      <c r="G8" s="358" t="s">
        <v>111</v>
      </c>
      <c r="H8" s="358">
        <v>256.72500000000002</v>
      </c>
      <c r="I8" s="358">
        <f>I41-950</f>
        <v>370</v>
      </c>
      <c r="J8" s="108">
        <v>309.12</v>
      </c>
      <c r="K8" s="358" t="s">
        <v>111</v>
      </c>
      <c r="L8" s="358" t="s">
        <v>111</v>
      </c>
      <c r="M8" s="359">
        <v>247.10000000000002</v>
      </c>
      <c r="N8" s="110"/>
      <c r="O8" s="530"/>
    </row>
    <row r="9" spans="1:15" x14ac:dyDescent="0.35">
      <c r="A9" s="587"/>
      <c r="B9" s="20" t="s">
        <v>240</v>
      </c>
      <c r="C9" s="112">
        <v>287.95</v>
      </c>
      <c r="D9" s="342">
        <f>287.95-60</f>
        <v>227.95</v>
      </c>
      <c r="E9" s="342" t="s">
        <v>111</v>
      </c>
      <c r="F9" s="342" t="s">
        <v>111</v>
      </c>
      <c r="G9" s="342" t="s">
        <v>111</v>
      </c>
      <c r="H9" s="342">
        <v>256.72500000000002</v>
      </c>
      <c r="I9" s="342">
        <f>I42-970</f>
        <v>390</v>
      </c>
      <c r="J9" s="113">
        <v>312.8</v>
      </c>
      <c r="K9" s="342">
        <v>264.2</v>
      </c>
      <c r="L9" s="342">
        <v>264.2</v>
      </c>
      <c r="M9" s="344">
        <v>254.79999999999998</v>
      </c>
      <c r="N9" s="110"/>
      <c r="O9" s="530"/>
    </row>
    <row r="10" spans="1:15" x14ac:dyDescent="0.35">
      <c r="A10" s="587"/>
      <c r="B10" s="20" t="s">
        <v>241</v>
      </c>
      <c r="C10" s="112">
        <v>514.1</v>
      </c>
      <c r="D10" s="342">
        <f>514.1-60</f>
        <v>454.1</v>
      </c>
      <c r="E10" s="342">
        <v>1080</v>
      </c>
      <c r="F10" s="342" t="s">
        <v>111</v>
      </c>
      <c r="G10" s="342" t="s">
        <v>111</v>
      </c>
      <c r="H10" s="342">
        <v>518.09999999999991</v>
      </c>
      <c r="I10" s="342">
        <f>I43-1900</f>
        <v>870</v>
      </c>
      <c r="J10" s="113">
        <v>757.16</v>
      </c>
      <c r="K10" s="342">
        <v>579.20000000000005</v>
      </c>
      <c r="L10" s="342">
        <v>579.20000000000005</v>
      </c>
      <c r="M10" s="344">
        <v>424.79999999999995</v>
      </c>
      <c r="N10" s="110"/>
      <c r="O10" s="530"/>
    </row>
    <row r="11" spans="1:15" x14ac:dyDescent="0.35">
      <c r="A11" s="587"/>
      <c r="B11" s="20" t="s">
        <v>242</v>
      </c>
      <c r="C11" s="112">
        <v>1041.2</v>
      </c>
      <c r="D11" s="342">
        <f>C11-60</f>
        <v>981.2</v>
      </c>
      <c r="E11" s="342" t="s">
        <v>111</v>
      </c>
      <c r="F11" s="342" t="s">
        <v>111</v>
      </c>
      <c r="G11" s="342" t="s">
        <v>111</v>
      </c>
      <c r="H11" s="342">
        <v>1480.8000000000002</v>
      </c>
      <c r="I11" s="342">
        <f>I44-3380</f>
        <v>2080</v>
      </c>
      <c r="J11" s="113" t="s">
        <v>111</v>
      </c>
      <c r="K11" s="342">
        <v>1443.4</v>
      </c>
      <c r="L11" s="342">
        <f>K11*0.85</f>
        <v>1226.8900000000001</v>
      </c>
      <c r="M11" s="344">
        <v>1023</v>
      </c>
      <c r="N11" s="110"/>
      <c r="O11" s="530"/>
    </row>
    <row r="12" spans="1:15" x14ac:dyDescent="0.35">
      <c r="A12" s="587"/>
      <c r="B12" s="20" t="s">
        <v>243</v>
      </c>
      <c r="C12" s="112">
        <v>2776.7</v>
      </c>
      <c r="D12" s="471">
        <f>C12-60</f>
        <v>2716.7</v>
      </c>
      <c r="E12" s="342" t="s">
        <v>111</v>
      </c>
      <c r="F12" s="342">
        <v>1912</v>
      </c>
      <c r="G12" s="472">
        <f>1912/0.8*0.85</f>
        <v>2031.5</v>
      </c>
      <c r="H12" s="342" t="s">
        <v>111</v>
      </c>
      <c r="I12" s="342" t="s">
        <v>111</v>
      </c>
      <c r="J12" s="113" t="s">
        <v>111</v>
      </c>
      <c r="K12" s="342" t="s">
        <v>111</v>
      </c>
      <c r="L12" s="342" t="s">
        <v>111</v>
      </c>
      <c r="M12" s="344" t="s">
        <v>111</v>
      </c>
      <c r="N12" s="110"/>
      <c r="O12" s="530"/>
    </row>
    <row r="13" spans="1:15" ht="15" thickBot="1" x14ac:dyDescent="0.4">
      <c r="A13" s="612"/>
      <c r="B13" s="117" t="s">
        <v>244</v>
      </c>
      <c r="C13" s="118" t="s">
        <v>111</v>
      </c>
      <c r="D13" s="345" t="s">
        <v>111</v>
      </c>
      <c r="E13" s="345" t="s">
        <v>111</v>
      </c>
      <c r="F13" s="345" t="s">
        <v>111</v>
      </c>
      <c r="G13" s="345" t="s">
        <v>111</v>
      </c>
      <c r="H13" s="345" t="s">
        <v>111</v>
      </c>
      <c r="I13" s="345">
        <f>I46-3930</f>
        <v>3300</v>
      </c>
      <c r="J13" s="119" t="s">
        <v>111</v>
      </c>
      <c r="K13" s="345">
        <v>2616.85</v>
      </c>
      <c r="L13" s="345">
        <f>K13*0.85</f>
        <v>2224.3224999999998</v>
      </c>
      <c r="M13" s="346" t="s">
        <v>111</v>
      </c>
      <c r="N13" s="110"/>
      <c r="O13" s="530"/>
    </row>
    <row r="14" spans="1:15" x14ac:dyDescent="0.35">
      <c r="A14" s="611" t="s">
        <v>245</v>
      </c>
      <c r="B14" s="137" t="s">
        <v>239</v>
      </c>
      <c r="C14" s="107">
        <v>316.64999999999998</v>
      </c>
      <c r="D14" s="358">
        <f>316.65-60</f>
        <v>256.64999999999998</v>
      </c>
      <c r="E14" s="358">
        <v>660</v>
      </c>
      <c r="F14" s="358" t="s">
        <v>111</v>
      </c>
      <c r="G14" s="358" t="s">
        <v>111</v>
      </c>
      <c r="H14" s="358">
        <v>300.60000000000002</v>
      </c>
      <c r="I14" s="358">
        <f>I47-1070</f>
        <v>410</v>
      </c>
      <c r="J14" s="108">
        <v>414.92</v>
      </c>
      <c r="K14" s="358" t="s">
        <v>111</v>
      </c>
      <c r="L14" s="358" t="s">
        <v>111</v>
      </c>
      <c r="M14" s="359">
        <v>271.60000000000002</v>
      </c>
      <c r="N14" s="110"/>
      <c r="O14" s="530"/>
    </row>
    <row r="15" spans="1:15" x14ac:dyDescent="0.35">
      <c r="A15" s="587"/>
      <c r="B15" s="20" t="s">
        <v>240</v>
      </c>
      <c r="C15" s="112">
        <v>355.7</v>
      </c>
      <c r="D15" s="342">
        <f>355.7-60</f>
        <v>295.7</v>
      </c>
      <c r="E15" s="342" t="s">
        <v>111</v>
      </c>
      <c r="F15" s="342" t="s">
        <v>111</v>
      </c>
      <c r="G15" s="342" t="s">
        <v>111</v>
      </c>
      <c r="H15" s="342">
        <v>302.85000000000002</v>
      </c>
      <c r="I15" s="342">
        <f>I48-1250</f>
        <v>440</v>
      </c>
      <c r="J15" s="113">
        <v>414.92</v>
      </c>
      <c r="K15" s="342">
        <v>338.05</v>
      </c>
      <c r="L15" s="342">
        <v>338.05</v>
      </c>
      <c r="M15" s="344">
        <v>304.5</v>
      </c>
      <c r="N15" s="110"/>
      <c r="O15" s="530"/>
    </row>
    <row r="16" spans="1:15" x14ac:dyDescent="0.35">
      <c r="A16" s="587"/>
      <c r="B16" s="20" t="s">
        <v>246</v>
      </c>
      <c r="C16" s="112">
        <v>655.7</v>
      </c>
      <c r="D16" s="342">
        <f>655.7-60</f>
        <v>595.70000000000005</v>
      </c>
      <c r="E16" s="342">
        <v>1300</v>
      </c>
      <c r="F16" s="342" t="s">
        <v>111</v>
      </c>
      <c r="G16" s="342" t="s">
        <v>111</v>
      </c>
      <c r="H16" s="342">
        <v>638.32500000000005</v>
      </c>
      <c r="I16" s="342">
        <f>I49-2280</f>
        <v>890</v>
      </c>
      <c r="J16" s="113">
        <v>811.44</v>
      </c>
      <c r="K16" s="342">
        <v>780</v>
      </c>
      <c r="L16" s="342">
        <v>780</v>
      </c>
      <c r="M16" s="344">
        <v>516</v>
      </c>
      <c r="N16" s="110"/>
      <c r="O16" s="530"/>
    </row>
    <row r="17" spans="1:15" x14ac:dyDescent="0.35">
      <c r="A17" s="587"/>
      <c r="B17" s="20" t="s">
        <v>247</v>
      </c>
      <c r="C17" s="112">
        <v>1395.55</v>
      </c>
      <c r="D17" s="342">
        <f>C17-60</f>
        <v>1335.55</v>
      </c>
      <c r="E17" s="342" t="s">
        <v>111</v>
      </c>
      <c r="F17" s="342" t="s">
        <v>111</v>
      </c>
      <c r="G17" s="342" t="s">
        <v>111</v>
      </c>
      <c r="H17" s="342">
        <v>1939.8000000000002</v>
      </c>
      <c r="I17" s="342">
        <f>I50-4220</f>
        <v>2520</v>
      </c>
      <c r="J17" s="113" t="s">
        <v>111</v>
      </c>
      <c r="K17" s="342">
        <v>1831.05</v>
      </c>
      <c r="L17" s="342">
        <f>K17*0.85</f>
        <v>1556.3924999999999</v>
      </c>
      <c r="M17" s="344">
        <v>1323.6</v>
      </c>
      <c r="N17" s="110"/>
      <c r="O17" s="530"/>
    </row>
    <row r="18" spans="1:15" x14ac:dyDescent="0.35">
      <c r="A18" s="587"/>
      <c r="B18" s="20" t="s">
        <v>248</v>
      </c>
      <c r="C18" s="112">
        <v>3549.45</v>
      </c>
      <c r="D18" s="471">
        <f>C18-60</f>
        <v>3489.45</v>
      </c>
      <c r="E18" s="342" t="s">
        <v>111</v>
      </c>
      <c r="F18" s="342">
        <v>2618</v>
      </c>
      <c r="G18" s="472">
        <f>2618/0.8*0.85</f>
        <v>2781.625</v>
      </c>
      <c r="H18" s="342" t="s">
        <v>111</v>
      </c>
      <c r="I18" s="342" t="s">
        <v>111</v>
      </c>
      <c r="J18" s="113" t="s">
        <v>111</v>
      </c>
      <c r="K18" s="342" t="s">
        <v>111</v>
      </c>
      <c r="L18" s="342" t="s">
        <v>111</v>
      </c>
      <c r="M18" s="344" t="s">
        <v>111</v>
      </c>
      <c r="N18" s="110"/>
      <c r="O18" s="530"/>
    </row>
    <row r="19" spans="1:15" ht="15" thickBot="1" x14ac:dyDescent="0.4">
      <c r="A19" s="612"/>
      <c r="B19" s="117" t="s">
        <v>249</v>
      </c>
      <c r="C19" s="118" t="s">
        <v>111</v>
      </c>
      <c r="D19" s="345" t="s">
        <v>111</v>
      </c>
      <c r="E19" s="345" t="s">
        <v>111</v>
      </c>
      <c r="F19" s="345" t="s">
        <v>111</v>
      </c>
      <c r="G19" s="345" t="s">
        <v>111</v>
      </c>
      <c r="H19" s="345" t="s">
        <v>111</v>
      </c>
      <c r="I19" s="345">
        <f>I52-5030</f>
        <v>4210</v>
      </c>
      <c r="J19" s="119" t="s">
        <v>111</v>
      </c>
      <c r="K19" s="345">
        <v>3502.95</v>
      </c>
      <c r="L19" s="345">
        <f>K19*0.85</f>
        <v>2977.5074999999997</v>
      </c>
      <c r="M19" s="346" t="s">
        <v>111</v>
      </c>
      <c r="N19" s="110"/>
      <c r="O19" s="530"/>
    </row>
    <row r="20" spans="1:15" x14ac:dyDescent="0.35">
      <c r="A20" s="611" t="s">
        <v>250</v>
      </c>
      <c r="B20" s="137" t="s">
        <v>239</v>
      </c>
      <c r="C20" s="107">
        <v>423.5</v>
      </c>
      <c r="D20" s="358">
        <f>423.5-60</f>
        <v>363.5</v>
      </c>
      <c r="E20" s="358">
        <v>920</v>
      </c>
      <c r="F20" s="358" t="s">
        <v>111</v>
      </c>
      <c r="G20" s="358" t="s">
        <v>111</v>
      </c>
      <c r="H20" s="358">
        <v>385.57500000000005</v>
      </c>
      <c r="I20" s="358">
        <f>I53-1590</f>
        <v>550</v>
      </c>
      <c r="J20" s="108">
        <v>519.80000000000007</v>
      </c>
      <c r="K20" s="358" t="s">
        <v>111</v>
      </c>
      <c r="L20" s="358" t="s">
        <v>111</v>
      </c>
      <c r="M20" s="359">
        <v>404.6</v>
      </c>
      <c r="N20" s="110"/>
      <c r="O20" s="530"/>
    </row>
    <row r="21" spans="1:15" x14ac:dyDescent="0.35">
      <c r="A21" s="587"/>
      <c r="B21" s="20" t="s">
        <v>240</v>
      </c>
      <c r="C21" s="112">
        <v>496.05</v>
      </c>
      <c r="D21" s="342">
        <f>496.05-60</f>
        <v>436.05</v>
      </c>
      <c r="E21" s="342" t="s">
        <v>111</v>
      </c>
      <c r="F21" s="342" t="s">
        <v>111</v>
      </c>
      <c r="G21" s="342" t="s">
        <v>111</v>
      </c>
      <c r="H21" s="342">
        <v>435.75</v>
      </c>
      <c r="I21" s="342">
        <f>I54-1860</f>
        <v>580</v>
      </c>
      <c r="J21" s="113">
        <v>549.24</v>
      </c>
      <c r="K21" s="342">
        <v>484.6</v>
      </c>
      <c r="L21" s="342">
        <v>484.6</v>
      </c>
      <c r="M21" s="344">
        <v>443.1</v>
      </c>
      <c r="N21" s="110"/>
      <c r="O21" s="530"/>
    </row>
    <row r="22" spans="1:15" x14ac:dyDescent="0.35">
      <c r="A22" s="587"/>
      <c r="B22" s="20" t="s">
        <v>251</v>
      </c>
      <c r="C22" s="112">
        <v>877.8</v>
      </c>
      <c r="D22" s="342">
        <f>877.8-60</f>
        <v>817.8</v>
      </c>
      <c r="E22" s="342">
        <v>1760</v>
      </c>
      <c r="F22" s="342" t="s">
        <v>111</v>
      </c>
      <c r="G22" s="342" t="s">
        <v>111</v>
      </c>
      <c r="H22" s="342">
        <v>809.625</v>
      </c>
      <c r="I22" s="342">
        <f>I55-2940</f>
        <v>1180</v>
      </c>
      <c r="J22" s="113">
        <v>981.64</v>
      </c>
      <c r="K22" s="342">
        <v>989.95</v>
      </c>
      <c r="L22" s="342">
        <v>989.95</v>
      </c>
      <c r="M22" s="344">
        <v>657</v>
      </c>
      <c r="N22" s="110"/>
      <c r="O22" s="530"/>
    </row>
    <row r="23" spans="1:15" x14ac:dyDescent="0.35">
      <c r="A23" s="587"/>
      <c r="B23" s="20" t="s">
        <v>252</v>
      </c>
      <c r="C23" s="112">
        <v>1888.55</v>
      </c>
      <c r="D23" s="342">
        <f>C23-60</f>
        <v>1828.55</v>
      </c>
      <c r="E23" s="342" t="s">
        <v>111</v>
      </c>
      <c r="F23" s="342" t="s">
        <v>111</v>
      </c>
      <c r="G23" s="342" t="s">
        <v>111</v>
      </c>
      <c r="H23" s="342">
        <v>2444.0249999999996</v>
      </c>
      <c r="I23" s="342">
        <f>I56-5360</f>
        <v>3200</v>
      </c>
      <c r="J23" s="113" t="s">
        <v>111</v>
      </c>
      <c r="K23" s="342">
        <v>2332.9499999999998</v>
      </c>
      <c r="L23" s="342">
        <f>K23*0.85</f>
        <v>1983.0074999999997</v>
      </c>
      <c r="M23" s="344">
        <v>1715.9999999999995</v>
      </c>
      <c r="N23" s="110"/>
      <c r="O23" s="530"/>
    </row>
    <row r="24" spans="1:15" x14ac:dyDescent="0.35">
      <c r="A24" s="587"/>
      <c r="B24" s="20" t="s">
        <v>253</v>
      </c>
      <c r="C24" s="112">
        <v>4641.7</v>
      </c>
      <c r="D24" s="471">
        <f>C24-60</f>
        <v>4581.7</v>
      </c>
      <c r="E24" s="342" t="s">
        <v>111</v>
      </c>
      <c r="F24" s="342">
        <v>3355</v>
      </c>
      <c r="G24" s="472">
        <f>3355/0.8*0.85</f>
        <v>3564.6875</v>
      </c>
      <c r="H24" s="342" t="s">
        <v>111</v>
      </c>
      <c r="I24" s="342" t="s">
        <v>111</v>
      </c>
      <c r="J24" s="113" t="s">
        <v>111</v>
      </c>
      <c r="K24" s="342" t="s">
        <v>111</v>
      </c>
      <c r="L24" s="342" t="s">
        <v>111</v>
      </c>
      <c r="M24" s="344" t="s">
        <v>111</v>
      </c>
      <c r="N24" s="110"/>
      <c r="O24" s="530"/>
    </row>
    <row r="25" spans="1:15" ht="15" thickBot="1" x14ac:dyDescent="0.4">
      <c r="A25" s="612"/>
      <c r="B25" s="117" t="s">
        <v>254</v>
      </c>
      <c r="C25" s="118" t="s">
        <v>111</v>
      </c>
      <c r="D25" s="345" t="s">
        <v>111</v>
      </c>
      <c r="E25" s="345" t="s">
        <v>111</v>
      </c>
      <c r="F25" s="345" t="s">
        <v>111</v>
      </c>
      <c r="G25" s="345" t="s">
        <v>111</v>
      </c>
      <c r="H25" s="345" t="s">
        <v>111</v>
      </c>
      <c r="I25" s="345">
        <f>I58-5980</f>
        <v>5410</v>
      </c>
      <c r="J25" s="119" t="s">
        <v>111</v>
      </c>
      <c r="K25" s="345">
        <v>4752.5</v>
      </c>
      <c r="L25" s="345">
        <f>K25*0.85</f>
        <v>4039.625</v>
      </c>
      <c r="M25" s="346" t="s">
        <v>111</v>
      </c>
      <c r="N25" s="110"/>
      <c r="O25" s="530"/>
    </row>
    <row r="26" spans="1:15" x14ac:dyDescent="0.35">
      <c r="A26" s="611" t="s">
        <v>255</v>
      </c>
      <c r="B26" s="137" t="s">
        <v>239</v>
      </c>
      <c r="C26" s="107">
        <v>619.5</v>
      </c>
      <c r="D26" s="358">
        <f>619.5-60</f>
        <v>559.5</v>
      </c>
      <c r="E26" s="358">
        <v>1440</v>
      </c>
      <c r="F26" s="358" t="s">
        <v>111</v>
      </c>
      <c r="G26" s="358" t="s">
        <v>111</v>
      </c>
      <c r="H26" s="358">
        <v>620.8125</v>
      </c>
      <c r="I26" s="358">
        <f>I59-2700</f>
        <v>800</v>
      </c>
      <c r="J26" s="108">
        <v>770.96</v>
      </c>
      <c r="K26" s="358" t="s">
        <v>111</v>
      </c>
      <c r="L26" s="358" t="s">
        <v>111</v>
      </c>
      <c r="M26" s="359">
        <v>537.60000000000014</v>
      </c>
      <c r="N26" s="110"/>
      <c r="O26" s="530"/>
    </row>
    <row r="27" spans="1:15" x14ac:dyDescent="0.35">
      <c r="A27" s="587"/>
      <c r="B27" s="20" t="s">
        <v>240</v>
      </c>
      <c r="C27" s="112">
        <v>788</v>
      </c>
      <c r="D27" s="342">
        <f>788-60</f>
        <v>728</v>
      </c>
      <c r="E27" s="342" t="s">
        <v>111</v>
      </c>
      <c r="F27" s="342" t="s">
        <v>111</v>
      </c>
      <c r="G27" s="342" t="s">
        <v>111</v>
      </c>
      <c r="H27" s="342">
        <v>736.34999999999991</v>
      </c>
      <c r="I27" s="342">
        <f>I60-2910</f>
        <v>940</v>
      </c>
      <c r="J27" s="113">
        <v>779.24</v>
      </c>
      <c r="K27" s="342">
        <v>811.15</v>
      </c>
      <c r="L27" s="342">
        <v>811.15</v>
      </c>
      <c r="M27" s="344">
        <v>672</v>
      </c>
      <c r="N27" s="110"/>
      <c r="O27" s="530"/>
    </row>
    <row r="28" spans="1:15" x14ac:dyDescent="0.35">
      <c r="A28" s="587"/>
      <c r="B28" s="20" t="s">
        <v>256</v>
      </c>
      <c r="C28" s="112">
        <v>1142</v>
      </c>
      <c r="D28" s="342">
        <f>1142-60</f>
        <v>1082</v>
      </c>
      <c r="E28" s="342">
        <v>2310</v>
      </c>
      <c r="F28" s="342" t="s">
        <v>111</v>
      </c>
      <c r="G28" s="342" t="s">
        <v>111</v>
      </c>
      <c r="H28" s="342">
        <v>1041.5999999999999</v>
      </c>
      <c r="I28" s="342">
        <f>I61-3840</f>
        <v>1400</v>
      </c>
      <c r="J28" s="113">
        <v>1366.2</v>
      </c>
      <c r="K28" s="342">
        <v>1295.7</v>
      </c>
      <c r="L28" s="342">
        <f>K28*0.85</f>
        <v>1101.345</v>
      </c>
      <c r="M28" s="344">
        <v>837.59999999999991</v>
      </c>
      <c r="N28" s="110"/>
      <c r="O28" s="530"/>
    </row>
    <row r="29" spans="1:15" x14ac:dyDescent="0.35">
      <c r="A29" s="587"/>
      <c r="B29" s="20" t="s">
        <v>257</v>
      </c>
      <c r="C29" s="112">
        <v>2586.9499999999998</v>
      </c>
      <c r="D29" s="342">
        <f>2586.95-60</f>
        <v>2526.9499999999998</v>
      </c>
      <c r="E29" s="342" t="s">
        <v>111</v>
      </c>
      <c r="F29" s="342" t="s">
        <v>111</v>
      </c>
      <c r="G29" s="342" t="s">
        <v>111</v>
      </c>
      <c r="H29" s="342">
        <v>3171.4500000000003</v>
      </c>
      <c r="I29" s="342">
        <f>I62-7190</f>
        <v>4300</v>
      </c>
      <c r="J29" s="113">
        <v>4143.68</v>
      </c>
      <c r="K29" s="342">
        <v>3123.35</v>
      </c>
      <c r="L29" s="342">
        <f>K29*0.85</f>
        <v>2654.8474999999999</v>
      </c>
      <c r="M29" s="344">
        <v>2224.8000000000002</v>
      </c>
      <c r="N29" s="110"/>
      <c r="O29" s="530"/>
    </row>
    <row r="30" spans="1:15" x14ac:dyDescent="0.35">
      <c r="A30" s="587"/>
      <c r="B30" s="20" t="s">
        <v>258</v>
      </c>
      <c r="C30" s="112">
        <v>6241.3</v>
      </c>
      <c r="D30" s="471">
        <f>6241.3-60</f>
        <v>6181.3</v>
      </c>
      <c r="E30" s="342" t="s">
        <v>111</v>
      </c>
      <c r="F30" s="342">
        <v>4814</v>
      </c>
      <c r="G30" s="472">
        <f>4814/0.8*0.85</f>
        <v>5114.875</v>
      </c>
      <c r="H30" s="342" t="s">
        <v>111</v>
      </c>
      <c r="I30" s="342" t="s">
        <v>111</v>
      </c>
      <c r="J30" s="113" t="s">
        <v>111</v>
      </c>
      <c r="K30" s="342" t="s">
        <v>111</v>
      </c>
      <c r="L30" s="342" t="s">
        <v>111</v>
      </c>
      <c r="M30" s="344" t="s">
        <v>111</v>
      </c>
      <c r="N30" s="110"/>
      <c r="O30" s="530"/>
    </row>
    <row r="31" spans="1:15" ht="15" thickBot="1" x14ac:dyDescent="0.4">
      <c r="A31" s="612"/>
      <c r="B31" s="117" t="s">
        <v>259</v>
      </c>
      <c r="C31" s="118" t="s">
        <v>111</v>
      </c>
      <c r="D31" s="345" t="s">
        <v>111</v>
      </c>
      <c r="E31" s="345" t="s">
        <v>111</v>
      </c>
      <c r="F31" s="345" t="s">
        <v>111</v>
      </c>
      <c r="G31" s="345" t="s">
        <v>111</v>
      </c>
      <c r="H31" s="345" t="s">
        <v>111</v>
      </c>
      <c r="I31" s="345">
        <f>I64-8350</f>
        <v>6990</v>
      </c>
      <c r="J31" s="119" t="s">
        <v>111</v>
      </c>
      <c r="K31" s="345">
        <v>6892.8</v>
      </c>
      <c r="L31" s="345">
        <f>K31*0.85</f>
        <v>5858.88</v>
      </c>
      <c r="M31" s="346" t="s">
        <v>111</v>
      </c>
      <c r="N31" s="110"/>
      <c r="O31" s="530"/>
    </row>
    <row r="32" spans="1:15" x14ac:dyDescent="0.35">
      <c r="A32" s="620" t="s">
        <v>260</v>
      </c>
      <c r="B32" s="138" t="s">
        <v>239</v>
      </c>
      <c r="C32" s="142">
        <v>1024.05</v>
      </c>
      <c r="D32" s="356">
        <f>1024.05-60</f>
        <v>964.05</v>
      </c>
      <c r="E32" s="356">
        <v>2520</v>
      </c>
      <c r="F32" s="356" t="s">
        <v>111</v>
      </c>
      <c r="G32" s="356" t="s">
        <v>111</v>
      </c>
      <c r="H32" s="356">
        <v>1053.6750000000002</v>
      </c>
      <c r="I32" s="356">
        <f>I65-4640</f>
        <v>1280</v>
      </c>
      <c r="J32" s="143">
        <v>1187.72</v>
      </c>
      <c r="K32" s="356" t="s">
        <v>111</v>
      </c>
      <c r="L32" s="356" t="s">
        <v>111</v>
      </c>
      <c r="M32" s="357">
        <v>928.19999999999993</v>
      </c>
      <c r="N32" s="110"/>
      <c r="O32" s="530"/>
    </row>
    <row r="33" spans="1:15" x14ac:dyDescent="0.35">
      <c r="A33" s="587"/>
      <c r="B33" s="20" t="s">
        <v>240</v>
      </c>
      <c r="C33" s="112">
        <v>1324.5</v>
      </c>
      <c r="D33" s="342">
        <f>1324.5-60</f>
        <v>1264.5</v>
      </c>
      <c r="E33" s="342" t="s">
        <v>111</v>
      </c>
      <c r="F33" s="342" t="s">
        <v>111</v>
      </c>
      <c r="G33" s="342" t="s">
        <v>111</v>
      </c>
      <c r="H33" s="342">
        <v>1151.5500000000002</v>
      </c>
      <c r="I33" s="342">
        <f>I66-4920</f>
        <v>1530</v>
      </c>
      <c r="J33" s="113">
        <v>1296.28</v>
      </c>
      <c r="K33" s="342">
        <v>1242.5999999999999</v>
      </c>
      <c r="L33" s="342">
        <f>K33*0.7</f>
        <v>869.81999999999994</v>
      </c>
      <c r="M33" s="344">
        <v>1155.7000000000003</v>
      </c>
      <c r="N33" s="110"/>
      <c r="O33" s="530"/>
    </row>
    <row r="34" spans="1:15" x14ac:dyDescent="0.35">
      <c r="A34" s="587"/>
      <c r="B34" s="20" t="s">
        <v>261</v>
      </c>
      <c r="C34" s="112">
        <v>1583</v>
      </c>
      <c r="D34" s="342">
        <f>1583-60</f>
        <v>1523</v>
      </c>
      <c r="E34" s="342">
        <v>3020</v>
      </c>
      <c r="F34" s="342" t="s">
        <v>111</v>
      </c>
      <c r="G34" s="342" t="s">
        <v>111</v>
      </c>
      <c r="H34" s="342">
        <v>1458.6</v>
      </c>
      <c r="I34" s="342">
        <f>I67-5170</f>
        <v>1930</v>
      </c>
      <c r="J34" s="113">
        <v>1721.3200000000002</v>
      </c>
      <c r="K34" s="342">
        <v>1737.6</v>
      </c>
      <c r="L34" s="342">
        <f>K34*0.7</f>
        <v>1216.32</v>
      </c>
      <c r="M34" s="344">
        <v>1287</v>
      </c>
      <c r="N34" s="110"/>
      <c r="O34" s="530"/>
    </row>
    <row r="35" spans="1:15" x14ac:dyDescent="0.35">
      <c r="A35" s="587"/>
      <c r="B35" s="20" t="s">
        <v>262</v>
      </c>
      <c r="C35" s="112">
        <v>3555.95</v>
      </c>
      <c r="D35" s="342">
        <f>3555.95-60</f>
        <v>3495.95</v>
      </c>
      <c r="E35" s="342" t="s">
        <v>111</v>
      </c>
      <c r="F35" s="342" t="s">
        <v>111</v>
      </c>
      <c r="G35" s="342" t="s">
        <v>111</v>
      </c>
      <c r="H35" s="342">
        <v>4084.2749999999996</v>
      </c>
      <c r="I35" s="342">
        <f>I68-8740</f>
        <v>5620</v>
      </c>
      <c r="J35" s="113">
        <v>5883.4000000000005</v>
      </c>
      <c r="K35" s="342">
        <v>4350.95</v>
      </c>
      <c r="L35" s="342">
        <f>K35*0.7</f>
        <v>3045.6649999999995</v>
      </c>
      <c r="M35" s="344">
        <v>3079.7999999999997</v>
      </c>
      <c r="N35" s="110"/>
      <c r="O35" s="530"/>
    </row>
    <row r="36" spans="1:15" x14ac:dyDescent="0.35">
      <c r="A36" s="587"/>
      <c r="B36" s="20" t="s">
        <v>263</v>
      </c>
      <c r="C36" s="112">
        <v>8624.9500000000007</v>
      </c>
      <c r="D36" s="471">
        <f>8624.95-60</f>
        <v>8564.9500000000007</v>
      </c>
      <c r="E36" s="342" t="s">
        <v>111</v>
      </c>
      <c r="F36" s="342">
        <v>6728</v>
      </c>
      <c r="G36" s="472">
        <f>6728/0.8*0.85</f>
        <v>7148.5</v>
      </c>
      <c r="H36" s="342" t="s">
        <v>111</v>
      </c>
      <c r="I36" s="342" t="s">
        <v>111</v>
      </c>
      <c r="J36" s="113" t="s">
        <v>111</v>
      </c>
      <c r="K36" s="342" t="s">
        <v>111</v>
      </c>
      <c r="L36" s="342" t="s">
        <v>111</v>
      </c>
      <c r="M36" s="344" t="s">
        <v>111</v>
      </c>
      <c r="N36" s="110"/>
      <c r="O36" s="530"/>
    </row>
    <row r="37" spans="1:15" ht="15" thickBot="1" x14ac:dyDescent="0.4">
      <c r="A37" s="612"/>
      <c r="B37" s="117" t="s">
        <v>264</v>
      </c>
      <c r="C37" s="118" t="s">
        <v>111</v>
      </c>
      <c r="D37" s="345" t="s">
        <v>111</v>
      </c>
      <c r="E37" s="345" t="s">
        <v>111</v>
      </c>
      <c r="F37" s="345" t="s">
        <v>111</v>
      </c>
      <c r="G37" s="345" t="s">
        <v>111</v>
      </c>
      <c r="H37" s="345" t="s">
        <v>111</v>
      </c>
      <c r="I37" s="345">
        <f>I70-10070</f>
        <v>9080</v>
      </c>
      <c r="J37" s="119" t="s">
        <v>111</v>
      </c>
      <c r="K37" s="345">
        <v>8857.7000000000007</v>
      </c>
      <c r="L37" s="345">
        <f>K37*0.7</f>
        <v>6200.39</v>
      </c>
      <c r="M37" s="346" t="s">
        <v>111</v>
      </c>
      <c r="N37" s="110"/>
      <c r="O37" s="530"/>
    </row>
    <row r="38" spans="1:15" ht="29.5" thickBot="1" x14ac:dyDescent="0.4">
      <c r="A38" s="621" t="s">
        <v>221</v>
      </c>
      <c r="B38" s="622"/>
      <c r="C38" s="145" t="s">
        <v>310</v>
      </c>
      <c r="D38" s="145" t="s">
        <v>310</v>
      </c>
      <c r="E38" s="338" t="s">
        <v>267</v>
      </c>
      <c r="F38" s="338" t="s">
        <v>111</v>
      </c>
      <c r="G38" s="338" t="s">
        <v>111</v>
      </c>
      <c r="H38" s="338" t="s">
        <v>265</v>
      </c>
      <c r="I38" s="338" t="s">
        <v>268</v>
      </c>
      <c r="J38" s="338" t="s">
        <v>265</v>
      </c>
      <c r="K38" s="145" t="s">
        <v>270</v>
      </c>
      <c r="L38" s="145" t="s">
        <v>270</v>
      </c>
      <c r="M38" s="152" t="s">
        <v>266</v>
      </c>
      <c r="N38" s="110"/>
      <c r="O38" s="531"/>
    </row>
    <row r="39" spans="1:15" ht="29" x14ac:dyDescent="0.35">
      <c r="A39" s="588"/>
      <c r="B39" s="619"/>
      <c r="C39" s="274" t="s">
        <v>154</v>
      </c>
      <c r="D39" s="274" t="s">
        <v>154</v>
      </c>
      <c r="E39" s="274" t="s">
        <v>222</v>
      </c>
      <c r="F39" s="274" t="s">
        <v>111</v>
      </c>
      <c r="G39" s="274" t="s">
        <v>111</v>
      </c>
      <c r="H39" s="274" t="s">
        <v>223</v>
      </c>
      <c r="I39" s="275" t="s">
        <v>224</v>
      </c>
      <c r="J39" s="274" t="s">
        <v>225</v>
      </c>
      <c r="K39" s="353" t="s">
        <v>111</v>
      </c>
      <c r="L39" s="276" t="s">
        <v>381</v>
      </c>
      <c r="M39" s="278" t="s">
        <v>226</v>
      </c>
      <c r="N39" s="110"/>
      <c r="O39" s="465"/>
    </row>
    <row r="40" spans="1:15" ht="15" thickBot="1" x14ac:dyDescent="0.4">
      <c r="A40" s="153" t="s">
        <v>176</v>
      </c>
      <c r="B40" s="154" t="s">
        <v>140</v>
      </c>
      <c r="C40" s="150" t="s">
        <v>141</v>
      </c>
      <c r="D40" s="150" t="s">
        <v>141</v>
      </c>
      <c r="E40" s="360" t="s">
        <v>142</v>
      </c>
      <c r="F40" s="360" t="s">
        <v>111</v>
      </c>
      <c r="G40" s="360" t="s">
        <v>111</v>
      </c>
      <c r="H40" s="360" t="s">
        <v>141</v>
      </c>
      <c r="I40" s="150" t="s">
        <v>141</v>
      </c>
      <c r="J40" s="361" t="s">
        <v>142</v>
      </c>
      <c r="K40" s="162" t="s">
        <v>142</v>
      </c>
      <c r="L40" s="162" t="s">
        <v>142</v>
      </c>
      <c r="M40" s="155" t="s">
        <v>141</v>
      </c>
      <c r="N40" s="110"/>
      <c r="O40" s="465"/>
    </row>
    <row r="41" spans="1:15" ht="14.5" customHeight="1" x14ac:dyDescent="0.35">
      <c r="A41" s="616" t="s">
        <v>238</v>
      </c>
      <c r="B41" s="137" t="s">
        <v>239</v>
      </c>
      <c r="C41" s="107">
        <v>732.25</v>
      </c>
      <c r="D41" s="358">
        <f>732.25-60</f>
        <v>672.25</v>
      </c>
      <c r="E41" s="358">
        <v>1160</v>
      </c>
      <c r="F41" s="358" t="s">
        <v>111</v>
      </c>
      <c r="G41" s="358" t="s">
        <v>111</v>
      </c>
      <c r="H41" s="358">
        <v>586.72499999999991</v>
      </c>
      <c r="I41" s="358">
        <v>1320</v>
      </c>
      <c r="J41" s="108">
        <v>774.64</v>
      </c>
      <c r="K41" s="358" t="s">
        <v>111</v>
      </c>
      <c r="L41" s="358" t="s">
        <v>111</v>
      </c>
      <c r="M41" s="359">
        <v>555.10000000000014</v>
      </c>
      <c r="N41" s="110"/>
      <c r="O41" s="465"/>
    </row>
    <row r="42" spans="1:15" x14ac:dyDescent="0.35">
      <c r="A42" s="585"/>
      <c r="B42" s="20" t="s">
        <v>240</v>
      </c>
      <c r="C42" s="112">
        <v>910.25</v>
      </c>
      <c r="D42" s="342">
        <f>910.25-60</f>
        <v>850.25</v>
      </c>
      <c r="E42" s="342" t="s">
        <v>111</v>
      </c>
      <c r="F42" s="342" t="s">
        <v>111</v>
      </c>
      <c r="G42" s="342" t="s">
        <v>111</v>
      </c>
      <c r="H42" s="342">
        <v>689.47499999999991</v>
      </c>
      <c r="I42" s="342">
        <v>1360</v>
      </c>
      <c r="J42" s="113">
        <v>791.2</v>
      </c>
      <c r="K42" s="342" t="s">
        <v>111</v>
      </c>
      <c r="L42" s="342" t="s">
        <v>111</v>
      </c>
      <c r="M42" s="344">
        <v>576.80000000000007</v>
      </c>
      <c r="N42" s="110"/>
      <c r="O42" s="465"/>
    </row>
    <row r="43" spans="1:15" x14ac:dyDescent="0.35">
      <c r="A43" s="585"/>
      <c r="B43" s="20" t="s">
        <v>241</v>
      </c>
      <c r="C43" s="112">
        <v>1878.35</v>
      </c>
      <c r="D43" s="342">
        <f>1878.35-60</f>
        <v>1818.35</v>
      </c>
      <c r="E43" s="342">
        <v>3160</v>
      </c>
      <c r="F43" s="342" t="s">
        <v>111</v>
      </c>
      <c r="G43" s="342" t="s">
        <v>111</v>
      </c>
      <c r="H43" s="342">
        <v>1788.4499999999998</v>
      </c>
      <c r="I43" s="342">
        <v>2770</v>
      </c>
      <c r="J43" s="113">
        <v>2242.04</v>
      </c>
      <c r="K43" s="342" t="s">
        <v>111</v>
      </c>
      <c r="L43" s="342" t="s">
        <v>111</v>
      </c>
      <c r="M43" s="344">
        <v>1192.8</v>
      </c>
      <c r="N43" s="110"/>
      <c r="O43" s="465"/>
    </row>
    <row r="44" spans="1:15" x14ac:dyDescent="0.35">
      <c r="A44" s="585"/>
      <c r="B44" s="20" t="s">
        <v>242</v>
      </c>
      <c r="C44" s="112">
        <v>3531.15</v>
      </c>
      <c r="D44" s="342">
        <f>C44-60</f>
        <v>3471.15</v>
      </c>
      <c r="E44" s="342" t="s">
        <v>111</v>
      </c>
      <c r="F44" s="342" t="s">
        <v>111</v>
      </c>
      <c r="G44" s="342" t="s">
        <v>111</v>
      </c>
      <c r="H44" s="342">
        <v>3931.0499999999997</v>
      </c>
      <c r="I44" s="342">
        <v>5460</v>
      </c>
      <c r="J44" s="113" t="s">
        <v>111</v>
      </c>
      <c r="K44" s="342" t="s">
        <v>111</v>
      </c>
      <c r="L44" s="342" t="s">
        <v>111</v>
      </c>
      <c r="M44" s="344">
        <v>2259</v>
      </c>
      <c r="N44" s="110"/>
      <c r="O44" s="465"/>
    </row>
    <row r="45" spans="1:15" x14ac:dyDescent="0.35">
      <c r="A45" s="585"/>
      <c r="B45" s="20" t="s">
        <v>243</v>
      </c>
      <c r="C45" s="112">
        <v>6234.95</v>
      </c>
      <c r="D45" s="342">
        <f>C45-60</f>
        <v>6174.95</v>
      </c>
      <c r="E45" s="342" t="s">
        <v>111</v>
      </c>
      <c r="F45" s="342" t="s">
        <v>111</v>
      </c>
      <c r="G45" s="342" t="s">
        <v>111</v>
      </c>
      <c r="H45" s="342" t="s">
        <v>111</v>
      </c>
      <c r="I45" s="342" t="s">
        <v>111</v>
      </c>
      <c r="J45" s="113" t="s">
        <v>111</v>
      </c>
      <c r="K45" s="342" t="s">
        <v>111</v>
      </c>
      <c r="L45" s="342" t="s">
        <v>111</v>
      </c>
      <c r="M45" s="344" t="s">
        <v>111</v>
      </c>
      <c r="N45" s="110"/>
      <c r="O45" s="465"/>
    </row>
    <row r="46" spans="1:15" ht="15" thickBot="1" x14ac:dyDescent="0.4">
      <c r="A46" s="586"/>
      <c r="B46" s="117" t="s">
        <v>244</v>
      </c>
      <c r="C46" s="118" t="s">
        <v>111</v>
      </c>
      <c r="D46" s="345" t="s">
        <v>111</v>
      </c>
      <c r="E46" s="345" t="s">
        <v>111</v>
      </c>
      <c r="F46" s="345" t="s">
        <v>111</v>
      </c>
      <c r="G46" s="345" t="s">
        <v>111</v>
      </c>
      <c r="H46" s="345" t="s">
        <v>111</v>
      </c>
      <c r="I46" s="345">
        <v>7230</v>
      </c>
      <c r="J46" s="119" t="s">
        <v>111</v>
      </c>
      <c r="K46" s="345" t="s">
        <v>111</v>
      </c>
      <c r="L46" s="345" t="s">
        <v>111</v>
      </c>
      <c r="M46" s="346" t="s">
        <v>111</v>
      </c>
      <c r="N46" s="110"/>
      <c r="O46" s="465"/>
    </row>
    <row r="47" spans="1:15" x14ac:dyDescent="0.35">
      <c r="A47" s="616" t="s">
        <v>245</v>
      </c>
      <c r="B47" s="137" t="s">
        <v>239</v>
      </c>
      <c r="C47" s="107">
        <v>992.75</v>
      </c>
      <c r="D47" s="358">
        <f>992.75-60</f>
        <v>932.75</v>
      </c>
      <c r="E47" s="358">
        <v>1660</v>
      </c>
      <c r="F47" s="358" t="s">
        <v>111</v>
      </c>
      <c r="G47" s="358" t="s">
        <v>111</v>
      </c>
      <c r="H47" s="358">
        <v>893.09999999999991</v>
      </c>
      <c r="I47" s="358">
        <v>1480</v>
      </c>
      <c r="J47" s="108">
        <v>1192.3200000000002</v>
      </c>
      <c r="K47" s="358" t="s">
        <v>111</v>
      </c>
      <c r="L47" s="358" t="s">
        <v>111</v>
      </c>
      <c r="M47" s="359">
        <v>670.60000000000014</v>
      </c>
      <c r="N47" s="110"/>
      <c r="O47" s="465"/>
    </row>
    <row r="48" spans="1:15" x14ac:dyDescent="0.35">
      <c r="A48" s="585"/>
      <c r="B48" s="20" t="s">
        <v>240</v>
      </c>
      <c r="C48" s="112">
        <v>1340.95</v>
      </c>
      <c r="D48" s="342">
        <f>1340.95-60</f>
        <v>1280.95</v>
      </c>
      <c r="E48" s="342" t="s">
        <v>111</v>
      </c>
      <c r="F48" s="342" t="s">
        <v>111</v>
      </c>
      <c r="G48" s="342" t="s">
        <v>111</v>
      </c>
      <c r="H48" s="342">
        <v>1024.3499999999999</v>
      </c>
      <c r="I48" s="342">
        <v>1690</v>
      </c>
      <c r="J48" s="113">
        <v>1222.68</v>
      </c>
      <c r="K48" s="342" t="s">
        <v>111</v>
      </c>
      <c r="L48" s="342" t="s">
        <v>111</v>
      </c>
      <c r="M48" s="344">
        <v>850.5</v>
      </c>
      <c r="N48" s="110"/>
      <c r="O48" s="465"/>
    </row>
    <row r="49" spans="1:15" x14ac:dyDescent="0.35">
      <c r="A49" s="585"/>
      <c r="B49" s="20" t="s">
        <v>246</v>
      </c>
      <c r="C49" s="112">
        <v>2526.4499999999998</v>
      </c>
      <c r="D49" s="342">
        <f>2526.45-60</f>
        <v>2466.4499999999998</v>
      </c>
      <c r="E49" s="342">
        <v>4060</v>
      </c>
      <c r="F49" s="342" t="s">
        <v>111</v>
      </c>
      <c r="G49" s="342" t="s">
        <v>111</v>
      </c>
      <c r="H49" s="342">
        <v>2275.5749999999998</v>
      </c>
      <c r="I49" s="342">
        <v>3170</v>
      </c>
      <c r="J49" s="113">
        <v>2429.7200000000003</v>
      </c>
      <c r="K49" s="342" t="s">
        <v>111</v>
      </c>
      <c r="L49" s="342" t="s">
        <v>111</v>
      </c>
      <c r="M49" s="344">
        <v>1607.9999999999995</v>
      </c>
      <c r="N49" s="110"/>
      <c r="O49" s="465"/>
    </row>
    <row r="50" spans="1:15" x14ac:dyDescent="0.35">
      <c r="A50" s="585"/>
      <c r="B50" s="20" t="s">
        <v>247</v>
      </c>
      <c r="C50" s="112">
        <v>4830.3999999999996</v>
      </c>
      <c r="D50" s="342">
        <f>C50-60</f>
        <v>4770.3999999999996</v>
      </c>
      <c r="E50" s="342" t="s">
        <v>111</v>
      </c>
      <c r="F50" s="342" t="s">
        <v>111</v>
      </c>
      <c r="G50" s="342" t="s">
        <v>111</v>
      </c>
      <c r="H50" s="342">
        <v>5101.0499999999993</v>
      </c>
      <c r="I50" s="342">
        <v>6740</v>
      </c>
      <c r="J50" s="113" t="s">
        <v>111</v>
      </c>
      <c r="K50" s="342" t="s">
        <v>111</v>
      </c>
      <c r="L50" s="342" t="s">
        <v>111</v>
      </c>
      <c r="M50" s="344">
        <v>3033.6</v>
      </c>
      <c r="N50" s="110"/>
      <c r="O50" s="465"/>
    </row>
    <row r="51" spans="1:15" x14ac:dyDescent="0.35">
      <c r="A51" s="585"/>
      <c r="B51" s="20" t="s">
        <v>248</v>
      </c>
      <c r="C51" s="112">
        <v>8103.45</v>
      </c>
      <c r="D51" s="342">
        <f>C51-60</f>
        <v>8043.45</v>
      </c>
      <c r="E51" s="342" t="s">
        <v>111</v>
      </c>
      <c r="F51" s="342" t="s">
        <v>111</v>
      </c>
      <c r="G51" s="342" t="s">
        <v>111</v>
      </c>
      <c r="H51" s="342" t="s">
        <v>111</v>
      </c>
      <c r="I51" s="342" t="s">
        <v>111</v>
      </c>
      <c r="J51" s="113" t="s">
        <v>111</v>
      </c>
      <c r="K51" s="342" t="s">
        <v>111</v>
      </c>
      <c r="L51" s="342" t="s">
        <v>111</v>
      </c>
      <c r="M51" s="344" t="s">
        <v>111</v>
      </c>
      <c r="N51" s="110"/>
      <c r="O51" s="465"/>
    </row>
    <row r="52" spans="1:15" ht="15" thickBot="1" x14ac:dyDescent="0.4">
      <c r="A52" s="586"/>
      <c r="B52" s="117" t="s">
        <v>249</v>
      </c>
      <c r="C52" s="118" t="s">
        <v>111</v>
      </c>
      <c r="D52" s="345" t="s">
        <v>111</v>
      </c>
      <c r="E52" s="345" t="s">
        <v>111</v>
      </c>
      <c r="F52" s="345" t="s">
        <v>111</v>
      </c>
      <c r="G52" s="345" t="s">
        <v>111</v>
      </c>
      <c r="H52" s="345" t="s">
        <v>111</v>
      </c>
      <c r="I52" s="345">
        <v>9240</v>
      </c>
      <c r="J52" s="119" t="s">
        <v>111</v>
      </c>
      <c r="K52" s="345" t="s">
        <v>111</v>
      </c>
      <c r="L52" s="345" t="s">
        <v>111</v>
      </c>
      <c r="M52" s="346" t="s">
        <v>111</v>
      </c>
      <c r="N52" s="110"/>
      <c r="O52" s="465"/>
    </row>
    <row r="53" spans="1:15" x14ac:dyDescent="0.35">
      <c r="A53" s="616" t="s">
        <v>250</v>
      </c>
      <c r="B53" s="137" t="s">
        <v>239</v>
      </c>
      <c r="C53" s="107">
        <v>1572.9</v>
      </c>
      <c r="D53" s="358">
        <f>1572.9-60</f>
        <v>1512.9</v>
      </c>
      <c r="E53" s="358">
        <v>2640</v>
      </c>
      <c r="F53" s="358" t="s">
        <v>111</v>
      </c>
      <c r="G53" s="358" t="s">
        <v>111</v>
      </c>
      <c r="H53" s="358">
        <v>1323.0749999999998</v>
      </c>
      <c r="I53" s="358">
        <v>2140</v>
      </c>
      <c r="J53" s="108">
        <v>1950.4</v>
      </c>
      <c r="K53" s="358" t="s">
        <v>111</v>
      </c>
      <c r="L53" s="358" t="s">
        <v>111</v>
      </c>
      <c r="M53" s="359">
        <v>1391.6000000000001</v>
      </c>
      <c r="N53" s="110"/>
      <c r="O53" s="465"/>
    </row>
    <row r="54" spans="1:15" x14ac:dyDescent="0.35">
      <c r="A54" s="585"/>
      <c r="B54" s="20" t="s">
        <v>240</v>
      </c>
      <c r="C54" s="112">
        <v>2088.8000000000002</v>
      </c>
      <c r="D54" s="342">
        <f>2088.8-60</f>
        <v>2028.8000000000002</v>
      </c>
      <c r="E54" s="342" t="s">
        <v>111</v>
      </c>
      <c r="F54" s="342" t="s">
        <v>111</v>
      </c>
      <c r="G54" s="342" t="s">
        <v>111</v>
      </c>
      <c r="H54" s="342">
        <v>1577.25</v>
      </c>
      <c r="I54" s="342">
        <v>2440</v>
      </c>
      <c r="J54" s="113">
        <v>1985.3600000000001</v>
      </c>
      <c r="K54" s="342" t="s">
        <v>111</v>
      </c>
      <c r="L54" s="342" t="s">
        <v>111</v>
      </c>
      <c r="M54" s="344">
        <v>1500.1000000000001</v>
      </c>
      <c r="N54" s="110"/>
      <c r="O54" s="465"/>
    </row>
    <row r="55" spans="1:15" x14ac:dyDescent="0.35">
      <c r="A55" s="585"/>
      <c r="B55" s="20" t="s">
        <v>251</v>
      </c>
      <c r="C55" s="112">
        <v>3512.2</v>
      </c>
      <c r="D55" s="342">
        <f>3512.2-60</f>
        <v>3452.2</v>
      </c>
      <c r="E55" s="342">
        <v>5360</v>
      </c>
      <c r="F55" s="342" t="s">
        <v>111</v>
      </c>
      <c r="G55" s="342" t="s">
        <v>111</v>
      </c>
      <c r="H55" s="342">
        <v>2915.625</v>
      </c>
      <c r="I55" s="342">
        <v>4120</v>
      </c>
      <c r="J55" s="113">
        <v>3266</v>
      </c>
      <c r="K55" s="342" t="s">
        <v>111</v>
      </c>
      <c r="L55" s="342" t="s">
        <v>111</v>
      </c>
      <c r="M55" s="344">
        <v>2127</v>
      </c>
      <c r="N55" s="110"/>
      <c r="O55" s="465"/>
    </row>
    <row r="56" spans="1:15" x14ac:dyDescent="0.35">
      <c r="A56" s="585"/>
      <c r="B56" s="20" t="s">
        <v>252</v>
      </c>
      <c r="C56" s="112">
        <v>6619.7</v>
      </c>
      <c r="D56" s="342">
        <f>C56-60</f>
        <v>6559.7</v>
      </c>
      <c r="E56" s="342" t="s">
        <v>111</v>
      </c>
      <c r="F56" s="342" t="s">
        <v>111</v>
      </c>
      <c r="G56" s="342" t="s">
        <v>111</v>
      </c>
      <c r="H56" s="342">
        <v>6500.0250000000005</v>
      </c>
      <c r="I56" s="342">
        <v>8560</v>
      </c>
      <c r="J56" s="113" t="s">
        <v>111</v>
      </c>
      <c r="K56" s="342" t="s">
        <v>111</v>
      </c>
      <c r="L56" s="342" t="s">
        <v>111</v>
      </c>
      <c r="M56" s="344">
        <v>4296</v>
      </c>
      <c r="N56" s="110"/>
      <c r="O56" s="465"/>
    </row>
    <row r="57" spans="1:15" x14ac:dyDescent="0.35">
      <c r="A57" s="585"/>
      <c r="B57" s="20" t="s">
        <v>253</v>
      </c>
      <c r="C57" s="112">
        <v>10678.2</v>
      </c>
      <c r="D57" s="342">
        <f>C57-60</f>
        <v>10618.2</v>
      </c>
      <c r="E57" s="342" t="s">
        <v>111</v>
      </c>
      <c r="F57" s="342" t="s">
        <v>111</v>
      </c>
      <c r="G57" s="342" t="s">
        <v>111</v>
      </c>
      <c r="H57" s="342" t="s">
        <v>111</v>
      </c>
      <c r="I57" s="342" t="s">
        <v>111</v>
      </c>
      <c r="J57" s="113" t="s">
        <v>111</v>
      </c>
      <c r="K57" s="342" t="s">
        <v>111</v>
      </c>
      <c r="L57" s="342" t="s">
        <v>111</v>
      </c>
      <c r="M57" s="344" t="s">
        <v>111</v>
      </c>
      <c r="N57" s="110"/>
      <c r="O57" s="465"/>
    </row>
    <row r="58" spans="1:15" ht="15" thickBot="1" x14ac:dyDescent="0.4">
      <c r="A58" s="586"/>
      <c r="B58" s="117" t="s">
        <v>254</v>
      </c>
      <c r="C58" s="118" t="s">
        <v>111</v>
      </c>
      <c r="D58" s="345" t="s">
        <v>111</v>
      </c>
      <c r="E58" s="345" t="s">
        <v>111</v>
      </c>
      <c r="F58" s="345" t="s">
        <v>111</v>
      </c>
      <c r="G58" s="345" t="s">
        <v>111</v>
      </c>
      <c r="H58" s="345" t="s">
        <v>111</v>
      </c>
      <c r="I58" s="345">
        <v>11390</v>
      </c>
      <c r="J58" s="119" t="s">
        <v>111</v>
      </c>
      <c r="K58" s="345" t="s">
        <v>111</v>
      </c>
      <c r="L58" s="345" t="s">
        <v>111</v>
      </c>
      <c r="M58" s="346" t="s">
        <v>111</v>
      </c>
      <c r="N58" s="110"/>
      <c r="O58" s="465"/>
    </row>
    <row r="59" spans="1:15" x14ac:dyDescent="0.35">
      <c r="A59" s="616" t="s">
        <v>255</v>
      </c>
      <c r="B59" s="137" t="s">
        <v>239</v>
      </c>
      <c r="C59" s="107">
        <v>2415</v>
      </c>
      <c r="D59" s="358">
        <f>2415-60</f>
        <v>2355</v>
      </c>
      <c r="E59" s="358">
        <v>4470</v>
      </c>
      <c r="F59" s="358" t="s">
        <v>111</v>
      </c>
      <c r="G59" s="358" t="s">
        <v>111</v>
      </c>
      <c r="H59" s="358">
        <v>1787.0625</v>
      </c>
      <c r="I59" s="358">
        <v>3500</v>
      </c>
      <c r="J59" s="108">
        <v>3006.56</v>
      </c>
      <c r="K59" s="358" t="s">
        <v>111</v>
      </c>
      <c r="L59" s="358" t="s">
        <v>111</v>
      </c>
      <c r="M59" s="359">
        <v>2112.6</v>
      </c>
      <c r="N59" s="110"/>
      <c r="O59" s="465"/>
    </row>
    <row r="60" spans="1:15" x14ac:dyDescent="0.35">
      <c r="A60" s="585"/>
      <c r="B60" s="20" t="s">
        <v>240</v>
      </c>
      <c r="C60" s="112">
        <v>3312.9</v>
      </c>
      <c r="D60" s="342">
        <f>3312.9-60</f>
        <v>3252.9</v>
      </c>
      <c r="E60" s="342" t="s">
        <v>111</v>
      </c>
      <c r="F60" s="342" t="s">
        <v>111</v>
      </c>
      <c r="G60" s="342" t="s">
        <v>111</v>
      </c>
      <c r="H60" s="342">
        <v>2633.8500000000004</v>
      </c>
      <c r="I60" s="342">
        <v>3850</v>
      </c>
      <c r="J60" s="113">
        <v>3093.04</v>
      </c>
      <c r="K60" s="342" t="s">
        <v>111</v>
      </c>
      <c r="L60" s="342" t="s">
        <v>111</v>
      </c>
      <c r="M60" s="344">
        <v>2506</v>
      </c>
      <c r="N60" s="110"/>
      <c r="O60" s="465"/>
    </row>
    <row r="61" spans="1:15" x14ac:dyDescent="0.35">
      <c r="A61" s="585"/>
      <c r="B61" s="20" t="s">
        <v>256</v>
      </c>
      <c r="C61" s="112">
        <v>4736.8999999999996</v>
      </c>
      <c r="D61" s="342">
        <f>4736.9-60</f>
        <v>4676.8999999999996</v>
      </c>
      <c r="E61" s="342">
        <v>7530</v>
      </c>
      <c r="F61" s="342" t="s">
        <v>111</v>
      </c>
      <c r="G61" s="342" t="s">
        <v>111</v>
      </c>
      <c r="H61" s="342">
        <v>8372.7000000000007</v>
      </c>
      <c r="I61" s="342">
        <v>5240</v>
      </c>
      <c r="J61" s="113">
        <v>4522.72</v>
      </c>
      <c r="K61" s="342" t="s">
        <v>111</v>
      </c>
      <c r="L61" s="342" t="s">
        <v>111</v>
      </c>
      <c r="M61" s="344">
        <v>2817.6</v>
      </c>
      <c r="N61" s="110"/>
      <c r="O61" s="465"/>
    </row>
    <row r="62" spans="1:15" x14ac:dyDescent="0.35">
      <c r="A62" s="585"/>
      <c r="B62" s="20" t="s">
        <v>257</v>
      </c>
      <c r="C62" s="112">
        <v>9168.65</v>
      </c>
      <c r="D62" s="342">
        <f>9168.65-60</f>
        <v>9108.65</v>
      </c>
      <c r="E62" s="342" t="s">
        <v>111</v>
      </c>
      <c r="F62" s="342" t="s">
        <v>111</v>
      </c>
      <c r="G62" s="342" t="s">
        <v>111</v>
      </c>
      <c r="H62" s="342">
        <v>8372.7000000000007</v>
      </c>
      <c r="I62" s="342">
        <v>11490</v>
      </c>
      <c r="J62" s="113">
        <v>9686.68</v>
      </c>
      <c r="K62" s="342" t="s">
        <v>111</v>
      </c>
      <c r="L62" s="342" t="s">
        <v>111</v>
      </c>
      <c r="M62" s="344">
        <v>6124.7999999999993</v>
      </c>
      <c r="N62" s="110"/>
      <c r="O62" s="465"/>
    </row>
    <row r="63" spans="1:15" x14ac:dyDescent="0.35">
      <c r="A63" s="585"/>
      <c r="B63" s="20" t="s">
        <v>258</v>
      </c>
      <c r="C63" s="112">
        <v>14299.85</v>
      </c>
      <c r="D63" s="342">
        <f>14299.85-60</f>
        <v>14239.85</v>
      </c>
      <c r="E63" s="342" t="s">
        <v>111</v>
      </c>
      <c r="F63" s="342" t="s">
        <v>111</v>
      </c>
      <c r="G63" s="342" t="s">
        <v>111</v>
      </c>
      <c r="H63" s="342" t="s">
        <v>111</v>
      </c>
      <c r="I63" s="342" t="s">
        <v>111</v>
      </c>
      <c r="J63" s="113" t="s">
        <v>111</v>
      </c>
      <c r="K63" s="342" t="s">
        <v>111</v>
      </c>
      <c r="L63" s="342" t="s">
        <v>111</v>
      </c>
      <c r="M63" s="344" t="s">
        <v>111</v>
      </c>
      <c r="N63" s="110"/>
      <c r="O63" s="465"/>
    </row>
    <row r="64" spans="1:15" ht="15" thickBot="1" x14ac:dyDescent="0.4">
      <c r="A64" s="586"/>
      <c r="B64" s="117" t="s">
        <v>259</v>
      </c>
      <c r="C64" s="118" t="s">
        <v>111</v>
      </c>
      <c r="D64" s="345" t="s">
        <v>111</v>
      </c>
      <c r="E64" s="345" t="s">
        <v>111</v>
      </c>
      <c r="F64" s="345"/>
      <c r="G64" s="345"/>
      <c r="H64" s="345" t="s">
        <v>111</v>
      </c>
      <c r="I64" s="345">
        <v>15340</v>
      </c>
      <c r="J64" s="119" t="s">
        <v>111</v>
      </c>
      <c r="K64" s="345" t="s">
        <v>111</v>
      </c>
      <c r="L64" s="345" t="s">
        <v>111</v>
      </c>
      <c r="M64" s="346" t="s">
        <v>111</v>
      </c>
      <c r="N64" s="110"/>
      <c r="O64" s="465"/>
    </row>
    <row r="65" spans="1:15" x14ac:dyDescent="0.35">
      <c r="A65" s="617" t="s">
        <v>260</v>
      </c>
      <c r="B65" s="138" t="s">
        <v>239</v>
      </c>
      <c r="C65" s="142">
        <v>4063.55</v>
      </c>
      <c r="D65" s="356">
        <f>4063.55-60</f>
        <v>4003.55</v>
      </c>
      <c r="E65" s="356">
        <v>7870</v>
      </c>
      <c r="F65" s="356" t="s">
        <v>111</v>
      </c>
      <c r="G65" s="356" t="s">
        <v>111</v>
      </c>
      <c r="H65" s="356">
        <v>3659.5499999999997</v>
      </c>
      <c r="I65" s="356">
        <v>5920</v>
      </c>
      <c r="J65" s="143">
        <v>5100.4800000000005</v>
      </c>
      <c r="K65" s="356" t="s">
        <v>111</v>
      </c>
      <c r="L65" s="356" t="s">
        <v>111</v>
      </c>
      <c r="M65" s="357">
        <v>3721.2000000000003</v>
      </c>
      <c r="N65" s="110"/>
      <c r="O65" s="465"/>
    </row>
    <row r="66" spans="1:15" x14ac:dyDescent="0.35">
      <c r="A66" s="585"/>
      <c r="B66" s="20" t="s">
        <v>240</v>
      </c>
      <c r="C66" s="112">
        <v>5646.85</v>
      </c>
      <c r="D66" s="342">
        <f>5646.85-60</f>
        <v>5586.85</v>
      </c>
      <c r="E66" s="342" t="s">
        <v>111</v>
      </c>
      <c r="F66" s="342" t="s">
        <v>111</v>
      </c>
      <c r="G66" s="342" t="s">
        <v>111</v>
      </c>
      <c r="H66" s="342">
        <v>4331.5499999999993</v>
      </c>
      <c r="I66" s="342">
        <v>6450</v>
      </c>
      <c r="J66" s="113">
        <v>5343.3600000000006</v>
      </c>
      <c r="K66" s="342" t="s">
        <v>111</v>
      </c>
      <c r="L66" s="342" t="s">
        <v>111</v>
      </c>
      <c r="M66" s="344">
        <v>4466.7</v>
      </c>
      <c r="N66" s="110"/>
      <c r="O66" s="465"/>
    </row>
    <row r="67" spans="1:15" x14ac:dyDescent="0.35">
      <c r="A67" s="585"/>
      <c r="B67" s="20" t="s">
        <v>261</v>
      </c>
      <c r="C67" s="112">
        <v>6843.15</v>
      </c>
      <c r="D67" s="342">
        <f>6843.15-60</f>
        <v>6783.15</v>
      </c>
      <c r="E67" s="342">
        <v>10470</v>
      </c>
      <c r="F67" s="342" t="s">
        <v>111</v>
      </c>
      <c r="G67" s="342" t="s">
        <v>111</v>
      </c>
      <c r="H67" s="342">
        <v>5026.3500000000004</v>
      </c>
      <c r="I67" s="342">
        <v>7100</v>
      </c>
      <c r="J67" s="113">
        <v>5920.2</v>
      </c>
      <c r="K67" s="342" t="s">
        <v>111</v>
      </c>
      <c r="L67" s="342" t="s">
        <v>111</v>
      </c>
      <c r="M67" s="344">
        <v>4281</v>
      </c>
      <c r="N67" s="110"/>
      <c r="O67" s="465"/>
    </row>
    <row r="68" spans="1:15" x14ac:dyDescent="0.35">
      <c r="A68" s="585"/>
      <c r="B68" s="20" t="s">
        <v>262</v>
      </c>
      <c r="C68" s="112">
        <v>13063.75</v>
      </c>
      <c r="D68" s="342">
        <f>13063.75-60</f>
        <v>13003.75</v>
      </c>
      <c r="E68" s="342" t="s">
        <v>111</v>
      </c>
      <c r="F68" s="342" t="s">
        <v>111</v>
      </c>
      <c r="G68" s="342" t="s">
        <v>111</v>
      </c>
      <c r="H68" s="342">
        <v>10754.775000000001</v>
      </c>
      <c r="I68" s="342">
        <v>14360</v>
      </c>
      <c r="J68" s="113">
        <v>13236.960000000001</v>
      </c>
      <c r="K68" s="342" t="s">
        <v>111</v>
      </c>
      <c r="L68" s="342" t="s">
        <v>111</v>
      </c>
      <c r="M68" s="344">
        <v>8119.7999999999984</v>
      </c>
      <c r="N68" s="110"/>
      <c r="O68" s="465"/>
    </row>
    <row r="69" spans="1:15" x14ac:dyDescent="0.35">
      <c r="A69" s="585"/>
      <c r="B69" s="20" t="s">
        <v>263</v>
      </c>
      <c r="C69" s="112">
        <v>19452.7</v>
      </c>
      <c r="D69" s="342">
        <f>19452.7-60</f>
        <v>19392.7</v>
      </c>
      <c r="E69" s="342" t="s">
        <v>111</v>
      </c>
      <c r="F69" s="342" t="s">
        <v>111</v>
      </c>
      <c r="G69" s="342" t="s">
        <v>111</v>
      </c>
      <c r="H69" s="342" t="s">
        <v>111</v>
      </c>
      <c r="I69" s="342" t="s">
        <v>111</v>
      </c>
      <c r="J69" s="113" t="s">
        <v>111</v>
      </c>
      <c r="K69" s="342" t="s">
        <v>111</v>
      </c>
      <c r="L69" s="342" t="s">
        <v>111</v>
      </c>
      <c r="M69" s="344" t="s">
        <v>111</v>
      </c>
      <c r="N69" s="110"/>
      <c r="O69" s="465"/>
    </row>
    <row r="70" spans="1:15" ht="15" thickBot="1" x14ac:dyDescent="0.4">
      <c r="A70" s="586"/>
      <c r="B70" s="117" t="s">
        <v>264</v>
      </c>
      <c r="C70" s="118" t="s">
        <v>111</v>
      </c>
      <c r="D70" s="345" t="s">
        <v>111</v>
      </c>
      <c r="E70" s="345" t="s">
        <v>111</v>
      </c>
      <c r="F70" s="345" t="s">
        <v>111</v>
      </c>
      <c r="G70" s="345" t="s">
        <v>111</v>
      </c>
      <c r="H70" s="345" t="s">
        <v>111</v>
      </c>
      <c r="I70" s="345">
        <v>19150</v>
      </c>
      <c r="J70" s="119" t="s">
        <v>111</v>
      </c>
      <c r="K70" s="345" t="s">
        <v>111</v>
      </c>
      <c r="L70" s="345" t="s">
        <v>111</v>
      </c>
      <c r="M70" s="346" t="s">
        <v>111</v>
      </c>
      <c r="N70" s="110"/>
      <c r="O70" s="465"/>
    </row>
    <row r="71" spans="1:15" x14ac:dyDescent="0.35">
      <c r="A71" s="157"/>
      <c r="B71" s="158"/>
      <c r="C71" s="163"/>
      <c r="D71" s="163"/>
      <c r="E71" s="163"/>
      <c r="H71" s="163"/>
      <c r="I71" s="163"/>
      <c r="J71" s="163"/>
      <c r="K71" s="163"/>
      <c r="L71" s="163"/>
      <c r="M71" s="163"/>
      <c r="N71" s="124"/>
      <c r="O71" s="465"/>
    </row>
    <row r="72" spans="1:15" x14ac:dyDescent="0.35">
      <c r="A72" s="157"/>
      <c r="B72" s="158"/>
      <c r="C72" s="163"/>
      <c r="D72" s="163"/>
      <c r="E72" s="163"/>
      <c r="H72" s="163"/>
      <c r="I72" s="163"/>
      <c r="J72" s="163"/>
      <c r="K72" s="163"/>
      <c r="L72" s="163"/>
      <c r="M72" s="163"/>
      <c r="N72" s="124"/>
      <c r="O72" s="465"/>
    </row>
    <row r="73" spans="1:15" ht="15.5" x14ac:dyDescent="0.35">
      <c r="A73" s="610" t="s">
        <v>160</v>
      </c>
      <c r="B73" s="610"/>
      <c r="C73" s="164"/>
      <c r="D73" s="164"/>
      <c r="E73" s="96"/>
      <c r="F73"/>
      <c r="G73"/>
      <c r="H73" s="96"/>
      <c r="I73" s="96"/>
      <c r="J73" s="97"/>
      <c r="K73" s="46" t="s">
        <v>128</v>
      </c>
      <c r="L73" s="562" t="s">
        <v>128</v>
      </c>
      <c r="M73" s="562"/>
      <c r="N73" s="562"/>
      <c r="O73" s="465"/>
    </row>
    <row r="74" spans="1:15" ht="15.5" x14ac:dyDescent="0.35">
      <c r="A74" s="590" t="s">
        <v>129</v>
      </c>
      <c r="B74" s="590"/>
      <c r="C74" s="165">
        <v>1000000</v>
      </c>
      <c r="D74" s="165">
        <v>1000000</v>
      </c>
      <c r="E74" s="166"/>
      <c r="F74" s="126"/>
      <c r="G74" s="126"/>
      <c r="H74" s="166"/>
      <c r="I74" s="166"/>
      <c r="J74" s="101"/>
      <c r="K74" s="562" t="s">
        <v>211</v>
      </c>
      <c r="L74" s="562"/>
      <c r="M74" s="562"/>
      <c r="N74" s="124"/>
      <c r="O74" s="465"/>
    </row>
    <row r="75" spans="1:15" ht="15" thickBot="1" x14ac:dyDescent="0.4">
      <c r="A75" s="614"/>
      <c r="B75" s="614"/>
      <c r="C75" s="166"/>
      <c r="D75" s="166"/>
      <c r="E75" s="166"/>
      <c r="F75" s="127"/>
      <c r="G75" s="127"/>
      <c r="H75" s="166"/>
      <c r="I75" s="166"/>
      <c r="J75" s="96"/>
      <c r="K75" s="96"/>
      <c r="L75" s="96"/>
      <c r="M75" s="96"/>
      <c r="N75" s="124"/>
      <c r="O75" s="465"/>
    </row>
    <row r="76" spans="1:15" ht="60.5" customHeight="1" x14ac:dyDescent="0.35">
      <c r="A76" s="592"/>
      <c r="B76" s="615"/>
      <c r="C76" s="328" t="s">
        <v>385</v>
      </c>
      <c r="D76" s="328" t="s">
        <v>385</v>
      </c>
      <c r="E76" s="128" t="s">
        <v>228</v>
      </c>
      <c r="F76" s="128" t="s">
        <v>354</v>
      </c>
      <c r="G76" s="128" t="s">
        <v>354</v>
      </c>
      <c r="H76" s="128" t="s">
        <v>229</v>
      </c>
      <c r="I76" s="128" t="s">
        <v>230</v>
      </c>
      <c r="J76" s="128" t="s">
        <v>231</v>
      </c>
      <c r="K76" s="167" t="s">
        <v>232</v>
      </c>
      <c r="L76" s="128" t="s">
        <v>334</v>
      </c>
      <c r="M76" s="168" t="s">
        <v>233</v>
      </c>
      <c r="N76" s="124"/>
      <c r="O76" s="465"/>
    </row>
    <row r="77" spans="1:15" ht="45" customHeight="1" x14ac:dyDescent="0.35">
      <c r="A77" s="594" t="s">
        <v>213</v>
      </c>
      <c r="B77" s="613"/>
      <c r="C77" s="130" t="s">
        <v>311</v>
      </c>
      <c r="D77" s="130" t="s">
        <v>311</v>
      </c>
      <c r="E77" s="130" t="s">
        <v>235</v>
      </c>
      <c r="F77" s="130" t="s">
        <v>353</v>
      </c>
      <c r="G77" s="130" t="s">
        <v>353</v>
      </c>
      <c r="H77" s="130" t="s">
        <v>234</v>
      </c>
      <c r="I77" s="130" t="s">
        <v>236</v>
      </c>
      <c r="J77" s="130" t="s">
        <v>234</v>
      </c>
      <c r="K77" s="169" t="s">
        <v>237</v>
      </c>
      <c r="L77" s="169" t="s">
        <v>237</v>
      </c>
      <c r="M77" s="170" t="s">
        <v>234</v>
      </c>
      <c r="N77" s="124"/>
      <c r="O77" s="465"/>
    </row>
    <row r="78" spans="1:15" ht="15" customHeight="1" thickBot="1" x14ac:dyDescent="0.4">
      <c r="A78" s="132" t="s">
        <v>176</v>
      </c>
      <c r="B78" s="133" t="s">
        <v>140</v>
      </c>
      <c r="C78" s="134" t="s">
        <v>141</v>
      </c>
      <c r="D78" s="134" t="s">
        <v>141</v>
      </c>
      <c r="E78" s="134" t="s">
        <v>142</v>
      </c>
      <c r="F78" s="134" t="s">
        <v>141</v>
      </c>
      <c r="G78" s="134" t="s">
        <v>141</v>
      </c>
      <c r="H78" s="136" t="s">
        <v>141</v>
      </c>
      <c r="I78" s="136" t="s">
        <v>141</v>
      </c>
      <c r="J78" s="136" t="s">
        <v>142</v>
      </c>
      <c r="K78" s="171" t="s">
        <v>142</v>
      </c>
      <c r="L78" s="171" t="s">
        <v>142</v>
      </c>
      <c r="M78" s="172" t="s">
        <v>141</v>
      </c>
      <c r="N78" s="124"/>
      <c r="O78" s="465"/>
    </row>
    <row r="79" spans="1:15" ht="15" customHeight="1" x14ac:dyDescent="0.35">
      <c r="A79" s="611" t="s">
        <v>238</v>
      </c>
      <c r="B79" s="137" t="s">
        <v>239</v>
      </c>
      <c r="C79" s="107">
        <v>198.1</v>
      </c>
      <c r="D79" s="358">
        <f>198.1-60</f>
        <v>138.1</v>
      </c>
      <c r="E79" s="358">
        <v>380</v>
      </c>
      <c r="F79" s="358" t="s">
        <v>111</v>
      </c>
      <c r="G79" s="358" t="s">
        <v>111</v>
      </c>
      <c r="H79" s="358">
        <v>208.57500000000002</v>
      </c>
      <c r="I79" s="358">
        <f>I112-1410</f>
        <v>310</v>
      </c>
      <c r="J79" s="108">
        <v>259.44</v>
      </c>
      <c r="K79" s="358" t="s">
        <v>111</v>
      </c>
      <c r="L79" s="358" t="s">
        <v>111</v>
      </c>
      <c r="M79" s="359">
        <v>200.20000000000002</v>
      </c>
      <c r="N79" s="110"/>
      <c r="O79" s="465"/>
    </row>
    <row r="80" spans="1:15" ht="15" customHeight="1" x14ac:dyDescent="0.35">
      <c r="A80" s="587"/>
      <c r="B80" s="20" t="s">
        <v>240</v>
      </c>
      <c r="C80" s="112">
        <v>213.95</v>
      </c>
      <c r="D80" s="342">
        <f>213.95-60</f>
        <v>153.94999999999999</v>
      </c>
      <c r="E80" s="342" t="s">
        <v>111</v>
      </c>
      <c r="F80" s="342" t="s">
        <v>111</v>
      </c>
      <c r="G80" s="342" t="s">
        <v>111</v>
      </c>
      <c r="H80" s="342">
        <v>208.57500000000002</v>
      </c>
      <c r="I80" s="342">
        <f>I113-1440</f>
        <v>320</v>
      </c>
      <c r="J80" s="113">
        <v>259.44</v>
      </c>
      <c r="K80" s="342">
        <v>243.45</v>
      </c>
      <c r="L80" s="342">
        <v>243.45</v>
      </c>
      <c r="M80" s="344">
        <v>200.90000000000003</v>
      </c>
      <c r="N80" s="110"/>
      <c r="O80" s="465"/>
    </row>
    <row r="81" spans="1:15" ht="15" customHeight="1" x14ac:dyDescent="0.35">
      <c r="A81" s="587"/>
      <c r="B81" s="20" t="s">
        <v>241</v>
      </c>
      <c r="C81" s="112">
        <v>405.95</v>
      </c>
      <c r="D81" s="342">
        <f>405.95-60</f>
        <v>345.95</v>
      </c>
      <c r="E81" s="342">
        <v>730</v>
      </c>
      <c r="F81" s="342" t="s">
        <v>111</v>
      </c>
      <c r="G81" s="342" t="s">
        <v>111</v>
      </c>
      <c r="H81" s="342">
        <v>376.91250000000002</v>
      </c>
      <c r="I81" s="342">
        <f>I114-2650</f>
        <v>660</v>
      </c>
      <c r="J81" s="113">
        <v>544.64</v>
      </c>
      <c r="K81" s="342">
        <v>493.85</v>
      </c>
      <c r="L81" s="342">
        <v>493.85</v>
      </c>
      <c r="M81" s="344">
        <v>313.2</v>
      </c>
      <c r="N81" s="110"/>
      <c r="O81" s="465"/>
    </row>
    <row r="82" spans="1:15" ht="15" customHeight="1" x14ac:dyDescent="0.35">
      <c r="A82" s="587"/>
      <c r="B82" s="20" t="s">
        <v>242</v>
      </c>
      <c r="C82" s="112">
        <v>822.8</v>
      </c>
      <c r="D82" s="342">
        <f>C82-60</f>
        <v>762.8</v>
      </c>
      <c r="E82" s="342" t="s">
        <v>111</v>
      </c>
      <c r="F82" s="342" t="s">
        <v>111</v>
      </c>
      <c r="G82" s="342" t="s">
        <v>111</v>
      </c>
      <c r="H82" s="342">
        <v>1108.0124999999998</v>
      </c>
      <c r="I82" s="342">
        <f>I115-4010</f>
        <v>1670</v>
      </c>
      <c r="J82" s="113" t="s">
        <v>111</v>
      </c>
      <c r="K82" s="342">
        <v>1191.8499999999999</v>
      </c>
      <c r="L82" s="342">
        <v>1191.8499999999999</v>
      </c>
      <c r="M82" s="344">
        <v>796.8</v>
      </c>
      <c r="N82" s="110"/>
      <c r="O82" s="465"/>
    </row>
    <row r="83" spans="1:15" ht="15" customHeight="1" x14ac:dyDescent="0.35">
      <c r="A83" s="587"/>
      <c r="B83" s="20" t="s">
        <v>243</v>
      </c>
      <c r="C83" s="112">
        <v>2137.5500000000002</v>
      </c>
      <c r="D83" s="471">
        <f>C83-60</f>
        <v>2077.5500000000002</v>
      </c>
      <c r="E83" s="342" t="s">
        <v>111</v>
      </c>
      <c r="F83" s="342">
        <v>1614</v>
      </c>
      <c r="G83" s="472">
        <f>1614/0.8*0.85</f>
        <v>1714.875</v>
      </c>
      <c r="H83" s="342" t="s">
        <v>111</v>
      </c>
      <c r="I83" s="342" t="s">
        <v>111</v>
      </c>
      <c r="J83" s="113" t="s">
        <v>111</v>
      </c>
      <c r="K83" s="342" t="s">
        <v>111</v>
      </c>
      <c r="L83" s="342" t="s">
        <v>111</v>
      </c>
      <c r="M83" s="344" t="s">
        <v>111</v>
      </c>
      <c r="N83" s="110"/>
      <c r="O83" s="465"/>
    </row>
    <row r="84" spans="1:15" ht="15" customHeight="1" thickBot="1" x14ac:dyDescent="0.4">
      <c r="A84" s="612"/>
      <c r="B84" s="117" t="s">
        <v>244</v>
      </c>
      <c r="C84" s="118" t="s">
        <v>111</v>
      </c>
      <c r="D84" s="345" t="s">
        <v>111</v>
      </c>
      <c r="E84" s="345" t="s">
        <v>111</v>
      </c>
      <c r="F84" s="345" t="s">
        <v>111</v>
      </c>
      <c r="G84" s="345" t="s">
        <v>111</v>
      </c>
      <c r="H84" s="345" t="s">
        <v>111</v>
      </c>
      <c r="I84" s="345">
        <f>I117-4440</f>
        <v>2880</v>
      </c>
      <c r="J84" s="119" t="s">
        <v>111</v>
      </c>
      <c r="K84" s="345">
        <v>2292.6</v>
      </c>
      <c r="L84" s="345">
        <f>K84*0.85</f>
        <v>1948.7099999999998</v>
      </c>
      <c r="M84" s="346" t="s">
        <v>111</v>
      </c>
      <c r="N84" s="110"/>
      <c r="O84" s="465"/>
    </row>
    <row r="85" spans="1:15" ht="15" customHeight="1" x14ac:dyDescent="0.35">
      <c r="A85" s="611" t="s">
        <v>245</v>
      </c>
      <c r="B85" s="137" t="s">
        <v>239</v>
      </c>
      <c r="C85" s="107">
        <v>273.95</v>
      </c>
      <c r="D85" s="358">
        <f>273.95-60</f>
        <v>213.95</v>
      </c>
      <c r="E85" s="358">
        <v>490</v>
      </c>
      <c r="F85" s="358" t="s">
        <v>111</v>
      </c>
      <c r="G85" s="358" t="s">
        <v>111</v>
      </c>
      <c r="H85" s="358">
        <v>249.75</v>
      </c>
      <c r="I85" s="358">
        <f>I118-1790</f>
        <v>340</v>
      </c>
      <c r="J85" s="108">
        <v>344.08000000000004</v>
      </c>
      <c r="K85" s="358" t="s">
        <v>111</v>
      </c>
      <c r="L85" s="358" t="s">
        <v>111</v>
      </c>
      <c r="M85" s="359">
        <v>226.10000000000002</v>
      </c>
      <c r="N85" s="110"/>
      <c r="O85" s="465"/>
    </row>
    <row r="86" spans="1:15" ht="15" customHeight="1" x14ac:dyDescent="0.35">
      <c r="A86" s="587"/>
      <c r="B86" s="20" t="s">
        <v>240</v>
      </c>
      <c r="C86" s="112">
        <v>298.2</v>
      </c>
      <c r="D86" s="342">
        <f>298.2-60</f>
        <v>238.2</v>
      </c>
      <c r="E86" s="342" t="s">
        <v>111</v>
      </c>
      <c r="F86" s="342" t="s">
        <v>111</v>
      </c>
      <c r="G86" s="342" t="s">
        <v>111</v>
      </c>
      <c r="H86" s="342">
        <v>258.5625</v>
      </c>
      <c r="I86" s="342">
        <f>I119-2100</f>
        <v>360</v>
      </c>
      <c r="J86" s="113">
        <v>348.68000000000006</v>
      </c>
      <c r="K86" s="342">
        <v>296.55</v>
      </c>
      <c r="L86" s="342">
        <v>296.55</v>
      </c>
      <c r="M86" s="344">
        <v>240.79999999999998</v>
      </c>
      <c r="N86" s="110"/>
      <c r="O86" s="465"/>
    </row>
    <row r="87" spans="1:15" ht="15" customHeight="1" x14ac:dyDescent="0.35">
      <c r="A87" s="587"/>
      <c r="B87" s="20" t="s">
        <v>246</v>
      </c>
      <c r="C87" s="112">
        <v>524.54999999999995</v>
      </c>
      <c r="D87" s="342">
        <f>524.55-60</f>
        <v>464.54999999999995</v>
      </c>
      <c r="E87" s="342">
        <v>880</v>
      </c>
      <c r="F87" s="342" t="s">
        <v>111</v>
      </c>
      <c r="G87" s="342" t="s">
        <v>111</v>
      </c>
      <c r="H87" s="342">
        <v>469.76250000000005</v>
      </c>
      <c r="I87" s="342">
        <f>I120-3180</f>
        <v>650</v>
      </c>
      <c r="J87" s="113">
        <v>611.80000000000007</v>
      </c>
      <c r="K87" s="342">
        <v>589.6</v>
      </c>
      <c r="L87" s="342">
        <v>589.6</v>
      </c>
      <c r="M87" s="344">
        <v>372</v>
      </c>
      <c r="N87" s="110"/>
      <c r="O87" s="465"/>
    </row>
    <row r="88" spans="1:15" ht="15" customHeight="1" x14ac:dyDescent="0.35">
      <c r="A88" s="587"/>
      <c r="B88" s="20" t="s">
        <v>247</v>
      </c>
      <c r="C88" s="112">
        <v>1111</v>
      </c>
      <c r="D88" s="342">
        <f>C88-60</f>
        <v>1051</v>
      </c>
      <c r="E88" s="342" t="s">
        <v>111</v>
      </c>
      <c r="F88" s="342" t="s">
        <v>111</v>
      </c>
      <c r="G88" s="342" t="s">
        <v>111</v>
      </c>
      <c r="H88" s="342">
        <v>1459.9124999999999</v>
      </c>
      <c r="I88" s="342">
        <f>I121-5260</f>
        <v>1970</v>
      </c>
      <c r="J88" s="113" t="s">
        <v>111</v>
      </c>
      <c r="K88" s="342">
        <v>1411.1</v>
      </c>
      <c r="L88" s="342">
        <f>K88*0.85</f>
        <v>1199.4349999999999</v>
      </c>
      <c r="M88" s="344">
        <v>952.8</v>
      </c>
      <c r="N88" s="110"/>
      <c r="O88" s="465"/>
    </row>
    <row r="89" spans="1:15" ht="15" customHeight="1" x14ac:dyDescent="0.35">
      <c r="A89" s="587"/>
      <c r="B89" s="20" t="s">
        <v>248</v>
      </c>
      <c r="C89" s="112">
        <v>2909.2</v>
      </c>
      <c r="D89" s="471">
        <f>C89-60</f>
        <v>2849.2</v>
      </c>
      <c r="E89" s="342" t="s">
        <v>111</v>
      </c>
      <c r="F89" s="342">
        <v>2214</v>
      </c>
      <c r="G89" s="472">
        <f>2214/0.8*0.85</f>
        <v>2352.375</v>
      </c>
      <c r="H89" s="342" t="s">
        <v>111</v>
      </c>
      <c r="I89" s="342" t="s">
        <v>111</v>
      </c>
      <c r="J89" s="113" t="s">
        <v>111</v>
      </c>
      <c r="K89" s="342" t="s">
        <v>111</v>
      </c>
      <c r="L89" s="342" t="s">
        <v>111</v>
      </c>
      <c r="M89" s="344" t="s">
        <v>111</v>
      </c>
      <c r="N89" s="110"/>
      <c r="O89" s="465"/>
    </row>
    <row r="90" spans="1:15" ht="15" customHeight="1" thickBot="1" x14ac:dyDescent="0.4">
      <c r="A90" s="612"/>
      <c r="B90" s="117" t="s">
        <v>249</v>
      </c>
      <c r="C90" s="118" t="s">
        <v>111</v>
      </c>
      <c r="D90" s="345" t="s">
        <v>111</v>
      </c>
      <c r="E90" s="345" t="s">
        <v>111</v>
      </c>
      <c r="F90" s="345" t="s">
        <v>111</v>
      </c>
      <c r="G90" s="345" t="s">
        <v>111</v>
      </c>
      <c r="H90" s="345" t="s">
        <v>111</v>
      </c>
      <c r="I90" s="345">
        <f>I123-5780</f>
        <v>3680</v>
      </c>
      <c r="J90" s="119" t="s">
        <v>111</v>
      </c>
      <c r="K90" s="345">
        <v>2927.2</v>
      </c>
      <c r="L90" s="345">
        <f>K90*0.85</f>
        <v>2488.12</v>
      </c>
      <c r="M90" s="346" t="s">
        <v>111</v>
      </c>
      <c r="N90" s="110"/>
      <c r="O90" s="465"/>
    </row>
    <row r="91" spans="1:15" ht="15" customHeight="1" x14ac:dyDescent="0.35">
      <c r="A91" s="611" t="s">
        <v>250</v>
      </c>
      <c r="B91" s="137" t="s">
        <v>239</v>
      </c>
      <c r="C91" s="107">
        <v>396.45</v>
      </c>
      <c r="D91" s="358">
        <f>396.45-60</f>
        <v>336.45</v>
      </c>
      <c r="E91" s="358">
        <v>790</v>
      </c>
      <c r="F91" s="358" t="s">
        <v>111</v>
      </c>
      <c r="G91" s="358" t="s">
        <v>111</v>
      </c>
      <c r="H91" s="358">
        <v>357.9</v>
      </c>
      <c r="I91" s="358">
        <f>I124-2740</f>
        <v>480</v>
      </c>
      <c r="J91" s="108">
        <v>451.72</v>
      </c>
      <c r="K91" s="358" t="s">
        <v>111</v>
      </c>
      <c r="L91" s="358" t="s">
        <v>111</v>
      </c>
      <c r="M91" s="359">
        <v>347.2</v>
      </c>
      <c r="N91" s="110"/>
      <c r="O91" s="465"/>
    </row>
    <row r="92" spans="1:15" ht="15" customHeight="1" x14ac:dyDescent="0.35">
      <c r="A92" s="587"/>
      <c r="B92" s="20" t="s">
        <v>240</v>
      </c>
      <c r="C92" s="112">
        <v>446.2</v>
      </c>
      <c r="D92" s="342">
        <f>446.2-60</f>
        <v>386.2</v>
      </c>
      <c r="E92" s="342" t="s">
        <v>111</v>
      </c>
      <c r="F92" s="342" t="s">
        <v>111</v>
      </c>
      <c r="G92" s="342" t="s">
        <v>111</v>
      </c>
      <c r="H92" s="342">
        <v>376.04999999999995</v>
      </c>
      <c r="I92" s="342">
        <f>I125-3220</f>
        <v>520</v>
      </c>
      <c r="J92" s="113">
        <v>472.88</v>
      </c>
      <c r="K92" s="342">
        <v>443.1</v>
      </c>
      <c r="L92" s="342">
        <v>443.1</v>
      </c>
      <c r="M92" s="344">
        <v>364</v>
      </c>
      <c r="N92" s="110"/>
      <c r="O92" s="465"/>
    </row>
    <row r="93" spans="1:15" ht="15" customHeight="1" x14ac:dyDescent="0.35">
      <c r="A93" s="587"/>
      <c r="B93" s="20" t="s">
        <v>251</v>
      </c>
      <c r="C93" s="112">
        <v>685.25</v>
      </c>
      <c r="D93" s="342">
        <f>685.25-60</f>
        <v>625.25</v>
      </c>
      <c r="E93" s="342">
        <v>1170</v>
      </c>
      <c r="F93" s="342" t="s">
        <v>111</v>
      </c>
      <c r="G93" s="342" t="s">
        <v>111</v>
      </c>
      <c r="H93" s="342">
        <v>592.34999999999991</v>
      </c>
      <c r="I93" s="342">
        <f>I126-3940</f>
        <v>890</v>
      </c>
      <c r="J93" s="113">
        <v>766.36</v>
      </c>
      <c r="K93" s="342">
        <v>746.5</v>
      </c>
      <c r="L93" s="342">
        <v>746.5</v>
      </c>
      <c r="M93" s="344">
        <v>496.7999999999999</v>
      </c>
      <c r="N93" s="110"/>
      <c r="O93" s="465"/>
    </row>
    <row r="94" spans="1:15" ht="15" customHeight="1" x14ac:dyDescent="0.35">
      <c r="A94" s="587"/>
      <c r="B94" s="20" t="s">
        <v>252</v>
      </c>
      <c r="C94" s="112">
        <v>1477.5</v>
      </c>
      <c r="D94" s="342">
        <f>C94-60</f>
        <v>1417.5</v>
      </c>
      <c r="E94" s="342" t="s">
        <v>111</v>
      </c>
      <c r="F94" s="342" t="s">
        <v>111</v>
      </c>
      <c r="G94" s="342" t="s">
        <v>111</v>
      </c>
      <c r="H94" s="342">
        <v>1831.7250000000001</v>
      </c>
      <c r="I94" s="342">
        <f>I127-5780</f>
        <v>2430</v>
      </c>
      <c r="J94" s="113" t="s">
        <v>111</v>
      </c>
      <c r="K94" s="342">
        <v>1891.1</v>
      </c>
      <c r="L94" s="342">
        <f>K94*0.85</f>
        <v>1607.4349999999999</v>
      </c>
      <c r="M94" s="344">
        <v>1302.5999999999999</v>
      </c>
      <c r="N94" s="110"/>
      <c r="O94" s="465"/>
    </row>
    <row r="95" spans="1:15" ht="15" customHeight="1" x14ac:dyDescent="0.35">
      <c r="A95" s="587"/>
      <c r="B95" s="20" t="s">
        <v>253</v>
      </c>
      <c r="C95" s="112">
        <v>3832.75</v>
      </c>
      <c r="D95" s="471">
        <f>C95-60</f>
        <v>3772.75</v>
      </c>
      <c r="E95" s="342" t="s">
        <v>111</v>
      </c>
      <c r="F95" s="342">
        <v>3001</v>
      </c>
      <c r="G95" s="472">
        <f>3001/0.8*0.85</f>
        <v>3188.5625</v>
      </c>
      <c r="H95" s="342" t="s">
        <v>111</v>
      </c>
      <c r="I95" s="342" t="s">
        <v>111</v>
      </c>
      <c r="J95" s="113" t="s">
        <v>111</v>
      </c>
      <c r="K95" s="342" t="s">
        <v>111</v>
      </c>
      <c r="L95" s="342" t="s">
        <v>111</v>
      </c>
      <c r="M95" s="344" t="s">
        <v>111</v>
      </c>
      <c r="N95" s="110"/>
      <c r="O95" s="465"/>
    </row>
    <row r="96" spans="1:15" ht="15" customHeight="1" thickBot="1" x14ac:dyDescent="0.4">
      <c r="A96" s="612"/>
      <c r="B96" s="117" t="s">
        <v>254</v>
      </c>
      <c r="C96" s="118" t="s">
        <v>111</v>
      </c>
      <c r="D96" s="345" t="s">
        <v>111</v>
      </c>
      <c r="E96" s="345" t="s">
        <v>111</v>
      </c>
      <c r="F96" s="345" t="s">
        <v>111</v>
      </c>
      <c r="G96" s="345" t="s">
        <v>111</v>
      </c>
      <c r="H96" s="345" t="s">
        <v>111</v>
      </c>
      <c r="I96" s="345">
        <f>I129-6140</f>
        <v>4720</v>
      </c>
      <c r="J96" s="119" t="s">
        <v>111</v>
      </c>
      <c r="K96" s="345">
        <v>3791.4</v>
      </c>
      <c r="L96" s="345">
        <f>K96*0.85</f>
        <v>3222.69</v>
      </c>
      <c r="M96" s="346" t="s">
        <v>111</v>
      </c>
      <c r="N96" s="110"/>
      <c r="O96" s="465"/>
    </row>
    <row r="97" spans="1:15" ht="15" customHeight="1" x14ac:dyDescent="0.35">
      <c r="A97" s="611" t="s">
        <v>255</v>
      </c>
      <c r="B97" s="137" t="s">
        <v>239</v>
      </c>
      <c r="C97" s="107">
        <v>554</v>
      </c>
      <c r="D97" s="358">
        <f>554-60</f>
        <v>494</v>
      </c>
      <c r="E97" s="358">
        <v>1080</v>
      </c>
      <c r="F97" s="358" t="s">
        <v>111</v>
      </c>
      <c r="G97" s="358" t="s">
        <v>111</v>
      </c>
      <c r="H97" s="358">
        <v>513.375</v>
      </c>
      <c r="I97" s="358">
        <f>I130-4060</f>
        <v>660</v>
      </c>
      <c r="J97" s="108">
        <v>607.20000000000005</v>
      </c>
      <c r="K97" s="358" t="s">
        <v>111</v>
      </c>
      <c r="L97" s="358" t="s">
        <v>111</v>
      </c>
      <c r="M97" s="359">
        <v>476</v>
      </c>
      <c r="N97" s="110"/>
      <c r="O97" s="465"/>
    </row>
    <row r="98" spans="1:15" ht="15" customHeight="1" x14ac:dyDescent="0.35">
      <c r="A98" s="587"/>
      <c r="B98" s="20" t="s">
        <v>240</v>
      </c>
      <c r="C98" s="112">
        <v>664.75</v>
      </c>
      <c r="D98" s="342">
        <f>664.75-60</f>
        <v>604.75</v>
      </c>
      <c r="E98" s="342" t="s">
        <v>111</v>
      </c>
      <c r="F98" s="342" t="s">
        <v>111</v>
      </c>
      <c r="G98" s="342" t="s">
        <v>111</v>
      </c>
      <c r="H98" s="342">
        <v>569.25</v>
      </c>
      <c r="I98" s="342">
        <f>I131-4460</f>
        <v>770</v>
      </c>
      <c r="J98" s="113">
        <v>689.08</v>
      </c>
      <c r="K98" s="342">
        <v>706.15</v>
      </c>
      <c r="L98" s="342">
        <v>706.15</v>
      </c>
      <c r="M98" s="344">
        <v>568.4</v>
      </c>
      <c r="N98" s="110"/>
      <c r="O98" s="465"/>
    </row>
    <row r="99" spans="1:15" ht="15" customHeight="1" x14ac:dyDescent="0.35">
      <c r="A99" s="587"/>
      <c r="B99" s="20" t="s">
        <v>256</v>
      </c>
      <c r="C99" s="112">
        <v>903.1</v>
      </c>
      <c r="D99" s="342">
        <f>903.1-60</f>
        <v>843.1</v>
      </c>
      <c r="E99" s="342">
        <v>1440</v>
      </c>
      <c r="F99" s="342" t="s">
        <v>111</v>
      </c>
      <c r="G99" s="342" t="s">
        <v>111</v>
      </c>
      <c r="H99" s="342">
        <v>778.94999999999993</v>
      </c>
      <c r="I99" s="342">
        <f>I132-4990</f>
        <v>1040</v>
      </c>
      <c r="J99" s="113">
        <v>1016.6</v>
      </c>
      <c r="K99" s="342">
        <v>965.75</v>
      </c>
      <c r="L99" s="342">
        <v>965.75</v>
      </c>
      <c r="M99" s="344">
        <v>669</v>
      </c>
      <c r="N99" s="110"/>
      <c r="O99" s="465"/>
    </row>
    <row r="100" spans="1:15" ht="15" customHeight="1" x14ac:dyDescent="0.35">
      <c r="A100" s="587"/>
      <c r="B100" s="20" t="s">
        <v>257</v>
      </c>
      <c r="C100" s="112">
        <v>1964.45</v>
      </c>
      <c r="D100" s="342">
        <f>1964.45-60</f>
        <v>1904.45</v>
      </c>
      <c r="E100" s="342" t="s">
        <v>111</v>
      </c>
      <c r="F100" s="342" t="s">
        <v>111</v>
      </c>
      <c r="G100" s="342" t="s">
        <v>111</v>
      </c>
      <c r="H100" s="342">
        <v>2356.9125000000004</v>
      </c>
      <c r="I100" s="342">
        <f>I133-7680</f>
        <v>3280</v>
      </c>
      <c r="J100" s="113">
        <v>2954.1200000000003</v>
      </c>
      <c r="K100" s="342">
        <v>2488.75</v>
      </c>
      <c r="L100" s="342">
        <f>K100*0.85</f>
        <v>2115.4375</v>
      </c>
      <c r="M100" s="344">
        <v>1774.8000000000002</v>
      </c>
      <c r="N100" s="110"/>
      <c r="O100" s="465"/>
    </row>
    <row r="101" spans="1:15" ht="15" customHeight="1" x14ac:dyDescent="0.35">
      <c r="A101" s="587"/>
      <c r="B101" s="20" t="s">
        <v>258</v>
      </c>
      <c r="C101" s="112">
        <v>5085.8</v>
      </c>
      <c r="D101" s="471">
        <f>5085.8-60</f>
        <v>5025.8</v>
      </c>
      <c r="E101" s="342" t="s">
        <v>111</v>
      </c>
      <c r="F101" s="342">
        <v>4150</v>
      </c>
      <c r="G101" s="472">
        <f>4150/0.8*0.85</f>
        <v>4409.375</v>
      </c>
      <c r="H101" s="342" t="s">
        <v>111</v>
      </c>
      <c r="I101" s="342" t="s">
        <v>111</v>
      </c>
      <c r="J101" s="113" t="s">
        <v>111</v>
      </c>
      <c r="K101" s="342" t="s">
        <v>111</v>
      </c>
      <c r="L101" s="342" t="s">
        <v>111</v>
      </c>
      <c r="M101" s="344" t="s">
        <v>111</v>
      </c>
      <c r="N101" s="110"/>
      <c r="O101" s="465"/>
    </row>
    <row r="102" spans="1:15" ht="15" customHeight="1" thickBot="1" x14ac:dyDescent="0.4">
      <c r="A102" s="612"/>
      <c r="B102" s="117" t="s">
        <v>259</v>
      </c>
      <c r="C102" s="118" t="s">
        <v>111</v>
      </c>
      <c r="D102" s="345" t="s">
        <v>111</v>
      </c>
      <c r="E102" s="345" t="s">
        <v>111</v>
      </c>
      <c r="F102" s="345" t="s">
        <v>111</v>
      </c>
      <c r="G102" s="345" t="s">
        <v>111</v>
      </c>
      <c r="H102" s="345" t="s">
        <v>111</v>
      </c>
      <c r="I102" s="345">
        <f>I135-9530</f>
        <v>6080</v>
      </c>
      <c r="J102" s="119" t="s">
        <v>111</v>
      </c>
      <c r="K102" s="345">
        <v>5323.6</v>
      </c>
      <c r="L102" s="345">
        <f>K102*0.85</f>
        <v>4525.0600000000004</v>
      </c>
      <c r="M102" s="346" t="s">
        <v>111</v>
      </c>
      <c r="N102" s="110"/>
      <c r="O102" s="465"/>
    </row>
    <row r="103" spans="1:15" ht="15" customHeight="1" x14ac:dyDescent="0.35">
      <c r="A103" s="620" t="s">
        <v>260</v>
      </c>
      <c r="B103" s="138" t="s">
        <v>239</v>
      </c>
      <c r="C103" s="142">
        <v>835.75</v>
      </c>
      <c r="D103" s="356">
        <f>835.75-60</f>
        <v>775.75</v>
      </c>
      <c r="E103" s="356">
        <v>1400</v>
      </c>
      <c r="F103" s="356" t="s">
        <v>111</v>
      </c>
      <c r="G103" s="356" t="s">
        <v>111</v>
      </c>
      <c r="H103" s="356">
        <v>764.92499999999995</v>
      </c>
      <c r="I103" s="356">
        <f>I136-5730</f>
        <v>600</v>
      </c>
      <c r="J103" s="143">
        <v>949.44</v>
      </c>
      <c r="K103" s="356" t="s">
        <v>111</v>
      </c>
      <c r="L103" s="356" t="s">
        <v>111</v>
      </c>
      <c r="M103" s="357">
        <v>756.7</v>
      </c>
      <c r="N103" s="110"/>
      <c r="O103" s="465"/>
    </row>
    <row r="104" spans="1:15" ht="15" customHeight="1" x14ac:dyDescent="0.35">
      <c r="A104" s="587"/>
      <c r="B104" s="20" t="s">
        <v>240</v>
      </c>
      <c r="C104" s="112">
        <v>1010.6</v>
      </c>
      <c r="D104" s="342">
        <f>1010.6-60</f>
        <v>950.6</v>
      </c>
      <c r="E104" s="342" t="s">
        <v>111</v>
      </c>
      <c r="F104" s="342" t="s">
        <v>111</v>
      </c>
      <c r="G104" s="342" t="s">
        <v>111</v>
      </c>
      <c r="H104" s="342">
        <v>839.73750000000007</v>
      </c>
      <c r="I104" s="342">
        <f>I137-5590</f>
        <v>1150</v>
      </c>
      <c r="J104" s="113">
        <v>989</v>
      </c>
      <c r="K104" s="342">
        <v>1030.3499999999999</v>
      </c>
      <c r="L104" s="342">
        <v>1030.3499999999999</v>
      </c>
      <c r="M104" s="344">
        <v>882</v>
      </c>
      <c r="N104" s="110"/>
      <c r="O104" s="465"/>
    </row>
    <row r="105" spans="1:15" ht="15" customHeight="1" x14ac:dyDescent="0.35">
      <c r="A105" s="587"/>
      <c r="B105" s="20" t="s">
        <v>261</v>
      </c>
      <c r="C105" s="112">
        <v>1140.55</v>
      </c>
      <c r="D105" s="342">
        <f>1140.55-60</f>
        <v>1080.55</v>
      </c>
      <c r="E105" s="342">
        <v>1760</v>
      </c>
      <c r="F105" s="342" t="s">
        <v>111</v>
      </c>
      <c r="G105" s="342" t="s">
        <v>111</v>
      </c>
      <c r="H105" s="342">
        <v>1007.4000000000001</v>
      </c>
      <c r="I105" s="342">
        <f>I138-5840</f>
        <v>1380</v>
      </c>
      <c r="J105" s="113">
        <v>1173.92</v>
      </c>
      <c r="K105" s="342">
        <v>1144.55</v>
      </c>
      <c r="L105" s="342">
        <v>1144.55</v>
      </c>
      <c r="M105" s="344">
        <v>896.40000000000009</v>
      </c>
      <c r="N105" s="110"/>
      <c r="O105" s="465"/>
    </row>
    <row r="106" spans="1:15" ht="15" customHeight="1" x14ac:dyDescent="0.35">
      <c r="A106" s="587"/>
      <c r="B106" s="20" t="s">
        <v>262</v>
      </c>
      <c r="C106" s="112">
        <v>2624.75</v>
      </c>
      <c r="D106" s="342">
        <f>2624.75-60</f>
        <v>2564.75</v>
      </c>
      <c r="E106" s="342" t="s">
        <v>111</v>
      </c>
      <c r="F106" s="342" t="s">
        <v>111</v>
      </c>
      <c r="G106" s="342" t="s">
        <v>111</v>
      </c>
      <c r="H106" s="342">
        <v>3007.875</v>
      </c>
      <c r="I106" s="342">
        <f>I139-8920</f>
        <v>3930</v>
      </c>
      <c r="J106" s="113">
        <v>4274.3200000000006</v>
      </c>
      <c r="K106" s="342">
        <v>3139.5</v>
      </c>
      <c r="L106" s="342">
        <f>K106*0.7</f>
        <v>2197.6499999999996</v>
      </c>
      <c r="M106" s="344">
        <v>2424</v>
      </c>
      <c r="N106" s="110"/>
      <c r="O106" s="465"/>
    </row>
    <row r="107" spans="1:15" ht="15" customHeight="1" x14ac:dyDescent="0.35">
      <c r="A107" s="587"/>
      <c r="B107" s="20" t="s">
        <v>263</v>
      </c>
      <c r="C107" s="112">
        <v>6620.9</v>
      </c>
      <c r="D107" s="471">
        <f>6620.9-60</f>
        <v>6560.9</v>
      </c>
      <c r="E107" s="342" t="s">
        <v>111</v>
      </c>
      <c r="F107" s="342">
        <v>5771</v>
      </c>
      <c r="G107" s="472">
        <f>5771/0.8*0.85</f>
        <v>6131.6875</v>
      </c>
      <c r="H107" s="342" t="s">
        <v>111</v>
      </c>
      <c r="I107" s="342" t="s">
        <v>111</v>
      </c>
      <c r="J107" s="113" t="s">
        <v>111</v>
      </c>
      <c r="K107" s="342" t="s">
        <v>111</v>
      </c>
      <c r="L107" s="342" t="s">
        <v>111</v>
      </c>
      <c r="M107" s="344" t="s">
        <v>111</v>
      </c>
      <c r="N107" s="110"/>
      <c r="O107" s="465"/>
    </row>
    <row r="108" spans="1:15" ht="15" customHeight="1" thickBot="1" x14ac:dyDescent="0.4">
      <c r="A108" s="612"/>
      <c r="B108" s="117" t="s">
        <v>264</v>
      </c>
      <c r="C108" s="118" t="s">
        <v>111</v>
      </c>
      <c r="D108" s="345" t="s">
        <v>111</v>
      </c>
      <c r="E108" s="345" t="s">
        <v>111</v>
      </c>
      <c r="F108" s="345" t="s">
        <v>111</v>
      </c>
      <c r="G108" s="345" t="s">
        <v>111</v>
      </c>
      <c r="H108" s="345" t="s">
        <v>111</v>
      </c>
      <c r="I108" s="345">
        <f>I141-11280</f>
        <v>7860</v>
      </c>
      <c r="J108" s="119" t="s">
        <v>111</v>
      </c>
      <c r="K108" s="345">
        <v>7532</v>
      </c>
      <c r="L108" s="345">
        <f>K108*0.7</f>
        <v>5272.4</v>
      </c>
      <c r="M108" s="346" t="s">
        <v>111</v>
      </c>
      <c r="N108" s="110"/>
      <c r="O108" s="465"/>
    </row>
    <row r="109" spans="1:15" ht="29.9" customHeight="1" x14ac:dyDescent="0.35">
      <c r="A109" s="623" t="s">
        <v>221</v>
      </c>
      <c r="B109" s="624"/>
      <c r="C109" s="145" t="s">
        <v>310</v>
      </c>
      <c r="D109" s="145" t="s">
        <v>310</v>
      </c>
      <c r="E109" s="338" t="s">
        <v>267</v>
      </c>
      <c r="F109" s="338" t="s">
        <v>111</v>
      </c>
      <c r="G109" s="338" t="s">
        <v>111</v>
      </c>
      <c r="H109" s="338" t="s">
        <v>265</v>
      </c>
      <c r="I109" s="338" t="s">
        <v>268</v>
      </c>
      <c r="J109" s="338" t="s">
        <v>265</v>
      </c>
      <c r="K109" s="173" t="s">
        <v>270</v>
      </c>
      <c r="L109" s="173" t="s">
        <v>270</v>
      </c>
      <c r="M109" s="174" t="s">
        <v>266</v>
      </c>
      <c r="N109" s="110"/>
      <c r="O109" s="465"/>
    </row>
    <row r="110" spans="1:15" ht="29" x14ac:dyDescent="0.35">
      <c r="A110" s="625"/>
      <c r="B110" s="626"/>
      <c r="C110" s="274" t="s">
        <v>154</v>
      </c>
      <c r="D110" s="274" t="s">
        <v>154</v>
      </c>
      <c r="E110" s="274" t="s">
        <v>222</v>
      </c>
      <c r="F110" s="274" t="s">
        <v>111</v>
      </c>
      <c r="G110" s="274" t="s">
        <v>111</v>
      </c>
      <c r="H110" s="274" t="s">
        <v>223</v>
      </c>
      <c r="I110" s="275" t="s">
        <v>224</v>
      </c>
      <c r="J110" s="274" t="s">
        <v>225</v>
      </c>
      <c r="K110" s="353" t="s">
        <v>111</v>
      </c>
      <c r="L110" s="354" t="s">
        <v>381</v>
      </c>
      <c r="M110" s="355" t="s">
        <v>226</v>
      </c>
      <c r="N110" s="110"/>
      <c r="O110" s="465"/>
    </row>
    <row r="111" spans="1:15" ht="15" thickBot="1" x14ac:dyDescent="0.4">
      <c r="A111" s="176" t="s">
        <v>176</v>
      </c>
      <c r="B111" s="177" t="s">
        <v>140</v>
      </c>
      <c r="C111" s="150" t="s">
        <v>141</v>
      </c>
      <c r="D111" s="150" t="s">
        <v>141</v>
      </c>
      <c r="E111" s="360" t="s">
        <v>142</v>
      </c>
      <c r="F111" s="360" t="s">
        <v>111</v>
      </c>
      <c r="G111" s="360" t="s">
        <v>111</v>
      </c>
      <c r="H111" s="360" t="s">
        <v>141</v>
      </c>
      <c r="I111" s="150" t="s">
        <v>141</v>
      </c>
      <c r="J111" s="361" t="s">
        <v>142</v>
      </c>
      <c r="K111" s="162" t="s">
        <v>142</v>
      </c>
      <c r="L111" s="162" t="s">
        <v>142</v>
      </c>
      <c r="M111" s="178" t="s">
        <v>141</v>
      </c>
      <c r="N111" s="110"/>
      <c r="O111" s="465"/>
    </row>
    <row r="112" spans="1:15" ht="14.5" customHeight="1" x14ac:dyDescent="0.35">
      <c r="A112" s="616" t="s">
        <v>238</v>
      </c>
      <c r="B112" s="137" t="s">
        <v>239</v>
      </c>
      <c r="C112" s="107">
        <v>840.65</v>
      </c>
      <c r="D112" s="358">
        <f>840.65-60</f>
        <v>780.65</v>
      </c>
      <c r="E112" s="358">
        <v>1340</v>
      </c>
      <c r="F112" s="358" t="s">
        <v>111</v>
      </c>
      <c r="G112" s="358" t="s">
        <v>111</v>
      </c>
      <c r="H112" s="358">
        <v>797.32499999999993</v>
      </c>
      <c r="I112" s="358">
        <v>1720</v>
      </c>
      <c r="J112" s="108">
        <v>958.64</v>
      </c>
      <c r="K112" s="358" t="s">
        <v>111</v>
      </c>
      <c r="L112" s="358" t="s">
        <v>111</v>
      </c>
      <c r="M112" s="359">
        <v>781.2</v>
      </c>
      <c r="N112" s="110"/>
      <c r="O112" s="465"/>
    </row>
    <row r="113" spans="1:15" x14ac:dyDescent="0.35">
      <c r="A113" s="585"/>
      <c r="B113" s="20" t="s">
        <v>240</v>
      </c>
      <c r="C113" s="112">
        <v>1130.3499999999999</v>
      </c>
      <c r="D113" s="342">
        <f>1130.35-60</f>
        <v>1070.3499999999999</v>
      </c>
      <c r="E113" s="342" t="s">
        <v>111</v>
      </c>
      <c r="F113" s="342" t="s">
        <v>111</v>
      </c>
      <c r="G113" s="342" t="s">
        <v>111</v>
      </c>
      <c r="H113" s="342">
        <v>927.07499999999993</v>
      </c>
      <c r="I113" s="342">
        <v>1760</v>
      </c>
      <c r="J113" s="113">
        <v>1038.68</v>
      </c>
      <c r="K113" s="342" t="s">
        <v>111</v>
      </c>
      <c r="L113" s="342" t="s">
        <v>111</v>
      </c>
      <c r="M113" s="344">
        <v>795.9</v>
      </c>
      <c r="N113" s="110"/>
      <c r="O113" s="465"/>
    </row>
    <row r="114" spans="1:15" x14ac:dyDescent="0.35">
      <c r="A114" s="585"/>
      <c r="B114" s="20" t="s">
        <v>241</v>
      </c>
      <c r="C114" s="112">
        <v>2017.8</v>
      </c>
      <c r="D114" s="342">
        <f>2017.8-60</f>
        <v>1957.8</v>
      </c>
      <c r="E114" s="342">
        <v>3020</v>
      </c>
      <c r="F114" s="342" t="s">
        <v>111</v>
      </c>
      <c r="G114" s="342" t="s">
        <v>111</v>
      </c>
      <c r="H114" s="342">
        <v>1929.4125000000001</v>
      </c>
      <c r="I114" s="342">
        <v>3310</v>
      </c>
      <c r="J114" s="113">
        <v>2237.44</v>
      </c>
      <c r="K114" s="342" t="s">
        <v>111</v>
      </c>
      <c r="L114" s="342" t="s">
        <v>111</v>
      </c>
      <c r="M114" s="344">
        <v>1261.1999999999998</v>
      </c>
      <c r="N114" s="110"/>
      <c r="O114" s="465"/>
    </row>
    <row r="115" spans="1:15" x14ac:dyDescent="0.35">
      <c r="A115" s="585"/>
      <c r="B115" s="20" t="s">
        <v>242</v>
      </c>
      <c r="C115" s="112">
        <v>2972.3</v>
      </c>
      <c r="D115" s="342">
        <f>C115-60</f>
        <v>2912.3</v>
      </c>
      <c r="E115" s="342" t="s">
        <v>111</v>
      </c>
      <c r="F115" s="342" t="s">
        <v>111</v>
      </c>
      <c r="G115" s="342" t="s">
        <v>111</v>
      </c>
      <c r="H115" s="342">
        <v>3306.2625000000003</v>
      </c>
      <c r="I115" s="342">
        <v>5680</v>
      </c>
      <c r="J115" s="113" t="s">
        <v>111</v>
      </c>
      <c r="K115" s="342" t="s">
        <v>111</v>
      </c>
      <c r="L115" s="342" t="s">
        <v>111</v>
      </c>
      <c r="M115" s="344">
        <v>2128.8000000000002</v>
      </c>
      <c r="N115" s="110"/>
      <c r="O115" s="465"/>
    </row>
    <row r="116" spans="1:15" x14ac:dyDescent="0.35">
      <c r="A116" s="585"/>
      <c r="B116" s="20" t="s">
        <v>243</v>
      </c>
      <c r="C116" s="112">
        <v>4792.55</v>
      </c>
      <c r="D116" s="342">
        <f>C116-60</f>
        <v>4732.55</v>
      </c>
      <c r="E116" s="342" t="s">
        <v>111</v>
      </c>
      <c r="F116" s="342" t="s">
        <v>111</v>
      </c>
      <c r="G116" s="342" t="s">
        <v>111</v>
      </c>
      <c r="H116" s="342" t="s">
        <v>111</v>
      </c>
      <c r="I116" s="342" t="s">
        <v>111</v>
      </c>
      <c r="J116" s="113" t="s">
        <v>111</v>
      </c>
      <c r="K116" s="342" t="s">
        <v>111</v>
      </c>
      <c r="L116" s="342" t="s">
        <v>111</v>
      </c>
      <c r="M116" s="344" t="s">
        <v>111</v>
      </c>
      <c r="N116" s="110"/>
      <c r="O116" s="465"/>
    </row>
    <row r="117" spans="1:15" ht="15" thickBot="1" x14ac:dyDescent="0.4">
      <c r="A117" s="586"/>
      <c r="B117" s="117" t="s">
        <v>244</v>
      </c>
      <c r="C117" s="118" t="s">
        <v>111</v>
      </c>
      <c r="D117" s="345" t="s">
        <v>111</v>
      </c>
      <c r="E117" s="345" t="s">
        <v>111</v>
      </c>
      <c r="F117" s="345" t="s">
        <v>111</v>
      </c>
      <c r="G117" s="345" t="s">
        <v>111</v>
      </c>
      <c r="H117" s="345" t="s">
        <v>111</v>
      </c>
      <c r="I117" s="345">
        <v>7320</v>
      </c>
      <c r="J117" s="119" t="s">
        <v>111</v>
      </c>
      <c r="K117" s="345" t="s">
        <v>111</v>
      </c>
      <c r="L117" s="345" t="s">
        <v>111</v>
      </c>
      <c r="M117" s="346" t="s">
        <v>111</v>
      </c>
      <c r="N117" s="110"/>
      <c r="O117" s="465"/>
    </row>
    <row r="118" spans="1:15" x14ac:dyDescent="0.35">
      <c r="A118" s="616" t="s">
        <v>245</v>
      </c>
      <c r="B118" s="137" t="s">
        <v>239</v>
      </c>
      <c r="C118" s="107">
        <v>1317.25</v>
      </c>
      <c r="D118" s="358">
        <f>1317.25-60</f>
        <v>1257.25</v>
      </c>
      <c r="E118" s="358">
        <v>2120</v>
      </c>
      <c r="F118" s="358" t="s">
        <v>111</v>
      </c>
      <c r="G118" s="358" t="s">
        <v>111</v>
      </c>
      <c r="H118" s="358">
        <v>1202.25</v>
      </c>
      <c r="I118" s="358">
        <v>2130</v>
      </c>
      <c r="J118" s="108">
        <v>1451.76</v>
      </c>
      <c r="K118" s="358" t="s">
        <v>111</v>
      </c>
      <c r="L118" s="358" t="s">
        <v>111</v>
      </c>
      <c r="M118" s="359">
        <v>1059.1000000000001</v>
      </c>
      <c r="N118" s="110"/>
      <c r="O118" s="465"/>
    </row>
    <row r="119" spans="1:15" x14ac:dyDescent="0.35">
      <c r="A119" s="585"/>
      <c r="B119" s="20" t="s">
        <v>240</v>
      </c>
      <c r="C119" s="112">
        <v>1858.75</v>
      </c>
      <c r="D119" s="342">
        <f>1858.75-60</f>
        <v>1798.75</v>
      </c>
      <c r="E119" s="342" t="s">
        <v>111</v>
      </c>
      <c r="F119" s="342" t="s">
        <v>111</v>
      </c>
      <c r="G119" s="342" t="s">
        <v>111</v>
      </c>
      <c r="H119" s="342">
        <v>1394.8125</v>
      </c>
      <c r="I119" s="342">
        <v>2460</v>
      </c>
      <c r="J119" s="113">
        <v>1518.9199999999998</v>
      </c>
      <c r="K119" s="342" t="s">
        <v>111</v>
      </c>
      <c r="L119" s="342" t="s">
        <v>111</v>
      </c>
      <c r="M119" s="344">
        <v>1185.8</v>
      </c>
      <c r="N119" s="110"/>
      <c r="O119" s="465"/>
    </row>
    <row r="120" spans="1:15" x14ac:dyDescent="0.35">
      <c r="A120" s="585"/>
      <c r="B120" s="20" t="s">
        <v>246</v>
      </c>
      <c r="C120" s="112">
        <v>2725.95</v>
      </c>
      <c r="D120" s="342">
        <f>2725.95-60</f>
        <v>2665.95</v>
      </c>
      <c r="E120" s="342">
        <v>4040</v>
      </c>
      <c r="F120" s="342" t="s">
        <v>111</v>
      </c>
      <c r="G120" s="342" t="s">
        <v>111</v>
      </c>
      <c r="H120" s="342">
        <v>2417.5124999999998</v>
      </c>
      <c r="I120" s="342">
        <v>3830</v>
      </c>
      <c r="J120" s="113">
        <v>2504.2400000000002</v>
      </c>
      <c r="K120" s="342" t="s">
        <v>111</v>
      </c>
      <c r="L120" s="342" t="s">
        <v>111</v>
      </c>
      <c r="M120" s="344">
        <v>1679.9999999999995</v>
      </c>
      <c r="N120" s="110"/>
      <c r="O120" s="465"/>
    </row>
    <row r="121" spans="1:15" x14ac:dyDescent="0.35">
      <c r="A121" s="585"/>
      <c r="B121" s="20" t="s">
        <v>247</v>
      </c>
      <c r="C121" s="112">
        <v>3785.75</v>
      </c>
      <c r="D121" s="342">
        <f>C121-60</f>
        <v>3725.75</v>
      </c>
      <c r="E121" s="342" t="s">
        <v>111</v>
      </c>
      <c r="F121" s="342" t="s">
        <v>111</v>
      </c>
      <c r="G121" s="342" t="s">
        <v>111</v>
      </c>
      <c r="H121" s="342">
        <v>4206.4125000000004</v>
      </c>
      <c r="I121" s="342">
        <v>7230</v>
      </c>
      <c r="J121" s="113" t="s">
        <v>111</v>
      </c>
      <c r="K121" s="342" t="s">
        <v>111</v>
      </c>
      <c r="L121" s="342" t="s">
        <v>111</v>
      </c>
      <c r="M121" s="344">
        <v>2932.8</v>
      </c>
      <c r="N121" s="110"/>
      <c r="O121" s="465"/>
    </row>
    <row r="122" spans="1:15" x14ac:dyDescent="0.35">
      <c r="A122" s="585"/>
      <c r="B122" s="20" t="s">
        <v>248</v>
      </c>
      <c r="C122" s="112">
        <v>6128.9</v>
      </c>
      <c r="D122" s="342">
        <f>C122-60</f>
        <v>6068.9</v>
      </c>
      <c r="E122" s="342" t="s">
        <v>111</v>
      </c>
      <c r="F122" s="342" t="s">
        <v>111</v>
      </c>
      <c r="G122" s="342" t="s">
        <v>111</v>
      </c>
      <c r="H122" s="342" t="s">
        <v>111</v>
      </c>
      <c r="I122" s="342" t="s">
        <v>111</v>
      </c>
      <c r="J122" s="113" t="s">
        <v>111</v>
      </c>
      <c r="K122" s="342" t="s">
        <v>111</v>
      </c>
      <c r="L122" s="342" t="s">
        <v>111</v>
      </c>
      <c r="M122" s="344" t="s">
        <v>111</v>
      </c>
      <c r="N122" s="110"/>
      <c r="O122" s="465"/>
    </row>
    <row r="123" spans="1:15" ht="14.15" customHeight="1" thickBot="1" x14ac:dyDescent="0.4">
      <c r="A123" s="586"/>
      <c r="B123" s="117" t="s">
        <v>249</v>
      </c>
      <c r="C123" s="118" t="s">
        <v>111</v>
      </c>
      <c r="D123" s="345" t="s">
        <v>111</v>
      </c>
      <c r="E123" s="345" t="s">
        <v>111</v>
      </c>
      <c r="F123" s="345" t="s">
        <v>111</v>
      </c>
      <c r="G123" s="345" t="s">
        <v>111</v>
      </c>
      <c r="H123" s="345" t="s">
        <v>111</v>
      </c>
      <c r="I123" s="345">
        <v>9460</v>
      </c>
      <c r="J123" s="119" t="s">
        <v>111</v>
      </c>
      <c r="K123" s="345" t="s">
        <v>111</v>
      </c>
      <c r="L123" s="345" t="s">
        <v>111</v>
      </c>
      <c r="M123" s="346" t="s">
        <v>111</v>
      </c>
      <c r="N123" s="110"/>
      <c r="O123" s="465"/>
    </row>
    <row r="124" spans="1:15" x14ac:dyDescent="0.35">
      <c r="A124" s="616" t="s">
        <v>250</v>
      </c>
      <c r="B124" s="137" t="s">
        <v>239</v>
      </c>
      <c r="C124" s="107">
        <v>2265.0500000000002</v>
      </c>
      <c r="D124" s="358">
        <f>2265.05-60</f>
        <v>2205.0500000000002</v>
      </c>
      <c r="E124" s="358">
        <v>3640</v>
      </c>
      <c r="F124" s="358" t="s">
        <v>111</v>
      </c>
      <c r="G124" s="358" t="s">
        <v>111</v>
      </c>
      <c r="H124" s="358">
        <v>1854.1499999999999</v>
      </c>
      <c r="I124" s="358">
        <v>3220</v>
      </c>
      <c r="J124" s="108">
        <v>2211.6800000000003</v>
      </c>
      <c r="K124" s="358" t="s">
        <v>111</v>
      </c>
      <c r="L124" s="358" t="s">
        <v>111</v>
      </c>
      <c r="M124" s="359">
        <v>1726.2000000000003</v>
      </c>
      <c r="N124" s="110"/>
      <c r="O124" s="465"/>
    </row>
    <row r="125" spans="1:15" x14ac:dyDescent="0.35">
      <c r="A125" s="585"/>
      <c r="B125" s="20" t="s">
        <v>240</v>
      </c>
      <c r="C125" s="112">
        <v>2972.45</v>
      </c>
      <c r="D125" s="342">
        <f>2972.45-60</f>
        <v>2912.45</v>
      </c>
      <c r="E125" s="342" t="s">
        <v>111</v>
      </c>
      <c r="F125" s="342" t="s">
        <v>111</v>
      </c>
      <c r="G125" s="342" t="s">
        <v>111</v>
      </c>
      <c r="H125" s="342">
        <v>2236.0500000000002</v>
      </c>
      <c r="I125" s="342">
        <v>3740</v>
      </c>
      <c r="J125" s="113">
        <v>2302.7600000000002</v>
      </c>
      <c r="K125" s="342" t="s">
        <v>111</v>
      </c>
      <c r="L125" s="342" t="s">
        <v>111</v>
      </c>
      <c r="M125" s="344">
        <v>1890</v>
      </c>
      <c r="N125" s="110"/>
      <c r="O125" s="465"/>
    </row>
    <row r="126" spans="1:15" x14ac:dyDescent="0.35">
      <c r="A126" s="585"/>
      <c r="B126" s="20" t="s">
        <v>251</v>
      </c>
      <c r="C126" s="112">
        <v>3748.6</v>
      </c>
      <c r="D126" s="342">
        <f>3748.6-60</f>
        <v>3688.6</v>
      </c>
      <c r="E126" s="342">
        <v>5460</v>
      </c>
      <c r="F126" s="342" t="s">
        <v>111</v>
      </c>
      <c r="G126" s="342" t="s">
        <v>111</v>
      </c>
      <c r="H126" s="342">
        <v>3023.8500000000004</v>
      </c>
      <c r="I126" s="342">
        <v>4830</v>
      </c>
      <c r="J126" s="113">
        <v>3394.761263157895</v>
      </c>
      <c r="K126" s="342" t="s">
        <v>111</v>
      </c>
      <c r="L126" s="342" t="s">
        <v>111</v>
      </c>
      <c r="M126" s="344">
        <v>2116.8000000000002</v>
      </c>
      <c r="N126" s="110"/>
      <c r="O126" s="465"/>
    </row>
    <row r="127" spans="1:15" x14ac:dyDescent="0.35">
      <c r="A127" s="585"/>
      <c r="B127" s="20" t="s">
        <v>252</v>
      </c>
      <c r="C127" s="112">
        <v>5049.6000000000004</v>
      </c>
      <c r="D127" s="342">
        <f>C127-60</f>
        <v>4989.6000000000004</v>
      </c>
      <c r="E127" s="342" t="s">
        <v>111</v>
      </c>
      <c r="F127" s="342" t="s">
        <v>111</v>
      </c>
      <c r="G127" s="342" t="s">
        <v>111</v>
      </c>
      <c r="H127" s="342">
        <v>5225.4750000000004</v>
      </c>
      <c r="I127" s="342">
        <v>8210</v>
      </c>
      <c r="J127" s="113" t="s">
        <v>111</v>
      </c>
      <c r="K127" s="342" t="s">
        <v>111</v>
      </c>
      <c r="L127" s="342" t="s">
        <v>111</v>
      </c>
      <c r="M127" s="344">
        <v>3738.6000000000004</v>
      </c>
      <c r="N127" s="110"/>
      <c r="O127" s="465"/>
    </row>
    <row r="128" spans="1:15" x14ac:dyDescent="0.35">
      <c r="A128" s="585"/>
      <c r="B128" s="20" t="s">
        <v>253</v>
      </c>
      <c r="C128" s="112">
        <v>7858.2</v>
      </c>
      <c r="D128" s="342">
        <f>C128-60</f>
        <v>7798.2</v>
      </c>
      <c r="E128" s="342" t="s">
        <v>111</v>
      </c>
      <c r="F128" s="342" t="s">
        <v>111</v>
      </c>
      <c r="G128" s="342" t="s">
        <v>111</v>
      </c>
      <c r="H128" s="342" t="s">
        <v>111</v>
      </c>
      <c r="I128" s="342" t="s">
        <v>111</v>
      </c>
      <c r="J128" s="113" t="s">
        <v>111</v>
      </c>
      <c r="K128" s="342" t="s">
        <v>111</v>
      </c>
      <c r="L128" s="342" t="s">
        <v>111</v>
      </c>
      <c r="M128" s="344" t="s">
        <v>111</v>
      </c>
      <c r="N128" s="110"/>
      <c r="O128" s="465"/>
    </row>
    <row r="129" spans="1:15" ht="15" thickBot="1" x14ac:dyDescent="0.4">
      <c r="A129" s="586"/>
      <c r="B129" s="117" t="s">
        <v>254</v>
      </c>
      <c r="C129" s="118" t="s">
        <v>111</v>
      </c>
      <c r="D129" s="345" t="s">
        <v>111</v>
      </c>
      <c r="E129" s="345" t="s">
        <v>111</v>
      </c>
      <c r="F129" s="345" t="s">
        <v>111</v>
      </c>
      <c r="G129" s="345" t="s">
        <v>111</v>
      </c>
      <c r="H129" s="345" t="s">
        <v>111</v>
      </c>
      <c r="I129" s="345">
        <v>10860</v>
      </c>
      <c r="J129" s="119" t="s">
        <v>111</v>
      </c>
      <c r="K129" s="345" t="s">
        <v>111</v>
      </c>
      <c r="L129" s="345" t="s">
        <v>111</v>
      </c>
      <c r="M129" s="346" t="s">
        <v>111</v>
      </c>
      <c r="N129" s="110"/>
      <c r="O129" s="465"/>
    </row>
    <row r="130" spans="1:15" x14ac:dyDescent="0.35">
      <c r="A130" s="616" t="s">
        <v>271</v>
      </c>
      <c r="B130" s="137" t="s">
        <v>239</v>
      </c>
      <c r="C130" s="107">
        <v>3504.05</v>
      </c>
      <c r="D130" s="358">
        <f>3504.05-60</f>
        <v>3444.05</v>
      </c>
      <c r="E130" s="358">
        <v>5670</v>
      </c>
      <c r="F130" s="358" t="s">
        <v>111</v>
      </c>
      <c r="G130" s="358" t="s">
        <v>111</v>
      </c>
      <c r="H130" s="358">
        <v>3018.375</v>
      </c>
      <c r="I130" s="358">
        <v>4720</v>
      </c>
      <c r="J130" s="108">
        <v>3208.04</v>
      </c>
      <c r="K130" s="358" t="s">
        <v>111</v>
      </c>
      <c r="L130" s="358" t="s">
        <v>111</v>
      </c>
      <c r="M130" s="359">
        <v>2394</v>
      </c>
      <c r="N130" s="110"/>
      <c r="O130" s="465"/>
    </row>
    <row r="131" spans="1:15" x14ac:dyDescent="0.35">
      <c r="A131" s="585"/>
      <c r="B131" s="20" t="s">
        <v>240</v>
      </c>
      <c r="C131" s="112">
        <v>4414</v>
      </c>
      <c r="D131" s="342">
        <f>4414-60</f>
        <v>4354</v>
      </c>
      <c r="E131" s="342" t="s">
        <v>111</v>
      </c>
      <c r="F131" s="342" t="s">
        <v>111</v>
      </c>
      <c r="G131" s="342" t="s">
        <v>111</v>
      </c>
      <c r="H131" s="342">
        <v>3189.75</v>
      </c>
      <c r="I131" s="342">
        <v>5230</v>
      </c>
      <c r="J131" s="113">
        <v>3304.6400000000003</v>
      </c>
      <c r="K131" s="342" t="s">
        <v>111</v>
      </c>
      <c r="L131" s="342" t="s">
        <v>111</v>
      </c>
      <c r="M131" s="344">
        <v>2591.4000000000005</v>
      </c>
      <c r="N131" s="110"/>
      <c r="O131" s="465"/>
    </row>
    <row r="132" spans="1:15" x14ac:dyDescent="0.35">
      <c r="A132" s="585"/>
      <c r="B132" s="20" t="s">
        <v>256</v>
      </c>
      <c r="C132" s="112">
        <v>4874.2</v>
      </c>
      <c r="D132" s="342">
        <f>4874.2-60</f>
        <v>4814.2</v>
      </c>
      <c r="E132" s="342">
        <v>6670</v>
      </c>
      <c r="F132" s="342" t="s">
        <v>111</v>
      </c>
      <c r="G132" s="342" t="s">
        <v>111</v>
      </c>
      <c r="H132" s="342">
        <v>3741.4500000000003</v>
      </c>
      <c r="I132" s="342">
        <v>6030</v>
      </c>
      <c r="J132" s="113">
        <v>4182.3200000000006</v>
      </c>
      <c r="K132" s="342" t="s">
        <v>111</v>
      </c>
      <c r="L132" s="342" t="s">
        <v>111</v>
      </c>
      <c r="M132" s="344">
        <v>2679</v>
      </c>
      <c r="N132" s="110"/>
      <c r="O132" s="465"/>
    </row>
    <row r="133" spans="1:15" x14ac:dyDescent="0.35">
      <c r="A133" s="585"/>
      <c r="B133" s="20" t="s">
        <v>257</v>
      </c>
      <c r="C133" s="112">
        <v>6625.55</v>
      </c>
      <c r="D133" s="342">
        <f>6625.55-60</f>
        <v>6565.55</v>
      </c>
      <c r="E133" s="342" t="s">
        <v>111</v>
      </c>
      <c r="F133" s="342" t="s">
        <v>111</v>
      </c>
      <c r="G133" s="342" t="s">
        <v>111</v>
      </c>
      <c r="H133" s="342">
        <v>6489.4124999999995</v>
      </c>
      <c r="I133" s="342">
        <v>10960</v>
      </c>
      <c r="J133" s="113">
        <v>7861.4000000000005</v>
      </c>
      <c r="K133" s="342" t="s">
        <v>111</v>
      </c>
      <c r="L133" s="342" t="s">
        <v>111</v>
      </c>
      <c r="M133" s="344">
        <v>4774.7999999999993</v>
      </c>
      <c r="N133" s="110"/>
      <c r="O133" s="465"/>
    </row>
    <row r="134" spans="1:15" x14ac:dyDescent="0.35">
      <c r="A134" s="585"/>
      <c r="B134" s="20" t="s">
        <v>258</v>
      </c>
      <c r="C134" s="112">
        <v>10110.450000000001</v>
      </c>
      <c r="D134" s="342">
        <f>10110.45-60</f>
        <v>10050.450000000001</v>
      </c>
      <c r="E134" s="342" t="s">
        <v>111</v>
      </c>
      <c r="F134" s="342" t="s">
        <v>111</v>
      </c>
      <c r="G134" s="342" t="s">
        <v>111</v>
      </c>
      <c r="H134" s="342" t="s">
        <v>111</v>
      </c>
      <c r="I134" s="342" t="s">
        <v>111</v>
      </c>
      <c r="J134" s="113" t="s">
        <v>111</v>
      </c>
      <c r="K134" s="342" t="s">
        <v>111</v>
      </c>
      <c r="L134" s="342" t="s">
        <v>111</v>
      </c>
      <c r="M134" s="344" t="s">
        <v>111</v>
      </c>
      <c r="N134" s="110"/>
      <c r="O134" s="465"/>
    </row>
    <row r="135" spans="1:15" ht="15" thickBot="1" x14ac:dyDescent="0.4">
      <c r="A135" s="586"/>
      <c r="B135" s="117" t="s">
        <v>259</v>
      </c>
      <c r="C135" s="118" t="s">
        <v>111</v>
      </c>
      <c r="D135" s="345" t="s">
        <v>111</v>
      </c>
      <c r="E135" s="345" t="s">
        <v>111</v>
      </c>
      <c r="F135" s="345" t="s">
        <v>111</v>
      </c>
      <c r="G135" s="345" t="s">
        <v>111</v>
      </c>
      <c r="H135" s="345" t="s">
        <v>111</v>
      </c>
      <c r="I135" s="345">
        <v>15610</v>
      </c>
      <c r="J135" s="119" t="s">
        <v>111</v>
      </c>
      <c r="K135" s="345" t="s">
        <v>111</v>
      </c>
      <c r="L135" s="345" t="s">
        <v>111</v>
      </c>
      <c r="M135" s="346" t="s">
        <v>111</v>
      </c>
      <c r="N135" s="110"/>
      <c r="O135" s="465"/>
    </row>
    <row r="136" spans="1:15" x14ac:dyDescent="0.35">
      <c r="A136" s="617" t="s">
        <v>260</v>
      </c>
      <c r="B136" s="138" t="s">
        <v>239</v>
      </c>
      <c r="C136" s="142">
        <v>4854.25</v>
      </c>
      <c r="D136" s="356">
        <f>4854.25-60</f>
        <v>4794.25</v>
      </c>
      <c r="E136" s="356">
        <v>7320</v>
      </c>
      <c r="F136" s="356" t="s">
        <v>111</v>
      </c>
      <c r="G136" s="356" t="s">
        <v>111</v>
      </c>
      <c r="H136" s="356">
        <v>3727.4249999999997</v>
      </c>
      <c r="I136" s="356">
        <v>6330</v>
      </c>
      <c r="J136" s="143">
        <v>4592.6400000000003</v>
      </c>
      <c r="K136" s="356" t="s">
        <v>111</v>
      </c>
      <c r="L136" s="356" t="s">
        <v>111</v>
      </c>
      <c r="M136" s="357">
        <v>3206.7000000000003</v>
      </c>
      <c r="N136" s="110"/>
      <c r="O136" s="465"/>
    </row>
    <row r="137" spans="1:15" x14ac:dyDescent="0.35">
      <c r="A137" s="585"/>
      <c r="B137" s="20" t="s">
        <v>240</v>
      </c>
      <c r="C137" s="112">
        <v>5903.9</v>
      </c>
      <c r="D137" s="342">
        <f>5903.9-60</f>
        <v>5843.9</v>
      </c>
      <c r="E137" s="342" t="s">
        <v>111</v>
      </c>
      <c r="F137" s="342" t="s">
        <v>111</v>
      </c>
      <c r="G137" s="342" t="s">
        <v>111</v>
      </c>
      <c r="H137" s="342">
        <v>4101.4874999999993</v>
      </c>
      <c r="I137" s="342">
        <v>6740</v>
      </c>
      <c r="J137" s="113">
        <v>4757.3200000000006</v>
      </c>
      <c r="K137" s="342" t="s">
        <v>111</v>
      </c>
      <c r="L137" s="342" t="s">
        <v>111</v>
      </c>
      <c r="M137" s="344">
        <v>3493</v>
      </c>
      <c r="N137" s="110"/>
      <c r="O137" s="465"/>
    </row>
    <row r="138" spans="1:15" x14ac:dyDescent="0.35">
      <c r="A138" s="585"/>
      <c r="B138" s="20" t="s">
        <v>261</v>
      </c>
      <c r="C138" s="112">
        <v>6093.35</v>
      </c>
      <c r="D138" s="342">
        <f>6093.35-60</f>
        <v>6033.35</v>
      </c>
      <c r="E138" s="342">
        <v>8100</v>
      </c>
      <c r="F138" s="342" t="s">
        <v>111</v>
      </c>
      <c r="G138" s="342" t="s">
        <v>111</v>
      </c>
      <c r="H138" s="342">
        <v>4476.1499999999996</v>
      </c>
      <c r="I138" s="342">
        <v>7220</v>
      </c>
      <c r="J138" s="113">
        <v>5375.56</v>
      </c>
      <c r="K138" s="342" t="s">
        <v>111</v>
      </c>
      <c r="L138" s="342" t="s">
        <v>111</v>
      </c>
      <c r="M138" s="344">
        <v>3464.3999999999996</v>
      </c>
      <c r="N138" s="110"/>
      <c r="O138" s="465"/>
    </row>
    <row r="139" spans="1:15" x14ac:dyDescent="0.35">
      <c r="A139" s="585"/>
      <c r="B139" s="20" t="s">
        <v>262</v>
      </c>
      <c r="C139" s="112">
        <v>8409.35</v>
      </c>
      <c r="D139" s="342">
        <f>8409.35-60</f>
        <v>8349.35</v>
      </c>
      <c r="E139" s="342" t="s">
        <v>111</v>
      </c>
      <c r="F139" s="342" t="s">
        <v>111</v>
      </c>
      <c r="G139" s="342" t="s">
        <v>111</v>
      </c>
      <c r="H139" s="342">
        <v>7862.625</v>
      </c>
      <c r="I139" s="342">
        <v>12850</v>
      </c>
      <c r="J139" s="113">
        <v>10684.880000000001</v>
      </c>
      <c r="K139" s="342" t="s">
        <v>111</v>
      </c>
      <c r="L139" s="342" t="s">
        <v>111</v>
      </c>
      <c r="M139" s="344">
        <v>6335.9999999999982</v>
      </c>
      <c r="N139" s="110"/>
      <c r="O139" s="465"/>
    </row>
    <row r="140" spans="1:15" x14ac:dyDescent="0.35">
      <c r="A140" s="585"/>
      <c r="B140" s="20" t="s">
        <v>263</v>
      </c>
      <c r="C140" s="112">
        <v>12726</v>
      </c>
      <c r="D140" s="342">
        <f>12726-60</f>
        <v>12666</v>
      </c>
      <c r="E140" s="342" t="s">
        <v>111</v>
      </c>
      <c r="F140" s="342" t="s">
        <v>111</v>
      </c>
      <c r="G140" s="342" t="s">
        <v>111</v>
      </c>
      <c r="H140" s="342" t="s">
        <v>111</v>
      </c>
      <c r="I140" s="342" t="s">
        <v>111</v>
      </c>
      <c r="J140" s="113" t="s">
        <v>111</v>
      </c>
      <c r="K140" s="342" t="s">
        <v>111</v>
      </c>
      <c r="L140" s="342" t="s">
        <v>111</v>
      </c>
      <c r="M140" s="344" t="s">
        <v>111</v>
      </c>
      <c r="N140" s="110"/>
      <c r="O140" s="465"/>
    </row>
    <row r="141" spans="1:15" ht="15" thickBot="1" x14ac:dyDescent="0.4">
      <c r="A141" s="586"/>
      <c r="B141" s="117" t="s">
        <v>264</v>
      </c>
      <c r="C141" s="118" t="s">
        <v>111</v>
      </c>
      <c r="D141" s="345" t="s">
        <v>111</v>
      </c>
      <c r="E141" s="345" t="s">
        <v>111</v>
      </c>
      <c r="F141" s="345" t="s">
        <v>111</v>
      </c>
      <c r="G141" s="345" t="s">
        <v>111</v>
      </c>
      <c r="H141" s="345" t="s">
        <v>111</v>
      </c>
      <c r="I141" s="345">
        <v>19140</v>
      </c>
      <c r="J141" s="119" t="s">
        <v>111</v>
      </c>
      <c r="K141" s="345" t="s">
        <v>111</v>
      </c>
      <c r="L141" s="345" t="s">
        <v>111</v>
      </c>
      <c r="M141" s="346" t="s">
        <v>111</v>
      </c>
      <c r="N141" s="110"/>
      <c r="O141" s="465"/>
    </row>
  </sheetData>
  <sheetProtection algorithmName="SHA-512" hashValue="/+9yknRiJvB70u9wg8rwKsRQlnBhJZKHMnsJG85wqEGS53bEXuzpNztyBaDJcIMSrzEjTWaj18CBcwqOz1XV1w==" saltValue="PxNcOn577+wRfzF7anSZNA==" spinCount="100000" sheet="1" objects="1" scenarios="1"/>
  <mergeCells count="37">
    <mergeCell ref="A136:A141"/>
    <mergeCell ref="A103:A108"/>
    <mergeCell ref="A109:B110"/>
    <mergeCell ref="A112:A117"/>
    <mergeCell ref="A118:A123"/>
    <mergeCell ref="A124:A129"/>
    <mergeCell ref="A130:A135"/>
    <mergeCell ref="A53:A58"/>
    <mergeCell ref="A74:B74"/>
    <mergeCell ref="A91:A96"/>
    <mergeCell ref="A76:B76"/>
    <mergeCell ref="A77:B77"/>
    <mergeCell ref="A79:A84"/>
    <mergeCell ref="A85:A90"/>
    <mergeCell ref="A97:A102"/>
    <mergeCell ref="A59:A64"/>
    <mergeCell ref="A65:A70"/>
    <mergeCell ref="A73:B73"/>
    <mergeCell ref="O6:O38"/>
    <mergeCell ref="A8:A13"/>
    <mergeCell ref="A14:A19"/>
    <mergeCell ref="K74:M74"/>
    <mergeCell ref="A75:B75"/>
    <mergeCell ref="A20:A25"/>
    <mergeCell ref="A26:A31"/>
    <mergeCell ref="A32:A37"/>
    <mergeCell ref="L73:N73"/>
    <mergeCell ref="A38:B39"/>
    <mergeCell ref="A41:A46"/>
    <mergeCell ref="A47:A52"/>
    <mergeCell ref="L2:N2"/>
    <mergeCell ref="A6:B6"/>
    <mergeCell ref="A2:B2"/>
    <mergeCell ref="A3:B3"/>
    <mergeCell ref="K3:M3"/>
    <mergeCell ref="A4:B4"/>
    <mergeCell ref="A5:B5"/>
  </mergeCells>
  <conditionalFormatting sqref="D9 H9:J9 L9:M9">
    <cfRule type="top10" dxfId="1285" priority="69" bottom="1" rank="1"/>
    <cfRule type="top10" dxfId="1284" priority="70" bottom="1" rank="2"/>
  </conditionalFormatting>
  <conditionalFormatting sqref="D11 H11:I11 L11:M11">
    <cfRule type="top10" dxfId="1283" priority="59" bottom="1" rank="1"/>
    <cfRule type="top10" dxfId="1282" priority="60" bottom="1" rank="2"/>
  </conditionalFormatting>
  <conditionalFormatting sqref="D15 H15:J15 L15:M15">
    <cfRule type="top10" dxfId="1281" priority="55" bottom="1" rank="1"/>
    <cfRule type="top10" dxfId="1280" priority="56" bottom="1" rank="2"/>
  </conditionalFormatting>
  <conditionalFormatting sqref="D17 H17:I17 L17:M17">
    <cfRule type="top10" dxfId="1279" priority="45" bottom="1" rank="1"/>
    <cfRule type="top10" dxfId="1278" priority="46" bottom="1" rank="2"/>
  </conditionalFormatting>
  <conditionalFormatting sqref="D21 H21:J21 L21:M21">
    <cfRule type="top10" dxfId="1277" priority="41" bottom="1" rank="1"/>
    <cfRule type="top10" dxfId="1276" priority="42" bottom="1" rank="2"/>
  </conditionalFormatting>
  <conditionalFormatting sqref="D23 H23:I23 L23:M23">
    <cfRule type="top10" dxfId="1275" priority="31" bottom="1" rank="1"/>
    <cfRule type="top10" dxfId="1274" priority="32" bottom="1" rank="2"/>
  </conditionalFormatting>
  <conditionalFormatting sqref="D27 H27:J27 L27:M27">
    <cfRule type="top10" dxfId="1273" priority="27" bottom="1" rank="1"/>
    <cfRule type="top10" dxfId="1272" priority="28" bottom="1" rank="2"/>
  </conditionalFormatting>
  <conditionalFormatting sqref="D29 H29:I29 L29:M29">
    <cfRule type="top10" dxfId="1271" priority="17" bottom="1" rank="1"/>
    <cfRule type="top10" dxfId="1270" priority="18" bottom="1" rank="2"/>
  </conditionalFormatting>
  <conditionalFormatting sqref="D33 H33:J33 L33:M33">
    <cfRule type="top10" dxfId="1269" priority="13" bottom="1" rank="1"/>
    <cfRule type="top10" dxfId="1268" priority="14" bottom="1" rank="2"/>
  </conditionalFormatting>
  <conditionalFormatting sqref="D35 H35:I35 L35:M35">
    <cfRule type="top10" dxfId="1267" priority="3" bottom="1" rank="1"/>
    <cfRule type="top10" dxfId="1266" priority="4" bottom="1" rank="2"/>
  </conditionalFormatting>
  <conditionalFormatting sqref="D38 M38 D40 M40 D109 M109 D111 M111">
    <cfRule type="expression" dxfId="1265" priority="2165">
      <formula>RANK(D38,$D38:$M38,1)=1</formula>
    </cfRule>
    <cfRule type="expression" dxfId="1264" priority="2164">
      <formula>RANK(D38,$D38:$M38,1)=2</formula>
    </cfRule>
  </conditionalFormatting>
  <conditionalFormatting sqref="D42 H42:J42 M42">
    <cfRule type="top10" dxfId="1263" priority="420" bottom="1" rank="2"/>
    <cfRule type="top10" dxfId="1262" priority="419" bottom="1" rank="1"/>
  </conditionalFormatting>
  <conditionalFormatting sqref="D44 H44:I44 M44">
    <cfRule type="top10" dxfId="1261" priority="410" bottom="1" rank="2"/>
    <cfRule type="top10" dxfId="1260" priority="409" bottom="1" rank="1"/>
  </conditionalFormatting>
  <conditionalFormatting sqref="D45 F45:G45">
    <cfRule type="top10" dxfId="1259" priority="411" bottom="1" rank="1"/>
    <cfRule type="top10" dxfId="1258" priority="412" bottom="1" rank="2"/>
  </conditionalFormatting>
  <conditionalFormatting sqref="D48 H48:J48 M48">
    <cfRule type="top10" dxfId="1257" priority="406" bottom="1" rank="2"/>
    <cfRule type="top10" dxfId="1256" priority="405" bottom="1" rank="1"/>
  </conditionalFormatting>
  <conditionalFormatting sqref="D50 H50:I50 M50">
    <cfRule type="top10" dxfId="1255" priority="395" bottom="1" rank="1"/>
    <cfRule type="top10" dxfId="1254" priority="396" bottom="1" rank="2"/>
  </conditionalFormatting>
  <conditionalFormatting sqref="D51 F51:G51">
    <cfRule type="top10" dxfId="1253" priority="398" bottom="1" rank="2"/>
    <cfRule type="top10" dxfId="1252" priority="397" bottom="1" rank="1"/>
  </conditionalFormatting>
  <conditionalFormatting sqref="D54 H54:J54 M54">
    <cfRule type="top10" dxfId="1251" priority="392" bottom="1" rank="2"/>
    <cfRule type="top10" dxfId="1250" priority="391" bottom="1" rank="1"/>
  </conditionalFormatting>
  <conditionalFormatting sqref="D56 H56:I56 M56">
    <cfRule type="top10" dxfId="1249" priority="382" bottom="1" rank="2"/>
    <cfRule type="top10" dxfId="1248" priority="381" bottom="1" rank="1"/>
  </conditionalFormatting>
  <conditionalFormatting sqref="D57 F57:G57">
    <cfRule type="top10" dxfId="1247" priority="383" bottom="1" rank="1"/>
    <cfRule type="top10" dxfId="1246" priority="384" bottom="1" rank="2"/>
  </conditionalFormatting>
  <conditionalFormatting sqref="D60 H60:J60 M60">
    <cfRule type="top10" dxfId="1245" priority="378" bottom="1" rank="2"/>
    <cfRule type="top10" dxfId="1244" priority="377" bottom="1" rank="1"/>
  </conditionalFormatting>
  <conditionalFormatting sqref="D62 H62:I62 M62">
    <cfRule type="top10" dxfId="1243" priority="368" bottom="1" rank="2"/>
    <cfRule type="top10" dxfId="1242" priority="367" bottom="1" rank="1"/>
  </conditionalFormatting>
  <conditionalFormatting sqref="D63 F63:G63">
    <cfRule type="top10" dxfId="1241" priority="370" bottom="1" rank="2"/>
    <cfRule type="top10" dxfId="1240" priority="369" bottom="1" rank="1"/>
  </conditionalFormatting>
  <conditionalFormatting sqref="D66 H66:J66 M66">
    <cfRule type="top10" dxfId="1239" priority="364" bottom="1" rank="2"/>
    <cfRule type="top10" dxfId="1238" priority="363" bottom="1" rank="1"/>
  </conditionalFormatting>
  <conditionalFormatting sqref="D68 H68:I68 M68">
    <cfRule type="top10" dxfId="1237" priority="354" bottom="1" rank="2"/>
    <cfRule type="top10" dxfId="1236" priority="353" bottom="1" rank="1"/>
  </conditionalFormatting>
  <conditionalFormatting sqref="D69 F69:G69">
    <cfRule type="top10" dxfId="1235" priority="356" bottom="1" rank="2"/>
    <cfRule type="top10" dxfId="1234" priority="355" bottom="1" rank="1"/>
  </conditionalFormatting>
  <conditionalFormatting sqref="D80 H80:J80 L80:M80">
    <cfRule type="top10" dxfId="1233" priority="139" bottom="1" rank="1"/>
    <cfRule type="top10" dxfId="1232" priority="140" bottom="1" rank="2"/>
  </conditionalFormatting>
  <conditionalFormatting sqref="D82 H82:I82 L82:M82">
    <cfRule type="top10" dxfId="1231" priority="130" bottom="1" rank="2"/>
    <cfRule type="top10" dxfId="1230" priority="129" bottom="1" rank="1"/>
  </conditionalFormatting>
  <conditionalFormatting sqref="D86 H86:J86 L86:M86">
    <cfRule type="top10" dxfId="1229" priority="126" bottom="1" rank="2"/>
    <cfRule type="top10" dxfId="1228" priority="125" bottom="1" rank="1"/>
  </conditionalFormatting>
  <conditionalFormatting sqref="D88 H88:I88 L88:M88">
    <cfRule type="top10" dxfId="1227" priority="116" bottom="1" rank="2"/>
    <cfRule type="top10" dxfId="1226" priority="115" bottom="1" rank="1"/>
  </conditionalFormatting>
  <conditionalFormatting sqref="D92 H92:J92 L92:M92">
    <cfRule type="top10" dxfId="1225" priority="111" bottom="1" rank="1"/>
    <cfRule type="top10" dxfId="1224" priority="112" bottom="1" rank="2"/>
  </conditionalFormatting>
  <conditionalFormatting sqref="D94 H94:I94 L94:M94">
    <cfRule type="top10" dxfId="1223" priority="101" bottom="1" rank="1"/>
    <cfRule type="top10" dxfId="1222" priority="102" bottom="1" rank="2"/>
  </conditionalFormatting>
  <conditionalFormatting sqref="D98 H98:J98 L98:M98">
    <cfRule type="top10" dxfId="1221" priority="98" bottom="1" rank="2"/>
    <cfRule type="top10" dxfId="1220" priority="97" bottom="1" rank="1"/>
  </conditionalFormatting>
  <conditionalFormatting sqref="D100 H100:I100 L100:M100">
    <cfRule type="top10" dxfId="1219" priority="88" bottom="1" rank="2"/>
    <cfRule type="top10" dxfId="1218" priority="87" bottom="1" rank="1"/>
  </conditionalFormatting>
  <conditionalFormatting sqref="D104 H104:J104 L104:M104">
    <cfRule type="top10" dxfId="1217" priority="84" bottom="1" rank="2"/>
    <cfRule type="top10" dxfId="1216" priority="83" bottom="1" rank="1"/>
  </conditionalFormatting>
  <conditionalFormatting sqref="D106 H106:I106 L106:M106">
    <cfRule type="top10" dxfId="1215" priority="73" bottom="1" rank="1"/>
    <cfRule type="top10" dxfId="1214" priority="74" bottom="1" rank="2"/>
  </conditionalFormatting>
  <conditionalFormatting sqref="D113 H113:J113 M113">
    <cfRule type="top10" dxfId="1213" priority="209" bottom="1" rank="1"/>
    <cfRule type="top10" dxfId="1212" priority="210" bottom="1" rank="2"/>
  </conditionalFormatting>
  <conditionalFormatting sqref="D115 H115:I115 M115">
    <cfRule type="top10" dxfId="1211" priority="200" bottom="1" rank="2"/>
    <cfRule type="top10" dxfId="1210" priority="199" bottom="1" rank="1"/>
  </conditionalFormatting>
  <conditionalFormatting sqref="D116 F116:G116">
    <cfRule type="top10" dxfId="1209" priority="202" bottom="1" rank="2"/>
    <cfRule type="top10" dxfId="1208" priority="201" bottom="1" rank="1"/>
  </conditionalFormatting>
  <conditionalFormatting sqref="D119 H119:J119 M119">
    <cfRule type="top10" dxfId="1207" priority="195" bottom="1" rank="1"/>
    <cfRule type="top10" dxfId="1206" priority="196" bottom="1" rank="2"/>
  </conditionalFormatting>
  <conditionalFormatting sqref="D121 H121:I121 M121">
    <cfRule type="top10" dxfId="1205" priority="185" bottom="1" rank="1"/>
    <cfRule type="top10" dxfId="1204" priority="186" bottom="1" rank="2"/>
  </conditionalFormatting>
  <conditionalFormatting sqref="D122 F122:G122">
    <cfRule type="top10" dxfId="1203" priority="187" bottom="1" rank="1"/>
    <cfRule type="top10" dxfId="1202" priority="188" bottom="1" rank="2"/>
  </conditionalFormatting>
  <conditionalFormatting sqref="D125 H125:J125 M125">
    <cfRule type="top10" dxfId="1201" priority="182" bottom="1" rank="2"/>
    <cfRule type="top10" dxfId="1200" priority="181" bottom="1" rank="1"/>
  </conditionalFormatting>
  <conditionalFormatting sqref="D127 H127:I127 M127">
    <cfRule type="top10" dxfId="1199" priority="171" bottom="1" rank="1"/>
    <cfRule type="top10" dxfId="1198" priority="172" bottom="1" rank="2"/>
  </conditionalFormatting>
  <conditionalFormatting sqref="D128 F128:G128">
    <cfRule type="top10" dxfId="1197" priority="174" bottom="1" rank="2"/>
    <cfRule type="top10" dxfId="1196" priority="173" bottom="1" rank="1"/>
  </conditionalFormatting>
  <conditionalFormatting sqref="D131 H131:J131 M131">
    <cfRule type="top10" dxfId="1195" priority="167" bottom="1" rank="1"/>
    <cfRule type="top10" dxfId="1194" priority="168" bottom="1" rank="2"/>
  </conditionalFormatting>
  <conditionalFormatting sqref="D133 H133:I133 M133">
    <cfRule type="top10" dxfId="1193" priority="158" bottom="1" rank="2"/>
    <cfRule type="top10" dxfId="1192" priority="157" bottom="1" rank="1"/>
  </conditionalFormatting>
  <conditionalFormatting sqref="D134 F134:G134">
    <cfRule type="top10" dxfId="1191" priority="159" bottom="1" rank="1"/>
    <cfRule type="top10" dxfId="1190" priority="160" bottom="1" rank="2"/>
  </conditionalFormatting>
  <conditionalFormatting sqref="D137 H137:J137 M137">
    <cfRule type="top10" dxfId="1189" priority="153" bottom="1" rank="1"/>
    <cfRule type="top10" dxfId="1188" priority="154" bottom="1" rank="2"/>
  </conditionalFormatting>
  <conditionalFormatting sqref="D139 H139:I139 M139">
    <cfRule type="top10" dxfId="1187" priority="144" bottom="1" rank="2"/>
    <cfRule type="top10" dxfId="1186" priority="143" bottom="1" rank="1"/>
  </conditionalFormatting>
  <conditionalFormatting sqref="D140 F140:G140">
    <cfRule type="top10" dxfId="1185" priority="145" bottom="1" rank="1"/>
    <cfRule type="top10" dxfId="1184" priority="146" bottom="1" rank="2"/>
  </conditionalFormatting>
  <conditionalFormatting sqref="D8:E8 H8:J8 M8">
    <cfRule type="top10" dxfId="1183" priority="72" bottom="1" rank="2"/>
    <cfRule type="top10" dxfId="1182" priority="71" bottom="1" rank="1"/>
  </conditionalFormatting>
  <conditionalFormatting sqref="D10:E10 H10:J10 L10:M10">
    <cfRule type="top10" dxfId="1181" priority="67" bottom="1" rank="1"/>
    <cfRule type="top10" dxfId="1180" priority="68" bottom="1" rank="2"/>
  </conditionalFormatting>
  <conditionalFormatting sqref="D14:E14 H14:J14 M14">
    <cfRule type="top10" dxfId="1179" priority="58" bottom="1" rank="2"/>
    <cfRule type="top10" dxfId="1178" priority="57" bottom="1" rank="1"/>
  </conditionalFormatting>
  <conditionalFormatting sqref="D16:E16 H16:J16 L16:M16">
    <cfRule type="top10" dxfId="1177" priority="54" bottom="1" rank="2"/>
    <cfRule type="top10" dxfId="1176" priority="53" bottom="1" rank="1"/>
  </conditionalFormatting>
  <conditionalFormatting sqref="D20:E20 H20:J20 M20">
    <cfRule type="top10" dxfId="1175" priority="43" bottom="1" rank="1"/>
    <cfRule type="top10" dxfId="1174" priority="44" bottom="1" rank="2"/>
  </conditionalFormatting>
  <conditionalFormatting sqref="D22:E22 H22:J22 L22:M22">
    <cfRule type="top10" dxfId="1173" priority="40" bottom="1" rank="2"/>
    <cfRule type="top10" dxfId="1172" priority="39" bottom="1" rank="1"/>
  </conditionalFormatting>
  <conditionalFormatting sqref="D26:E26 H26:J26 M26">
    <cfRule type="top10" dxfId="1171" priority="29" bottom="1" rank="1"/>
    <cfRule type="top10" dxfId="1170" priority="30" bottom="1" rank="2"/>
  </conditionalFormatting>
  <conditionalFormatting sqref="D28:E28 H28:J28 L28:M28">
    <cfRule type="top10" dxfId="1169" priority="26" bottom="1" rank="2"/>
    <cfRule type="top10" dxfId="1168" priority="25" bottom="1" rank="1"/>
  </conditionalFormatting>
  <conditionalFormatting sqref="D32:E32 H32:J32 M32">
    <cfRule type="top10" dxfId="1167" priority="16" bottom="1" rank="2"/>
    <cfRule type="top10" dxfId="1166" priority="15" bottom="1" rank="1"/>
  </conditionalFormatting>
  <conditionalFormatting sqref="D34:E34 H34:J34 L34:M34">
    <cfRule type="top10" dxfId="1165" priority="12" bottom="1" rank="2"/>
    <cfRule type="top10" dxfId="1164" priority="11" bottom="1" rank="1"/>
  </conditionalFormatting>
  <conditionalFormatting sqref="D41:E41 H41:J41 M41">
    <cfRule type="top10" dxfId="1163" priority="422" bottom="1" rank="2"/>
    <cfRule type="top10" dxfId="1162" priority="421" bottom="1" rank="1"/>
  </conditionalFormatting>
  <conditionalFormatting sqref="D43:E43 H43:J43 M43">
    <cfRule type="top10" dxfId="1161" priority="417" bottom="1" rank="1"/>
    <cfRule type="top10" dxfId="1160" priority="418" bottom="1" rank="2"/>
  </conditionalFormatting>
  <conditionalFormatting sqref="D47:E47 H47:J47 M47">
    <cfRule type="top10" dxfId="1159" priority="408" bottom="1" rank="2"/>
    <cfRule type="top10" dxfId="1158" priority="407" bottom="1" rank="1"/>
  </conditionalFormatting>
  <conditionalFormatting sqref="D49:E49 H49:J49 M49">
    <cfRule type="top10" dxfId="1157" priority="404" bottom="1" rank="2"/>
    <cfRule type="top10" dxfId="1156" priority="403" bottom="1" rank="1"/>
  </conditionalFormatting>
  <conditionalFormatting sqref="D53:E53 H53:J53 M53">
    <cfRule type="top10" dxfId="1155" priority="394" bottom="1" rank="2"/>
    <cfRule type="top10" dxfId="1154" priority="393" bottom="1" rank="1"/>
  </conditionalFormatting>
  <conditionalFormatting sqref="D55:E55 H55:J55 M55">
    <cfRule type="top10" dxfId="1153" priority="389" bottom="1" rank="1"/>
    <cfRule type="top10" dxfId="1152" priority="390" bottom="1" rank="2"/>
  </conditionalFormatting>
  <conditionalFormatting sqref="D59:E59 H59:J59 M59">
    <cfRule type="top10" dxfId="1151" priority="380" bottom="1" rank="2"/>
    <cfRule type="top10" dxfId="1150" priority="379" bottom="1" rank="1"/>
  </conditionalFormatting>
  <conditionalFormatting sqref="D61:E61 H61:J61 M61">
    <cfRule type="top10" dxfId="1149" priority="376" bottom="1" rank="2"/>
    <cfRule type="top10" dxfId="1148" priority="375" bottom="1" rank="1"/>
  </conditionalFormatting>
  <conditionalFormatting sqref="D65:E65 H65:J65 M65">
    <cfRule type="top10" dxfId="1147" priority="366" bottom="1" rank="2"/>
    <cfRule type="top10" dxfId="1146" priority="365" bottom="1" rank="1"/>
  </conditionalFormatting>
  <conditionalFormatting sqref="D67:E67 H67:J67 M67">
    <cfRule type="top10" dxfId="1145" priority="361" bottom="1" rank="1"/>
    <cfRule type="top10" dxfId="1144" priority="362" bottom="1" rank="2"/>
  </conditionalFormatting>
  <conditionalFormatting sqref="D79:E79 H79:J79 M79">
    <cfRule type="top10" dxfId="1143" priority="141" bottom="1" rank="1"/>
    <cfRule type="top10" dxfId="1142" priority="142" bottom="1" rank="2"/>
  </conditionalFormatting>
  <conditionalFormatting sqref="D81:E81 H81:J81 L81:M81">
    <cfRule type="top10" dxfId="1141" priority="138" bottom="1" rank="2"/>
    <cfRule type="top10" dxfId="1140" priority="137" bottom="1" rank="1"/>
  </conditionalFormatting>
  <conditionalFormatting sqref="D85:E85 H85:J85 M85">
    <cfRule type="top10" dxfId="1139" priority="128" bottom="1" rank="2"/>
    <cfRule type="top10" dxfId="1138" priority="127" bottom="1" rank="1"/>
  </conditionalFormatting>
  <conditionalFormatting sqref="D87:E87 H87:J87 L87:M87">
    <cfRule type="top10" dxfId="1137" priority="123" bottom="1" rank="1"/>
    <cfRule type="top10" dxfId="1136" priority="124" bottom="1" rank="2"/>
  </conditionalFormatting>
  <conditionalFormatting sqref="D91:E91 H91:J91 M91">
    <cfRule type="top10" dxfId="1135" priority="113" bottom="1" rank="1"/>
    <cfRule type="top10" dxfId="1134" priority="114" bottom="1" rank="2"/>
  </conditionalFormatting>
  <conditionalFormatting sqref="D93:E93 H93:J93 L93:M93">
    <cfRule type="top10" dxfId="1133" priority="110" bottom="1" rank="2"/>
    <cfRule type="top10" dxfId="1132" priority="109" bottom="1" rank="1"/>
  </conditionalFormatting>
  <conditionalFormatting sqref="D97:E97 H97:J97 M97">
    <cfRule type="top10" dxfId="1131" priority="100" bottom="1" rank="2"/>
    <cfRule type="top10" dxfId="1130" priority="99" bottom="1" rank="1"/>
  </conditionalFormatting>
  <conditionalFormatting sqref="D99:E99 H99:J99 L99:M99">
    <cfRule type="top10" dxfId="1129" priority="95" bottom="1" rank="1"/>
    <cfRule type="top10" dxfId="1128" priority="96" bottom="1" rank="2"/>
  </conditionalFormatting>
  <conditionalFormatting sqref="D103:E103 H103:J103 M103">
    <cfRule type="top10" dxfId="1127" priority="86" bottom="1" rank="2"/>
    <cfRule type="top10" dxfId="1126" priority="85" bottom="1" rank="1"/>
  </conditionalFormatting>
  <conditionalFormatting sqref="D105:E105 H105:J105 L105:M105">
    <cfRule type="top10" dxfId="1125" priority="82" bottom="1" rank="2"/>
    <cfRule type="top10" dxfId="1124" priority="81" bottom="1" rank="1"/>
  </conditionalFormatting>
  <conditionalFormatting sqref="D112:E112 H112:J112 M112">
    <cfRule type="top10" dxfId="1123" priority="211" bottom="1" rank="1"/>
    <cfRule type="top10" dxfId="1122" priority="212" bottom="1" rank="2"/>
  </conditionalFormatting>
  <conditionalFormatting sqref="D114:E114 H114:J114 M114">
    <cfRule type="top10" dxfId="1121" priority="207" bottom="1" rank="1"/>
    <cfRule type="top10" dxfId="1120" priority="208" bottom="1" rank="2"/>
  </conditionalFormatting>
  <conditionalFormatting sqref="D118:E118 H118:J118 M118">
    <cfRule type="top10" dxfId="1119" priority="198" bottom="1" rank="2"/>
    <cfRule type="top10" dxfId="1118" priority="197" bottom="1" rank="1"/>
  </conditionalFormatting>
  <conditionalFormatting sqref="D120:E120 H120:J120 M120">
    <cfRule type="top10" dxfId="1117" priority="193" bottom="1" rank="1"/>
    <cfRule type="top10" dxfId="1116" priority="194" bottom="1" rank="2"/>
  </conditionalFormatting>
  <conditionalFormatting sqref="D124:E124 H124:J124 M124">
    <cfRule type="top10" dxfId="1115" priority="184" bottom="1" rank="2"/>
    <cfRule type="top10" dxfId="1114" priority="183" bottom="1" rank="1"/>
  </conditionalFormatting>
  <conditionalFormatting sqref="D126:E126 H126:J126 M126">
    <cfRule type="top10" dxfId="1113" priority="179" bottom="1" rank="1"/>
    <cfRule type="top10" dxfId="1112" priority="180" bottom="1" rank="2"/>
  </conditionalFormatting>
  <conditionalFormatting sqref="D130:E130 H130:J130 M130">
    <cfRule type="top10" dxfId="1111" priority="170" bottom="1" rank="2"/>
    <cfRule type="top10" dxfId="1110" priority="169" bottom="1" rank="1"/>
  </conditionalFormatting>
  <conditionalFormatting sqref="D132:E132 H132:J132 M132">
    <cfRule type="top10" dxfId="1109" priority="165" bottom="1" rank="1"/>
    <cfRule type="top10" dxfId="1108" priority="166" bottom="1" rank="2"/>
  </conditionalFormatting>
  <conditionalFormatting sqref="D136:E136 H136:J136 M136">
    <cfRule type="top10" dxfId="1107" priority="155" bottom="1" rank="1"/>
    <cfRule type="top10" dxfId="1106" priority="156" bottom="1" rank="2"/>
  </conditionalFormatting>
  <conditionalFormatting sqref="D138:E138 H138:J138 M138">
    <cfRule type="top10" dxfId="1105" priority="152" bottom="1" rank="2"/>
    <cfRule type="top10" dxfId="1104" priority="151" bottom="1" rank="1"/>
  </conditionalFormatting>
  <conditionalFormatting sqref="H45:K45 M45">
    <cfRule type="top10" dxfId="1103" priority="416" bottom="1" rank="2"/>
    <cfRule type="top10" dxfId="1102" priority="415" bottom="1" rank="1"/>
  </conditionalFormatting>
  <conditionalFormatting sqref="H51:K51 M51">
    <cfRule type="top10" dxfId="1101" priority="402" bottom="1" rank="2"/>
    <cfRule type="top10" dxfId="1100" priority="401" bottom="1" rank="1"/>
  </conditionalFormatting>
  <conditionalFormatting sqref="H57:K57 M57">
    <cfRule type="top10" dxfId="1099" priority="387" bottom="1" rank="1"/>
    <cfRule type="top10" dxfId="1098" priority="388" bottom="1" rank="2"/>
  </conditionalFormatting>
  <conditionalFormatting sqref="H63:K63 M63">
    <cfRule type="top10" dxfId="1097" priority="374" bottom="1" rank="2"/>
    <cfRule type="top10" dxfId="1096" priority="373" bottom="1" rank="1"/>
  </conditionalFormatting>
  <conditionalFormatting sqref="H69:K69 M69">
    <cfRule type="top10" dxfId="1095" priority="359" bottom="1" rank="1"/>
    <cfRule type="top10" dxfId="1094" priority="360" bottom="1" rank="2"/>
  </conditionalFormatting>
  <conditionalFormatting sqref="H116:K116 M116">
    <cfRule type="top10" dxfId="1093" priority="206" bottom="1" rank="2"/>
    <cfRule type="top10" dxfId="1092" priority="205" bottom="1" rank="1"/>
  </conditionalFormatting>
  <conditionalFormatting sqref="H122:K122 M122">
    <cfRule type="top10" dxfId="1091" priority="191" bottom="1" rank="1"/>
    <cfRule type="top10" dxfId="1090" priority="192" bottom="1" rank="2"/>
  </conditionalFormatting>
  <conditionalFormatting sqref="H128:K128 M128">
    <cfRule type="top10" dxfId="1089" priority="178" bottom="1" rank="2"/>
    <cfRule type="top10" dxfId="1088" priority="177" bottom="1" rank="1"/>
  </conditionalFormatting>
  <conditionalFormatting sqref="H134:K134 M134">
    <cfRule type="top10" dxfId="1087" priority="164" bottom="1" rank="2"/>
    <cfRule type="top10" dxfId="1086" priority="163" bottom="1" rank="1"/>
  </conditionalFormatting>
  <conditionalFormatting sqref="H140:K140 M140">
    <cfRule type="top10" dxfId="1085" priority="150" bottom="1" rank="2"/>
    <cfRule type="top10" dxfId="1084" priority="149" bottom="1" rank="1"/>
  </conditionalFormatting>
  <conditionalFormatting sqref="I13 L13">
    <cfRule type="top10" dxfId="1083" priority="63" bottom="1" rank="1"/>
    <cfRule type="top10" dxfId="1082" priority="64" bottom="1" rank="2"/>
  </conditionalFormatting>
  <conditionalFormatting sqref="I19 L19">
    <cfRule type="top10" dxfId="1081" priority="49" bottom="1" rank="1"/>
    <cfRule type="top10" dxfId="1080" priority="50" bottom="1" rank="2"/>
  </conditionalFormatting>
  <conditionalFormatting sqref="I25 L25">
    <cfRule type="top10" dxfId="1079" priority="36" bottom="1" rank="2"/>
    <cfRule type="top10" dxfId="1078" priority="35" bottom="1" rank="1"/>
  </conditionalFormatting>
  <conditionalFormatting sqref="I31 L31">
    <cfRule type="top10" dxfId="1077" priority="21" bottom="1" rank="1"/>
    <cfRule type="top10" dxfId="1076" priority="22" bottom="1" rank="2"/>
  </conditionalFormatting>
  <conditionalFormatting sqref="I37 L37">
    <cfRule type="top10" dxfId="1075" priority="8" bottom="1" rank="2"/>
    <cfRule type="top10" dxfId="1074" priority="7" bottom="1" rank="1"/>
  </conditionalFormatting>
  <conditionalFormatting sqref="I46">
    <cfRule type="top10" dxfId="1073" priority="413" bottom="1" rank="1"/>
    <cfRule type="top10" dxfId="1072" priority="414" bottom="1" rank="2"/>
  </conditionalFormatting>
  <conditionalFormatting sqref="I52">
    <cfRule type="top10" dxfId="1071" priority="399" bottom="1" rank="1"/>
    <cfRule type="top10" dxfId="1070" priority="400" bottom="1" rank="2"/>
  </conditionalFormatting>
  <conditionalFormatting sqref="I58">
    <cfRule type="top10" dxfId="1069" priority="386" bottom="1" rank="2"/>
    <cfRule type="top10" dxfId="1068" priority="385" bottom="1" rank="1"/>
  </conditionalFormatting>
  <conditionalFormatting sqref="I64">
    <cfRule type="top10" dxfId="1067" priority="372" bottom="1" rank="2"/>
    <cfRule type="top10" dxfId="1066" priority="371" bottom="1" rank="1"/>
  </conditionalFormatting>
  <conditionalFormatting sqref="I70">
    <cfRule type="top10" dxfId="1065" priority="358" bottom="1" rank="2"/>
    <cfRule type="top10" dxfId="1064" priority="357" bottom="1" rank="1"/>
  </conditionalFormatting>
  <conditionalFormatting sqref="I84 L84">
    <cfRule type="top10" dxfId="1063" priority="134" bottom="1" rank="2"/>
    <cfRule type="top10" dxfId="1062" priority="133" bottom="1" rank="1"/>
  </conditionalFormatting>
  <conditionalFormatting sqref="I90 L90">
    <cfRule type="top10" dxfId="1061" priority="120" bottom="1" rank="2"/>
    <cfRule type="top10" dxfId="1060" priority="119" bottom="1" rank="1"/>
  </conditionalFormatting>
  <conditionalFormatting sqref="I96 L96">
    <cfRule type="top10" dxfId="1059" priority="105" bottom="1" rank="1"/>
    <cfRule type="top10" dxfId="1058" priority="106" bottom="1" rank="2"/>
  </conditionalFormatting>
  <conditionalFormatting sqref="I102 L102">
    <cfRule type="top10" dxfId="1057" priority="91" bottom="1" rank="1"/>
    <cfRule type="top10" dxfId="1056" priority="92" bottom="1" rank="2"/>
  </conditionalFormatting>
  <conditionalFormatting sqref="I108 L108">
    <cfRule type="top10" dxfId="1055" priority="77" bottom="1" rank="1"/>
    <cfRule type="top10" dxfId="1054" priority="78" bottom="1" rank="2"/>
  </conditionalFormatting>
  <conditionalFormatting sqref="I117">
    <cfRule type="top10" dxfId="1053" priority="203" bottom="1" rank="1"/>
    <cfRule type="top10" dxfId="1052" priority="204" bottom="1" rank="2"/>
  </conditionalFormatting>
  <conditionalFormatting sqref="I123">
    <cfRule type="top10" dxfId="1051" priority="189" bottom="1" rank="1"/>
    <cfRule type="top10" dxfId="1050" priority="190" bottom="1" rank="2"/>
  </conditionalFormatting>
  <conditionalFormatting sqref="I129">
    <cfRule type="top10" dxfId="1049" priority="176" bottom="1" rank="2"/>
    <cfRule type="top10" dxfId="1048" priority="175" bottom="1" rank="1"/>
  </conditionalFormatting>
  <conditionalFormatting sqref="I135">
    <cfRule type="top10" dxfId="1047" priority="161" bottom="1" rank="1"/>
    <cfRule type="top10" dxfId="1046" priority="162" bottom="1" rank="2"/>
  </conditionalFormatting>
  <conditionalFormatting sqref="I141 L141">
    <cfRule type="top10" dxfId="1045" priority="147" bottom="1" rank="1"/>
    <cfRule type="top10" dxfId="1044" priority="148" bottom="1" rank="2"/>
  </conditionalFormatting>
  <conditionalFormatting sqref="L70">
    <cfRule type="top10" dxfId="1043" priority="2" bottom="1" rank="2"/>
    <cfRule type="top10" dxfId="1042" priority="1" bottom="1" rank="1"/>
  </conditionalFormatting>
  <conditionalFormatting sqref="N8:N70 N79:N141">
    <cfRule type="expression" dxfId="1041" priority="2462">
      <formula>RANK(N8,$D8:$M8,1)=1</formula>
    </cfRule>
    <cfRule type="expression" dxfId="1040" priority="2463">
      <formula>RANK(N8,$D8:$M8,1)=2</formula>
    </cfRule>
  </conditionalFormatting>
  <printOptions horizontalCentered="1" verticalCentered="1"/>
  <pageMargins left="0" right="0" top="0" bottom="0" header="0" footer="0"/>
  <pageSetup paperSize="9" scale="36" orientation="portrait" r:id="rId1"/>
  <headerFooter>
    <oddFooter>&amp;L_x000D_&amp;1#&amp;"Calibri"&amp;8&amp;K008000 Public</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A2EF7-9F4A-407A-9A28-106A72BFBB37}">
  <sheetPr codeName="Sheet10">
    <pageSetUpPr fitToPage="1"/>
  </sheetPr>
  <dimension ref="A1:Q143"/>
  <sheetViews>
    <sheetView showGridLines="0" zoomScale="80" zoomScaleNormal="80" zoomScaleSheetLayoutView="100" workbookViewId="0">
      <selection activeCell="O47" sqref="O47"/>
    </sheetView>
  </sheetViews>
  <sheetFormatPr defaultColWidth="22.54296875" defaultRowHeight="14.5" x14ac:dyDescent="0.35"/>
  <cols>
    <col min="1" max="1" width="12.453125" style="157" customWidth="1"/>
    <col min="2" max="2" width="22" style="158" customWidth="1"/>
    <col min="3" max="4" width="24.81640625" style="124" customWidth="1"/>
    <col min="5" max="10" width="16" style="124" customWidth="1"/>
    <col min="11" max="11" width="12.81640625" style="124" customWidth="1"/>
    <col min="12" max="12" width="63.453125" customWidth="1"/>
    <col min="13" max="13" width="7.54296875" style="124" customWidth="1"/>
    <col min="14" max="16384" width="22.54296875" style="124"/>
  </cols>
  <sheetData>
    <row r="1" spans="1:12" ht="21" customHeight="1" x14ac:dyDescent="0.35">
      <c r="A1" s="122"/>
      <c r="B1" s="122"/>
      <c r="C1" s="122"/>
      <c r="D1" s="122"/>
      <c r="E1" s="122"/>
      <c r="F1" s="122"/>
      <c r="G1" s="122"/>
      <c r="H1" s="122"/>
      <c r="I1" s="122"/>
      <c r="J1" s="123"/>
      <c r="K1" s="123"/>
    </row>
    <row r="2" spans="1:12" ht="15.5" x14ac:dyDescent="0.35">
      <c r="A2" s="610" t="s">
        <v>127</v>
      </c>
      <c r="B2" s="610"/>
      <c r="C2" s="125"/>
      <c r="D2" s="125"/>
      <c r="E2"/>
      <c r="F2"/>
      <c r="G2"/>
      <c r="H2" s="97"/>
      <c r="I2" s="46" t="s">
        <v>128</v>
      </c>
      <c r="J2" s="98"/>
      <c r="K2" s="98"/>
    </row>
    <row r="3" spans="1:12" ht="15.5" x14ac:dyDescent="0.35">
      <c r="A3" s="590" t="s">
        <v>129</v>
      </c>
      <c r="B3" s="590"/>
      <c r="C3" s="99">
        <v>1500000</v>
      </c>
      <c r="D3" s="99"/>
      <c r="E3" s="126"/>
      <c r="F3" s="126"/>
      <c r="G3" s="126"/>
      <c r="H3" s="101"/>
      <c r="I3" s="562" t="s">
        <v>211</v>
      </c>
      <c r="J3" s="562"/>
      <c r="K3" s="46"/>
    </row>
    <row r="4" spans="1:12" ht="15" thickBot="1" x14ac:dyDescent="0.4">
      <c r="A4" s="614"/>
      <c r="B4" s="614"/>
      <c r="C4" s="127"/>
      <c r="D4" s="127"/>
      <c r="E4" s="127"/>
      <c r="F4" s="127"/>
      <c r="G4" s="127"/>
      <c r="H4"/>
      <c r="I4"/>
      <c r="J4"/>
      <c r="K4"/>
    </row>
    <row r="5" spans="1:12" s="35" customFormat="1" ht="92.4" customHeight="1" thickBot="1" x14ac:dyDescent="0.4">
      <c r="A5" s="592"/>
      <c r="B5" s="615"/>
      <c r="C5" s="128" t="s">
        <v>303</v>
      </c>
      <c r="D5" s="128" t="s">
        <v>227</v>
      </c>
      <c r="E5" s="128" t="s">
        <v>228</v>
      </c>
      <c r="F5" s="128" t="s">
        <v>229</v>
      </c>
      <c r="G5" s="128" t="s">
        <v>230</v>
      </c>
      <c r="H5" s="128" t="s">
        <v>231</v>
      </c>
      <c r="I5" s="128" t="s">
        <v>232</v>
      </c>
      <c r="J5" s="129" t="s">
        <v>233</v>
      </c>
      <c r="K5" s="157"/>
      <c r="L5" s="52" t="s">
        <v>131</v>
      </c>
    </row>
    <row r="6" spans="1:12" ht="30" customHeight="1" x14ac:dyDescent="0.35">
      <c r="A6" s="594" t="s">
        <v>213</v>
      </c>
      <c r="B6" s="613"/>
      <c r="C6" s="159" t="s">
        <v>234</v>
      </c>
      <c r="D6" s="130" t="s">
        <v>311</v>
      </c>
      <c r="E6" s="130" t="s">
        <v>235</v>
      </c>
      <c r="F6" s="130" t="s">
        <v>234</v>
      </c>
      <c r="G6" s="130" t="s">
        <v>236</v>
      </c>
      <c r="H6" s="159" t="s">
        <v>234</v>
      </c>
      <c r="I6" s="159" t="s">
        <v>237</v>
      </c>
      <c r="J6" s="179" t="s">
        <v>234</v>
      </c>
      <c r="K6" s="180"/>
      <c r="L6" s="529" t="s">
        <v>312</v>
      </c>
    </row>
    <row r="7" spans="1:12" ht="15.75" customHeight="1" thickBot="1" x14ac:dyDescent="0.4">
      <c r="A7" s="132" t="s">
        <v>176</v>
      </c>
      <c r="B7" s="133" t="s">
        <v>140</v>
      </c>
      <c r="C7" s="134" t="s">
        <v>141</v>
      </c>
      <c r="D7" s="134" t="s">
        <v>141</v>
      </c>
      <c r="E7" s="134" t="s">
        <v>142</v>
      </c>
      <c r="F7" s="135" t="s">
        <v>141</v>
      </c>
      <c r="G7" s="135" t="s">
        <v>141</v>
      </c>
      <c r="H7" s="136" t="s">
        <v>142</v>
      </c>
      <c r="I7" s="136" t="s">
        <v>142</v>
      </c>
      <c r="J7" s="135" t="s">
        <v>141</v>
      </c>
      <c r="K7" s="181"/>
      <c r="L7" s="530"/>
    </row>
    <row r="8" spans="1:12" x14ac:dyDescent="0.35">
      <c r="A8" s="611" t="s">
        <v>238</v>
      </c>
      <c r="B8" s="137" t="s">
        <v>239</v>
      </c>
      <c r="C8" s="107">
        <v>430.12666666666667</v>
      </c>
      <c r="D8" s="107">
        <v>417.8</v>
      </c>
      <c r="E8" s="107">
        <v>840</v>
      </c>
      <c r="F8" s="107">
        <v>513.45000000000005</v>
      </c>
      <c r="G8" s="107">
        <f>G41-1425</f>
        <v>555</v>
      </c>
      <c r="H8" s="108">
        <v>463.68</v>
      </c>
      <c r="I8" s="107" t="s">
        <v>38</v>
      </c>
      <c r="J8" s="109">
        <v>370.65000000000003</v>
      </c>
      <c r="K8" s="110"/>
      <c r="L8" s="530"/>
    </row>
    <row r="9" spans="1:12" x14ac:dyDescent="0.35">
      <c r="A9" s="587"/>
      <c r="B9" s="20" t="s">
        <v>240</v>
      </c>
      <c r="C9" s="112">
        <v>432.17999999999995</v>
      </c>
      <c r="D9" s="112">
        <v>431.9</v>
      </c>
      <c r="E9" s="112" t="s">
        <v>38</v>
      </c>
      <c r="F9" s="112">
        <v>513.45000000000005</v>
      </c>
      <c r="G9" s="112">
        <f>G42-1455</f>
        <v>585</v>
      </c>
      <c r="H9" s="113">
        <v>469.20000000000005</v>
      </c>
      <c r="I9" s="112">
        <v>396.35</v>
      </c>
      <c r="J9" s="114">
        <v>382.2</v>
      </c>
      <c r="K9" s="110"/>
      <c r="L9" s="530"/>
    </row>
    <row r="10" spans="1:12" x14ac:dyDescent="0.35">
      <c r="A10" s="587"/>
      <c r="B10" s="20" t="s">
        <v>241</v>
      </c>
      <c r="C10" s="112">
        <v>807.14666666666653</v>
      </c>
      <c r="D10" s="112">
        <v>781.15</v>
      </c>
      <c r="E10" s="112">
        <v>1620</v>
      </c>
      <c r="F10" s="112">
        <v>1035.9000000000001</v>
      </c>
      <c r="G10" s="112">
        <f>G43-2850</f>
        <v>1305</v>
      </c>
      <c r="H10" s="113">
        <v>1135.74</v>
      </c>
      <c r="I10" s="112">
        <v>868.8</v>
      </c>
      <c r="J10" s="114">
        <v>637.20000000000005</v>
      </c>
      <c r="K10" s="110"/>
      <c r="L10" s="530"/>
    </row>
    <row r="11" spans="1:12" x14ac:dyDescent="0.35">
      <c r="A11" s="587"/>
      <c r="B11" s="20" t="s">
        <v>242</v>
      </c>
      <c r="C11" s="112">
        <v>2140.9733333333334</v>
      </c>
      <c r="D11" s="112">
        <v>1561.8</v>
      </c>
      <c r="E11" s="112" t="s">
        <v>38</v>
      </c>
      <c r="F11" s="112">
        <f>2961.6</f>
        <v>2961.6</v>
      </c>
      <c r="G11" s="112">
        <f>G44-5070</f>
        <v>3120</v>
      </c>
      <c r="H11" s="113" t="s">
        <v>38</v>
      </c>
      <c r="I11" s="112">
        <v>2165.1</v>
      </c>
      <c r="J11" s="114">
        <v>1534.5</v>
      </c>
      <c r="K11" s="110"/>
      <c r="L11" s="530"/>
    </row>
    <row r="12" spans="1:12" x14ac:dyDescent="0.35">
      <c r="A12" s="587"/>
      <c r="B12" s="20" t="s">
        <v>243</v>
      </c>
      <c r="C12" s="112">
        <v>4108.6733333333332</v>
      </c>
      <c r="D12" s="112">
        <v>4165.05</v>
      </c>
      <c r="E12" s="112" t="s">
        <v>38</v>
      </c>
      <c r="F12" s="112" t="s">
        <v>38</v>
      </c>
      <c r="G12" s="112" t="s">
        <v>38</v>
      </c>
      <c r="H12" s="113" t="s">
        <v>38</v>
      </c>
      <c r="I12" s="112" t="s">
        <v>38</v>
      </c>
      <c r="J12" s="115" t="s">
        <v>38</v>
      </c>
      <c r="K12" s="110"/>
      <c r="L12" s="530"/>
    </row>
    <row r="13" spans="1:12" ht="15.75" customHeight="1" thickBot="1" x14ac:dyDescent="0.4">
      <c r="A13" s="612"/>
      <c r="B13" s="117" t="s">
        <v>244</v>
      </c>
      <c r="C13" s="118" t="s">
        <v>38</v>
      </c>
      <c r="D13" s="118" t="s">
        <v>38</v>
      </c>
      <c r="E13" s="118" t="s">
        <v>38</v>
      </c>
      <c r="F13" s="118" t="s">
        <v>38</v>
      </c>
      <c r="G13" s="118">
        <f>G46-5895</f>
        <v>4950</v>
      </c>
      <c r="H13" s="119" t="s">
        <v>38</v>
      </c>
      <c r="I13" s="118">
        <v>3925.2</v>
      </c>
      <c r="J13" s="120" t="s">
        <v>38</v>
      </c>
      <c r="K13" s="110"/>
      <c r="L13" s="530"/>
    </row>
    <row r="14" spans="1:12" ht="15" customHeight="1" x14ac:dyDescent="0.35">
      <c r="A14" s="620" t="s">
        <v>245</v>
      </c>
      <c r="B14" s="138" t="s">
        <v>239</v>
      </c>
      <c r="C14" s="107">
        <v>474.9733333333333</v>
      </c>
      <c r="D14" s="107">
        <v>474.95</v>
      </c>
      <c r="E14" s="107">
        <v>990</v>
      </c>
      <c r="F14" s="142">
        <v>601.20000000000005</v>
      </c>
      <c r="G14" s="107">
        <f>G47-1605</f>
        <v>615</v>
      </c>
      <c r="H14" s="108">
        <v>622.38</v>
      </c>
      <c r="I14" s="107" t="s">
        <v>38</v>
      </c>
      <c r="J14" s="109">
        <v>407.40000000000003</v>
      </c>
      <c r="K14" s="110"/>
      <c r="L14" s="530"/>
    </row>
    <row r="15" spans="1:12" x14ac:dyDescent="0.35">
      <c r="A15" s="587"/>
      <c r="B15" s="20" t="s">
        <v>240</v>
      </c>
      <c r="C15" s="112">
        <v>533.4</v>
      </c>
      <c r="D15" s="112">
        <v>533.54999999999995</v>
      </c>
      <c r="E15" s="112" t="s">
        <v>38</v>
      </c>
      <c r="F15" s="112">
        <v>605.70000000000005</v>
      </c>
      <c r="G15" s="112">
        <f>G48-1875</f>
        <v>660</v>
      </c>
      <c r="H15" s="113">
        <v>622.38</v>
      </c>
      <c r="I15" s="112">
        <v>507.1</v>
      </c>
      <c r="J15" s="114">
        <v>456.75</v>
      </c>
      <c r="K15" s="110"/>
      <c r="L15" s="530"/>
    </row>
    <row r="16" spans="1:12" x14ac:dyDescent="0.35">
      <c r="A16" s="587"/>
      <c r="B16" s="20" t="s">
        <v>246</v>
      </c>
      <c r="C16" s="112">
        <v>1217.72</v>
      </c>
      <c r="D16" s="112">
        <v>983.55</v>
      </c>
      <c r="E16" s="112">
        <v>1950</v>
      </c>
      <c r="F16" s="112">
        <v>1276.6500000000001</v>
      </c>
      <c r="G16" s="112">
        <f>G49-3420</f>
        <v>1335</v>
      </c>
      <c r="H16" s="113">
        <v>1217.1600000000001</v>
      </c>
      <c r="I16" s="112">
        <v>1169.95</v>
      </c>
      <c r="J16" s="114">
        <v>773.99999999999977</v>
      </c>
      <c r="K16" s="110"/>
      <c r="L16" s="530"/>
    </row>
    <row r="17" spans="1:17" x14ac:dyDescent="0.35">
      <c r="A17" s="587"/>
      <c r="B17" s="20" t="s">
        <v>247</v>
      </c>
      <c r="C17" s="112">
        <v>2860.1066666666666</v>
      </c>
      <c r="D17" s="112">
        <v>2093.3000000000002</v>
      </c>
      <c r="E17" s="112" t="s">
        <v>38</v>
      </c>
      <c r="F17" s="112">
        <f>3879.6</f>
        <v>3879.6</v>
      </c>
      <c r="G17" s="112">
        <f>G50-6330</f>
        <v>3780</v>
      </c>
      <c r="H17" s="113" t="s">
        <v>38</v>
      </c>
      <c r="I17" s="112">
        <v>2746.65</v>
      </c>
      <c r="J17" s="114">
        <v>1985.3999999999999</v>
      </c>
      <c r="K17" s="110"/>
      <c r="L17" s="530"/>
    </row>
    <row r="18" spans="1:17" x14ac:dyDescent="0.35">
      <c r="A18" s="587"/>
      <c r="B18" s="20" t="s">
        <v>248</v>
      </c>
      <c r="C18" s="112">
        <v>5266.8466666666664</v>
      </c>
      <c r="D18" s="112">
        <v>5324.15</v>
      </c>
      <c r="E18" s="112" t="s">
        <v>38</v>
      </c>
      <c r="F18" s="112" t="s">
        <v>38</v>
      </c>
      <c r="G18" s="112" t="s">
        <v>38</v>
      </c>
      <c r="H18" s="113" t="s">
        <v>38</v>
      </c>
      <c r="I18" s="112" t="s">
        <v>38</v>
      </c>
      <c r="J18" s="115" t="s">
        <v>38</v>
      </c>
      <c r="K18" s="110"/>
      <c r="L18" s="530"/>
    </row>
    <row r="19" spans="1:17" ht="15" thickBot="1" x14ac:dyDescent="0.4">
      <c r="A19" s="607"/>
      <c r="B19" s="139" t="s">
        <v>249</v>
      </c>
      <c r="C19" s="118" t="s">
        <v>38</v>
      </c>
      <c r="D19" s="118" t="s">
        <v>38</v>
      </c>
      <c r="E19" s="118" t="s">
        <v>38</v>
      </c>
      <c r="F19" s="112" t="s">
        <v>38</v>
      </c>
      <c r="G19" s="118">
        <f>G52-7545</f>
        <v>6315</v>
      </c>
      <c r="H19" s="119" t="s">
        <v>38</v>
      </c>
      <c r="I19" s="118">
        <v>5254.4</v>
      </c>
      <c r="J19" s="120" t="s">
        <v>38</v>
      </c>
      <c r="K19" s="110"/>
      <c r="L19" s="530"/>
      <c r="N19" s="182"/>
      <c r="O19" s="182"/>
      <c r="P19" s="141"/>
      <c r="Q19" s="141"/>
    </row>
    <row r="20" spans="1:17" x14ac:dyDescent="0.35">
      <c r="A20" s="611" t="s">
        <v>250</v>
      </c>
      <c r="B20" s="137" t="s">
        <v>239</v>
      </c>
      <c r="C20" s="107">
        <v>635.69333333333327</v>
      </c>
      <c r="D20" s="107">
        <v>635.25</v>
      </c>
      <c r="E20" s="107">
        <v>1380</v>
      </c>
      <c r="F20" s="107">
        <v>771.15</v>
      </c>
      <c r="G20" s="107">
        <f>G53-2385</f>
        <v>825</v>
      </c>
      <c r="H20" s="108">
        <v>779.7</v>
      </c>
      <c r="I20" s="107" t="s">
        <v>38</v>
      </c>
      <c r="J20" s="109">
        <v>606.9</v>
      </c>
      <c r="K20" s="110"/>
      <c r="L20" s="530"/>
      <c r="N20" s="182"/>
      <c r="O20" s="182"/>
      <c r="P20" s="141"/>
      <c r="Q20" s="141"/>
    </row>
    <row r="21" spans="1:17" x14ac:dyDescent="0.35">
      <c r="A21" s="587"/>
      <c r="B21" s="20" t="s">
        <v>240</v>
      </c>
      <c r="C21" s="112">
        <v>744.24</v>
      </c>
      <c r="D21" s="112">
        <v>744.05</v>
      </c>
      <c r="E21" s="112" t="s">
        <v>38</v>
      </c>
      <c r="F21" s="112">
        <v>871.5</v>
      </c>
      <c r="G21" s="112">
        <f>G54-2790</f>
        <v>870</v>
      </c>
      <c r="H21" s="113">
        <v>823.86</v>
      </c>
      <c r="I21" s="112">
        <v>726.9</v>
      </c>
      <c r="J21" s="114">
        <v>664.65</v>
      </c>
      <c r="K21" s="110"/>
      <c r="L21" s="530"/>
    </row>
    <row r="22" spans="1:17" x14ac:dyDescent="0.35">
      <c r="A22" s="587"/>
      <c r="B22" s="20" t="s">
        <v>251</v>
      </c>
      <c r="C22" s="112">
        <v>1407.9799999999998</v>
      </c>
      <c r="D22" s="112">
        <v>1316.7</v>
      </c>
      <c r="E22" s="112">
        <v>2640</v>
      </c>
      <c r="F22" s="112">
        <f>1619.25</f>
        <v>1619.25</v>
      </c>
      <c r="G22" s="112">
        <f>G55-4410</f>
        <v>1770</v>
      </c>
      <c r="H22" s="113">
        <v>1472.46</v>
      </c>
      <c r="I22" s="112">
        <v>1484.95</v>
      </c>
      <c r="J22" s="114">
        <v>985.5</v>
      </c>
      <c r="K22" s="110"/>
      <c r="L22" s="530"/>
    </row>
    <row r="23" spans="1:17" x14ac:dyDescent="0.35">
      <c r="A23" s="587"/>
      <c r="B23" s="20" t="s">
        <v>252</v>
      </c>
      <c r="C23" s="112">
        <v>3870.4399999999996</v>
      </c>
      <c r="D23" s="112">
        <v>2832.8</v>
      </c>
      <c r="E23" s="112" t="s">
        <v>38</v>
      </c>
      <c r="F23" s="112">
        <f>4888.05</f>
        <v>4888.05</v>
      </c>
      <c r="G23" s="112">
        <f>G56-8040</f>
        <v>4800</v>
      </c>
      <c r="H23" s="113" t="s">
        <v>38</v>
      </c>
      <c r="I23" s="112">
        <v>3499.45</v>
      </c>
      <c r="J23" s="114">
        <v>2574</v>
      </c>
      <c r="K23" s="110"/>
      <c r="L23" s="530"/>
    </row>
    <row r="24" spans="1:17" x14ac:dyDescent="0.35">
      <c r="A24" s="587"/>
      <c r="B24" s="20" t="s">
        <v>253</v>
      </c>
      <c r="C24" s="112">
        <v>6865.46</v>
      </c>
      <c r="D24" s="112">
        <v>6962.55</v>
      </c>
      <c r="E24" s="112" t="s">
        <v>38</v>
      </c>
      <c r="F24" s="112" t="s">
        <v>38</v>
      </c>
      <c r="G24" s="112" t="s">
        <v>38</v>
      </c>
      <c r="H24" s="113" t="s">
        <v>38</v>
      </c>
      <c r="I24" s="112" t="s">
        <v>38</v>
      </c>
      <c r="J24" s="115" t="s">
        <v>38</v>
      </c>
      <c r="K24" s="110"/>
      <c r="L24" s="530"/>
    </row>
    <row r="25" spans="1:17" ht="15" thickBot="1" x14ac:dyDescent="0.4">
      <c r="A25" s="612"/>
      <c r="B25" s="117" t="s">
        <v>254</v>
      </c>
      <c r="C25" s="118" t="s">
        <v>38</v>
      </c>
      <c r="D25" s="118" t="s">
        <v>38</v>
      </c>
      <c r="E25" s="118" t="s">
        <v>38</v>
      </c>
      <c r="F25" s="118" t="s">
        <v>38</v>
      </c>
      <c r="G25" s="118">
        <f>G58-8970</f>
        <v>8115</v>
      </c>
      <c r="H25" s="119" t="s">
        <v>38</v>
      </c>
      <c r="I25" s="118">
        <v>7128.75</v>
      </c>
      <c r="J25" s="120" t="s">
        <v>38</v>
      </c>
      <c r="K25" s="110"/>
      <c r="L25" s="530"/>
    </row>
    <row r="26" spans="1:17" x14ac:dyDescent="0.35">
      <c r="A26" s="620" t="s">
        <v>255</v>
      </c>
      <c r="B26" s="138" t="s">
        <v>239</v>
      </c>
      <c r="C26" s="107">
        <v>928.75999999999988</v>
      </c>
      <c r="D26" s="107">
        <v>929.25</v>
      </c>
      <c r="E26" s="107">
        <v>2160</v>
      </c>
      <c r="F26" s="142">
        <v>1241.6500000000001</v>
      </c>
      <c r="G26" s="107">
        <f>G59-4050</f>
        <v>1200</v>
      </c>
      <c r="H26" s="108">
        <v>1156.44</v>
      </c>
      <c r="I26" s="107" t="s">
        <v>38</v>
      </c>
      <c r="J26" s="109">
        <v>806.4</v>
      </c>
      <c r="K26" s="110"/>
      <c r="L26" s="530"/>
    </row>
    <row r="27" spans="1:17" x14ac:dyDescent="0.35">
      <c r="A27" s="587"/>
      <c r="B27" s="20" t="s">
        <v>240</v>
      </c>
      <c r="C27" s="112">
        <v>1182.1133333333332</v>
      </c>
      <c r="D27" s="112">
        <v>1182</v>
      </c>
      <c r="E27" s="112" t="s">
        <v>38</v>
      </c>
      <c r="F27" s="112">
        <v>1472.65</v>
      </c>
      <c r="G27" s="112">
        <f>G60-4365</f>
        <v>1410</v>
      </c>
      <c r="H27" s="113">
        <v>1168.8600000000001</v>
      </c>
      <c r="I27" s="112">
        <v>1216.6500000000001</v>
      </c>
      <c r="J27" s="114">
        <v>1008</v>
      </c>
      <c r="K27" s="110"/>
      <c r="L27" s="530"/>
    </row>
    <row r="28" spans="1:17" x14ac:dyDescent="0.35">
      <c r="A28" s="587"/>
      <c r="B28" s="20" t="s">
        <v>256</v>
      </c>
      <c r="C28" s="112">
        <v>1939.8400000000001</v>
      </c>
      <c r="D28" s="112">
        <v>1713</v>
      </c>
      <c r="E28" s="112">
        <v>3465</v>
      </c>
      <c r="F28" s="112">
        <f>2083.2</f>
        <v>2083.1999999999998</v>
      </c>
      <c r="G28" s="112">
        <f>G61-5760</f>
        <v>2100</v>
      </c>
      <c r="H28" s="113">
        <v>2049.3000000000002</v>
      </c>
      <c r="I28" s="112">
        <v>1943.55</v>
      </c>
      <c r="J28" s="114">
        <v>1256.4000000000001</v>
      </c>
      <c r="K28" s="110"/>
      <c r="L28" s="530"/>
    </row>
    <row r="29" spans="1:17" x14ac:dyDescent="0.35">
      <c r="A29" s="587"/>
      <c r="B29" s="20" t="s">
        <v>257</v>
      </c>
      <c r="C29" s="112">
        <v>4819.0333333333328</v>
      </c>
      <c r="D29" s="112">
        <v>3880.4</v>
      </c>
      <c r="E29" s="112" t="s">
        <v>38</v>
      </c>
      <c r="F29" s="112">
        <f>6342.9</f>
        <v>6342.9</v>
      </c>
      <c r="G29" s="112">
        <f>G62-10785</f>
        <v>6450</v>
      </c>
      <c r="H29" s="113">
        <v>6215.52</v>
      </c>
      <c r="I29" s="112">
        <v>4685.05</v>
      </c>
      <c r="J29" s="114">
        <v>3337.2</v>
      </c>
      <c r="K29" s="110"/>
      <c r="L29" s="530"/>
    </row>
    <row r="30" spans="1:17" x14ac:dyDescent="0.35">
      <c r="A30" s="587"/>
      <c r="B30" s="20" t="s">
        <v>258</v>
      </c>
      <c r="C30" s="112">
        <v>8983.8466666666645</v>
      </c>
      <c r="D30" s="112">
        <v>9361.9500000000007</v>
      </c>
      <c r="E30" s="112" t="s">
        <v>38</v>
      </c>
      <c r="F30" s="112" t="s">
        <v>38</v>
      </c>
      <c r="G30" s="112" t="s">
        <v>38</v>
      </c>
      <c r="H30" s="113" t="s">
        <v>38</v>
      </c>
      <c r="I30" s="112" t="s">
        <v>38</v>
      </c>
      <c r="J30" s="115" t="s">
        <v>38</v>
      </c>
      <c r="K30" s="110"/>
      <c r="L30" s="530"/>
    </row>
    <row r="31" spans="1:17" ht="15" thickBot="1" x14ac:dyDescent="0.4">
      <c r="A31" s="607"/>
      <c r="B31" s="139" t="s">
        <v>259</v>
      </c>
      <c r="C31" s="118" t="s">
        <v>38</v>
      </c>
      <c r="D31" s="118" t="s">
        <v>38</v>
      </c>
      <c r="E31" s="118" t="s">
        <v>38</v>
      </c>
      <c r="F31" s="112" t="s">
        <v>38</v>
      </c>
      <c r="G31" s="118">
        <f>G64-12525</f>
        <v>10485</v>
      </c>
      <c r="H31" s="119" t="s">
        <v>38</v>
      </c>
      <c r="I31" s="118">
        <v>10339.25</v>
      </c>
      <c r="J31" s="120" t="s">
        <v>38</v>
      </c>
      <c r="K31" s="110"/>
      <c r="L31" s="530"/>
    </row>
    <row r="32" spans="1:17" x14ac:dyDescent="0.35">
      <c r="A32" s="611" t="s">
        <v>260</v>
      </c>
      <c r="B32" s="137" t="s">
        <v>239</v>
      </c>
      <c r="C32" s="107">
        <v>1536.5</v>
      </c>
      <c r="D32" s="107">
        <v>1536.05</v>
      </c>
      <c r="E32" s="107">
        <v>3780</v>
      </c>
      <c r="F32" s="107">
        <f>2107.35</f>
        <v>2107.35</v>
      </c>
      <c r="G32" s="107">
        <f>G65-6960</f>
        <v>1920</v>
      </c>
      <c r="H32" s="108">
        <v>1781.5800000000002</v>
      </c>
      <c r="I32" s="107" t="s">
        <v>38</v>
      </c>
      <c r="J32" s="109">
        <v>1392.3</v>
      </c>
      <c r="K32" s="110"/>
      <c r="L32" s="530"/>
    </row>
    <row r="33" spans="1:12" x14ac:dyDescent="0.35">
      <c r="A33" s="587"/>
      <c r="B33" s="20" t="s">
        <v>240</v>
      </c>
      <c r="C33" s="112">
        <v>1998.9199999999998</v>
      </c>
      <c r="D33" s="112">
        <v>1986.75</v>
      </c>
      <c r="E33" s="112" t="s">
        <v>38</v>
      </c>
      <c r="F33" s="112">
        <f>2303.1</f>
        <v>2303.1</v>
      </c>
      <c r="G33" s="112">
        <f>G66-7380</f>
        <v>2295</v>
      </c>
      <c r="H33" s="113">
        <v>1944.42</v>
      </c>
      <c r="I33" s="112">
        <v>1863.95</v>
      </c>
      <c r="J33" s="114">
        <v>1733.55</v>
      </c>
      <c r="K33" s="110"/>
      <c r="L33" s="530"/>
    </row>
    <row r="34" spans="1:12" x14ac:dyDescent="0.35">
      <c r="A34" s="587"/>
      <c r="B34" s="20" t="s">
        <v>261</v>
      </c>
      <c r="C34" s="112">
        <v>2484.7666666666664</v>
      </c>
      <c r="D34" s="112">
        <v>2374.5</v>
      </c>
      <c r="E34" s="112">
        <v>4530</v>
      </c>
      <c r="F34" s="112">
        <f>2917.2</f>
        <v>2917.2</v>
      </c>
      <c r="G34" s="112">
        <f>G67-7755</f>
        <v>2895</v>
      </c>
      <c r="H34" s="113">
        <v>2581.98</v>
      </c>
      <c r="I34" s="112">
        <v>2606.4499999999998</v>
      </c>
      <c r="J34" s="114">
        <v>1930.5</v>
      </c>
      <c r="K34" s="110"/>
      <c r="L34" s="530"/>
    </row>
    <row r="35" spans="1:12" x14ac:dyDescent="0.35">
      <c r="A35" s="587"/>
      <c r="B35" s="20" t="s">
        <v>262</v>
      </c>
      <c r="C35" s="112">
        <v>6628.2533333333322</v>
      </c>
      <c r="D35" s="112">
        <v>5333.9</v>
      </c>
      <c r="E35" s="112" t="s">
        <v>38</v>
      </c>
      <c r="F35" s="112">
        <f>8168.55</f>
        <v>8168.55</v>
      </c>
      <c r="G35" s="112">
        <f>G68-13110</f>
        <v>8430</v>
      </c>
      <c r="H35" s="113">
        <v>8825.1</v>
      </c>
      <c r="I35" s="112">
        <v>6526.45</v>
      </c>
      <c r="J35" s="114">
        <v>4619.7</v>
      </c>
      <c r="K35" s="110"/>
      <c r="L35" s="530"/>
    </row>
    <row r="36" spans="1:12" x14ac:dyDescent="0.35">
      <c r="A36" s="587"/>
      <c r="B36" s="20" t="s">
        <v>263</v>
      </c>
      <c r="C36" s="112">
        <v>12726.233333333332</v>
      </c>
      <c r="D36" s="112">
        <v>12937.4</v>
      </c>
      <c r="E36" s="112" t="s">
        <v>38</v>
      </c>
      <c r="F36" s="112" t="s">
        <v>38</v>
      </c>
      <c r="G36" s="112" t="s">
        <v>38</v>
      </c>
      <c r="H36" s="113" t="s">
        <v>38</v>
      </c>
      <c r="I36" s="112" t="s">
        <v>38</v>
      </c>
      <c r="J36" s="115" t="s">
        <v>38</v>
      </c>
      <c r="K36" s="110"/>
      <c r="L36" s="530"/>
    </row>
    <row r="37" spans="1:12" ht="15" thickBot="1" x14ac:dyDescent="0.4">
      <c r="A37" s="612"/>
      <c r="B37" s="117" t="s">
        <v>264</v>
      </c>
      <c r="C37" s="118" t="s">
        <v>38</v>
      </c>
      <c r="D37" s="118" t="s">
        <v>38</v>
      </c>
      <c r="E37" s="118" t="s">
        <v>38</v>
      </c>
      <c r="F37" s="112" t="s">
        <v>38</v>
      </c>
      <c r="G37" s="118">
        <f>G70-15105</f>
        <v>13620</v>
      </c>
      <c r="H37" s="119" t="s">
        <v>38</v>
      </c>
      <c r="I37" s="118">
        <v>13286.6</v>
      </c>
      <c r="J37" s="120" t="s">
        <v>38</v>
      </c>
      <c r="K37" s="110"/>
      <c r="L37" s="530"/>
    </row>
    <row r="38" spans="1:12" ht="29.5" thickBot="1" x14ac:dyDescent="0.4">
      <c r="A38" s="627" t="s">
        <v>221</v>
      </c>
      <c r="B38" s="628"/>
      <c r="C38" s="183" t="s">
        <v>266</v>
      </c>
      <c r="D38" s="145" t="s">
        <v>310</v>
      </c>
      <c r="E38" s="144" t="s">
        <v>267</v>
      </c>
      <c r="F38" s="144" t="s">
        <v>265</v>
      </c>
      <c r="G38" s="144" t="s">
        <v>268</v>
      </c>
      <c r="H38" s="146" t="s">
        <v>265</v>
      </c>
      <c r="I38" s="184" t="s">
        <v>270</v>
      </c>
      <c r="J38" s="185" t="s">
        <v>266</v>
      </c>
      <c r="K38" s="110"/>
      <c r="L38" s="530"/>
    </row>
    <row r="39" spans="1:12" ht="44" thickBot="1" x14ac:dyDescent="0.4">
      <c r="A39" s="629"/>
      <c r="B39" s="630"/>
      <c r="C39" s="175" t="s">
        <v>153</v>
      </c>
      <c r="D39" s="147" t="s">
        <v>154</v>
      </c>
      <c r="E39" s="148" t="s">
        <v>222</v>
      </c>
      <c r="F39" s="148" t="s">
        <v>223</v>
      </c>
      <c r="G39" s="149" t="s">
        <v>224</v>
      </c>
      <c r="H39" s="148" t="s">
        <v>225</v>
      </c>
      <c r="I39" s="161" t="s">
        <v>111</v>
      </c>
      <c r="J39" s="161" t="s">
        <v>226</v>
      </c>
      <c r="K39" s="110"/>
      <c r="L39" s="530"/>
    </row>
    <row r="40" spans="1:12" ht="15" thickBot="1" x14ac:dyDescent="0.4">
      <c r="A40" s="186" t="s">
        <v>176</v>
      </c>
      <c r="B40" s="187" t="s">
        <v>140</v>
      </c>
      <c r="C40" s="188" t="s">
        <v>141</v>
      </c>
      <c r="D40" s="150" t="s">
        <v>141</v>
      </c>
      <c r="E40" s="189" t="s">
        <v>142</v>
      </c>
      <c r="F40" s="189" t="s">
        <v>141</v>
      </c>
      <c r="G40" s="151" t="s">
        <v>141</v>
      </c>
      <c r="H40" s="190" t="s">
        <v>142</v>
      </c>
      <c r="I40" s="162" t="s">
        <v>142</v>
      </c>
      <c r="J40" s="191" t="s">
        <v>141</v>
      </c>
      <c r="K40" s="110"/>
      <c r="L40" s="530"/>
    </row>
    <row r="41" spans="1:12" x14ac:dyDescent="0.35">
      <c r="A41" s="616" t="s">
        <v>238</v>
      </c>
      <c r="B41" s="137" t="s">
        <v>239</v>
      </c>
      <c r="C41" s="107">
        <v>1154.0266666666666</v>
      </c>
      <c r="D41" s="107">
        <v>1098.3499999999999</v>
      </c>
      <c r="E41" s="107">
        <v>1740</v>
      </c>
      <c r="F41" s="107">
        <v>1173.45</v>
      </c>
      <c r="G41" s="107">
        <v>1980</v>
      </c>
      <c r="H41" s="108">
        <v>1161.96</v>
      </c>
      <c r="I41" s="107" t="s">
        <v>38</v>
      </c>
      <c r="J41" s="109">
        <v>832.65</v>
      </c>
      <c r="K41" s="110"/>
      <c r="L41" s="530"/>
    </row>
    <row r="42" spans="1:12" x14ac:dyDescent="0.35">
      <c r="A42" s="585"/>
      <c r="B42" s="20" t="s">
        <v>240</v>
      </c>
      <c r="C42" s="112">
        <v>1330.48</v>
      </c>
      <c r="D42" s="112">
        <v>1365.3</v>
      </c>
      <c r="E42" s="112" t="s">
        <v>38</v>
      </c>
      <c r="F42" s="112">
        <v>1378.95</v>
      </c>
      <c r="G42" s="112">
        <v>2040</v>
      </c>
      <c r="H42" s="113">
        <v>1186.8</v>
      </c>
      <c r="I42" s="112" t="s">
        <v>38</v>
      </c>
      <c r="J42" s="114">
        <v>865.2</v>
      </c>
      <c r="K42" s="110"/>
      <c r="L42" s="530"/>
    </row>
    <row r="43" spans="1:12" x14ac:dyDescent="0.35">
      <c r="A43" s="585"/>
      <c r="B43" s="20" t="s">
        <v>241</v>
      </c>
      <c r="C43" s="112">
        <v>2924.0966666666664</v>
      </c>
      <c r="D43" s="112">
        <v>2817.5</v>
      </c>
      <c r="E43" s="112">
        <v>4740</v>
      </c>
      <c r="F43" s="112">
        <f>3576.9</f>
        <v>3576.9</v>
      </c>
      <c r="G43" s="112">
        <v>4155</v>
      </c>
      <c r="H43" s="113">
        <v>3363.06</v>
      </c>
      <c r="I43" s="112" t="s">
        <v>38</v>
      </c>
      <c r="J43" s="114">
        <v>1789.1999999999998</v>
      </c>
      <c r="K43" s="110"/>
      <c r="L43" s="530"/>
    </row>
    <row r="44" spans="1:12" x14ac:dyDescent="0.35">
      <c r="A44" s="585"/>
      <c r="B44" s="20" t="s">
        <v>242</v>
      </c>
      <c r="C44" s="112">
        <v>6006.3233333333337</v>
      </c>
      <c r="D44" s="112">
        <v>5296.75</v>
      </c>
      <c r="E44" s="112" t="s">
        <v>38</v>
      </c>
      <c r="F44" s="112">
        <f>7862.1</f>
        <v>7862.1</v>
      </c>
      <c r="G44" s="112">
        <v>8190</v>
      </c>
      <c r="H44" s="113" t="s">
        <v>38</v>
      </c>
      <c r="I44" s="112" t="s">
        <v>38</v>
      </c>
      <c r="J44" s="114">
        <v>3388.2</v>
      </c>
      <c r="K44" s="110"/>
      <c r="L44" s="530"/>
    </row>
    <row r="45" spans="1:12" x14ac:dyDescent="0.35">
      <c r="A45" s="585"/>
      <c r="B45" s="20" t="s">
        <v>243</v>
      </c>
      <c r="C45" s="112">
        <v>9752.7733333333344</v>
      </c>
      <c r="D45" s="112">
        <v>9352.4500000000007</v>
      </c>
      <c r="E45" s="112" t="s">
        <v>38</v>
      </c>
      <c r="F45" s="112" t="s">
        <v>38</v>
      </c>
      <c r="G45" s="112" t="s">
        <v>38</v>
      </c>
      <c r="H45" s="113" t="s">
        <v>38</v>
      </c>
      <c r="I45" s="112" t="s">
        <v>38</v>
      </c>
      <c r="J45" s="115" t="s">
        <v>38</v>
      </c>
      <c r="K45" s="110"/>
      <c r="L45" s="530"/>
    </row>
    <row r="46" spans="1:12" ht="15" thickBot="1" x14ac:dyDescent="0.4">
      <c r="A46" s="586"/>
      <c r="B46" s="117" t="s">
        <v>244</v>
      </c>
      <c r="C46" s="118" t="s">
        <v>38</v>
      </c>
      <c r="D46" s="118" t="s">
        <v>38</v>
      </c>
      <c r="E46" s="118" t="s">
        <v>38</v>
      </c>
      <c r="F46" s="112" t="s">
        <v>38</v>
      </c>
      <c r="G46" s="118">
        <v>10845</v>
      </c>
      <c r="H46" s="119" t="s">
        <v>38</v>
      </c>
      <c r="I46" s="118" t="s">
        <v>38</v>
      </c>
      <c r="J46" s="120" t="s">
        <v>38</v>
      </c>
      <c r="K46" s="110"/>
      <c r="L46" s="530"/>
    </row>
    <row r="47" spans="1:12" x14ac:dyDescent="0.35">
      <c r="A47" s="617" t="s">
        <v>245</v>
      </c>
      <c r="B47" s="138" t="s">
        <v>239</v>
      </c>
      <c r="C47" s="107">
        <v>1651.7733333333335</v>
      </c>
      <c r="D47" s="107">
        <v>1489.1</v>
      </c>
      <c r="E47" s="107">
        <v>2490</v>
      </c>
      <c r="F47" s="142">
        <f>1786.2</f>
        <v>1786.2</v>
      </c>
      <c r="G47" s="107">
        <v>2220</v>
      </c>
      <c r="H47" s="108">
        <v>1788.48</v>
      </c>
      <c r="I47" s="107" t="s">
        <v>38</v>
      </c>
      <c r="J47" s="109">
        <v>1005.9000000000001</v>
      </c>
      <c r="K47" s="110"/>
      <c r="L47" s="530"/>
    </row>
    <row r="48" spans="1:12" x14ac:dyDescent="0.35">
      <c r="A48" s="585"/>
      <c r="B48" s="20" t="s">
        <v>240</v>
      </c>
      <c r="C48" s="112">
        <v>2060</v>
      </c>
      <c r="D48" s="112">
        <v>2011.4</v>
      </c>
      <c r="E48" s="112" t="s">
        <v>38</v>
      </c>
      <c r="F48" s="112">
        <f>2048.7</f>
        <v>2048.6999999999998</v>
      </c>
      <c r="G48" s="112">
        <v>2535</v>
      </c>
      <c r="H48" s="113">
        <v>1821.6000000000001</v>
      </c>
      <c r="I48" s="112" t="s">
        <v>38</v>
      </c>
      <c r="J48" s="114">
        <v>1275.75</v>
      </c>
      <c r="K48" s="110"/>
      <c r="L48" s="530"/>
    </row>
    <row r="49" spans="1:12" x14ac:dyDescent="0.35">
      <c r="A49" s="585"/>
      <c r="B49" s="20" t="s">
        <v>246</v>
      </c>
      <c r="C49" s="112">
        <v>4346.22</v>
      </c>
      <c r="D49" s="112">
        <v>3789.7</v>
      </c>
      <c r="E49" s="112">
        <v>6090</v>
      </c>
      <c r="F49" s="112">
        <f>4551.15</f>
        <v>4551.1499999999996</v>
      </c>
      <c r="G49" s="112">
        <v>4755</v>
      </c>
      <c r="H49" s="113">
        <v>3644.5800000000004</v>
      </c>
      <c r="I49" s="112" t="s">
        <v>38</v>
      </c>
      <c r="J49" s="114">
        <v>2412</v>
      </c>
      <c r="K49" s="110"/>
      <c r="L49" s="530"/>
    </row>
    <row r="50" spans="1:12" x14ac:dyDescent="0.35">
      <c r="A50" s="585"/>
      <c r="B50" s="20" t="s">
        <v>247</v>
      </c>
      <c r="C50" s="112">
        <v>8131.0566666666673</v>
      </c>
      <c r="D50" s="112">
        <v>7245.6</v>
      </c>
      <c r="E50" s="112" t="s">
        <v>38</v>
      </c>
      <c r="F50" s="112">
        <f>10202.1</f>
        <v>10202.1</v>
      </c>
      <c r="G50" s="112">
        <v>10110</v>
      </c>
      <c r="H50" s="113" t="s">
        <v>38</v>
      </c>
      <c r="I50" s="112" t="s">
        <v>38</v>
      </c>
      <c r="J50" s="114">
        <v>4550.3999999999996</v>
      </c>
      <c r="K50" s="110"/>
      <c r="L50" s="530"/>
    </row>
    <row r="51" spans="1:12" x14ac:dyDescent="0.35">
      <c r="A51" s="585"/>
      <c r="B51" s="20" t="s">
        <v>248</v>
      </c>
      <c r="C51" s="112">
        <v>13012.246666666666</v>
      </c>
      <c r="D51" s="112">
        <v>12155.15</v>
      </c>
      <c r="E51" s="112" t="s">
        <v>38</v>
      </c>
      <c r="F51" s="112" t="s">
        <v>38</v>
      </c>
      <c r="G51" s="112" t="s">
        <v>38</v>
      </c>
      <c r="H51" s="113" t="s">
        <v>38</v>
      </c>
      <c r="I51" s="112" t="s">
        <v>38</v>
      </c>
      <c r="J51" s="115" t="s">
        <v>38</v>
      </c>
      <c r="K51" s="110"/>
      <c r="L51" s="530"/>
    </row>
    <row r="52" spans="1:12" ht="15" thickBot="1" x14ac:dyDescent="0.4">
      <c r="A52" s="631"/>
      <c r="B52" s="139" t="s">
        <v>249</v>
      </c>
      <c r="C52" s="118" t="s">
        <v>38</v>
      </c>
      <c r="D52" s="118" t="s">
        <v>38</v>
      </c>
      <c r="E52" s="118" t="s">
        <v>38</v>
      </c>
      <c r="F52" s="112" t="s">
        <v>38</v>
      </c>
      <c r="G52" s="118">
        <v>13860</v>
      </c>
      <c r="H52" s="119" t="s">
        <v>38</v>
      </c>
      <c r="I52" s="118" t="s">
        <v>38</v>
      </c>
      <c r="J52" s="120" t="s">
        <v>38</v>
      </c>
      <c r="K52" s="110"/>
      <c r="L52" s="530"/>
    </row>
    <row r="53" spans="1:12" x14ac:dyDescent="0.35">
      <c r="A53" s="616" t="s">
        <v>250</v>
      </c>
      <c r="B53" s="137" t="s">
        <v>239</v>
      </c>
      <c r="C53" s="107">
        <v>2760.4933333333333</v>
      </c>
      <c r="D53" s="107">
        <v>2359.35</v>
      </c>
      <c r="E53" s="107">
        <v>3960</v>
      </c>
      <c r="F53" s="107">
        <f>2646.15</f>
        <v>2646.15</v>
      </c>
      <c r="G53" s="107">
        <v>3210</v>
      </c>
      <c r="H53" s="108">
        <v>2925.6</v>
      </c>
      <c r="I53" s="107" t="s">
        <v>38</v>
      </c>
      <c r="J53" s="109">
        <v>2087.4</v>
      </c>
      <c r="K53" s="110"/>
      <c r="L53" s="530"/>
    </row>
    <row r="54" spans="1:12" x14ac:dyDescent="0.35">
      <c r="A54" s="585"/>
      <c r="B54" s="20" t="s">
        <v>240</v>
      </c>
      <c r="C54" s="112">
        <v>3394.99</v>
      </c>
      <c r="D54" s="112">
        <v>3133.15</v>
      </c>
      <c r="E54" s="112" t="s">
        <v>38</v>
      </c>
      <c r="F54" s="112">
        <f>3154.5</f>
        <v>3154.5</v>
      </c>
      <c r="G54" s="112">
        <v>3660</v>
      </c>
      <c r="H54" s="113">
        <v>2978.0399999999995</v>
      </c>
      <c r="I54" s="112" t="s">
        <v>38</v>
      </c>
      <c r="J54" s="114">
        <v>2250.1500000000005</v>
      </c>
      <c r="K54" s="110"/>
      <c r="L54" s="530"/>
    </row>
    <row r="55" spans="1:12" x14ac:dyDescent="0.35">
      <c r="A55" s="585"/>
      <c r="B55" s="20" t="s">
        <v>251</v>
      </c>
      <c r="C55" s="112">
        <v>5789.98</v>
      </c>
      <c r="D55" s="112">
        <v>5268.3</v>
      </c>
      <c r="E55" s="112">
        <v>8445</v>
      </c>
      <c r="F55" s="112">
        <f>5831.25</f>
        <v>5831.25</v>
      </c>
      <c r="G55" s="112">
        <v>6180</v>
      </c>
      <c r="H55" s="113">
        <v>4899</v>
      </c>
      <c r="I55" s="112" t="s">
        <v>38</v>
      </c>
      <c r="J55" s="114">
        <v>3190.4999999999991</v>
      </c>
      <c r="K55" s="110"/>
      <c r="L55" s="530"/>
    </row>
    <row r="56" spans="1:12" x14ac:dyDescent="0.35">
      <c r="A56" s="585"/>
      <c r="B56" s="20" t="s">
        <v>252</v>
      </c>
      <c r="C56" s="112">
        <v>11147.09</v>
      </c>
      <c r="D56" s="112">
        <v>9929.5</v>
      </c>
      <c r="E56" s="112" t="s">
        <v>38</v>
      </c>
      <c r="F56" s="112">
        <f>13000.05</f>
        <v>13000.05</v>
      </c>
      <c r="G56" s="112">
        <v>12840</v>
      </c>
      <c r="H56" s="113" t="s">
        <v>38</v>
      </c>
      <c r="I56" s="112" t="s">
        <v>38</v>
      </c>
      <c r="J56" s="114">
        <v>6443.9999999999982</v>
      </c>
      <c r="K56" s="110"/>
      <c r="L56" s="530"/>
    </row>
    <row r="57" spans="1:12" x14ac:dyDescent="0.35">
      <c r="A57" s="585"/>
      <c r="B57" s="20" t="s">
        <v>253</v>
      </c>
      <c r="C57" s="112">
        <v>17105.21</v>
      </c>
      <c r="D57" s="112">
        <v>16017.3</v>
      </c>
      <c r="E57" s="112" t="s">
        <v>38</v>
      </c>
      <c r="F57" s="112" t="s">
        <v>38</v>
      </c>
      <c r="G57" s="112" t="s">
        <v>38</v>
      </c>
      <c r="H57" s="113" t="s">
        <v>38</v>
      </c>
      <c r="I57" s="112" t="s">
        <v>38</v>
      </c>
      <c r="J57" s="115" t="s">
        <v>38</v>
      </c>
      <c r="K57" s="110"/>
      <c r="L57" s="530"/>
    </row>
    <row r="58" spans="1:12" ht="15" thickBot="1" x14ac:dyDescent="0.4">
      <c r="A58" s="586"/>
      <c r="B58" s="117" t="s">
        <v>254</v>
      </c>
      <c r="C58" s="118" t="s">
        <v>38</v>
      </c>
      <c r="D58" s="118" t="s">
        <v>38</v>
      </c>
      <c r="E58" s="118" t="s">
        <v>38</v>
      </c>
      <c r="F58" s="112" t="s">
        <v>38</v>
      </c>
      <c r="G58" s="118">
        <v>17085</v>
      </c>
      <c r="H58" s="119" t="s">
        <v>38</v>
      </c>
      <c r="I58" s="118" t="s">
        <v>38</v>
      </c>
      <c r="J58" s="120" t="s">
        <v>38</v>
      </c>
      <c r="K58" s="110"/>
      <c r="L58" s="530"/>
    </row>
    <row r="59" spans="1:12" x14ac:dyDescent="0.35">
      <c r="A59" s="617" t="s">
        <v>255</v>
      </c>
      <c r="B59" s="138" t="s">
        <v>239</v>
      </c>
      <c r="C59" s="107">
        <v>4506.71</v>
      </c>
      <c r="D59" s="107">
        <v>3622.5</v>
      </c>
      <c r="E59" s="107">
        <v>6705</v>
      </c>
      <c r="F59" s="142">
        <f>4249.15</f>
        <v>4249.1499999999996</v>
      </c>
      <c r="G59" s="107">
        <v>5250</v>
      </c>
      <c r="H59" s="108">
        <v>4509.84</v>
      </c>
      <c r="I59" s="107" t="s">
        <v>38</v>
      </c>
      <c r="J59" s="109">
        <v>3168.9000000000005</v>
      </c>
      <c r="K59" s="110"/>
      <c r="L59" s="530"/>
    </row>
    <row r="60" spans="1:12" x14ac:dyDescent="0.35">
      <c r="A60" s="585"/>
      <c r="B60" s="20" t="s">
        <v>240</v>
      </c>
      <c r="C60" s="112">
        <v>5596.2133333333331</v>
      </c>
      <c r="D60" s="112">
        <v>4969.3</v>
      </c>
      <c r="E60" s="112" t="s">
        <v>38</v>
      </c>
      <c r="F60" s="112">
        <f>5267.65</f>
        <v>5267.65</v>
      </c>
      <c r="G60" s="112">
        <v>5775</v>
      </c>
      <c r="H60" s="113">
        <v>4639.5600000000004</v>
      </c>
      <c r="I60" s="112" t="s">
        <v>38</v>
      </c>
      <c r="J60" s="114">
        <v>3759</v>
      </c>
      <c r="K60" s="110"/>
      <c r="L60" s="530"/>
    </row>
    <row r="61" spans="1:12" x14ac:dyDescent="0.35">
      <c r="A61" s="585"/>
      <c r="B61" s="20" t="s">
        <v>256</v>
      </c>
      <c r="C61" s="112">
        <v>7984.8899999999994</v>
      </c>
      <c r="D61" s="112">
        <v>7105.35</v>
      </c>
      <c r="E61" s="112">
        <v>11295</v>
      </c>
      <c r="F61" s="112">
        <f>7483.2</f>
        <v>7483.2</v>
      </c>
      <c r="G61" s="112">
        <v>7860</v>
      </c>
      <c r="H61" s="113">
        <v>6784.08</v>
      </c>
      <c r="I61" s="112" t="s">
        <v>38</v>
      </c>
      <c r="J61" s="114">
        <v>4226.3999999999996</v>
      </c>
      <c r="K61" s="110"/>
      <c r="L61" s="530"/>
    </row>
    <row r="62" spans="1:12" x14ac:dyDescent="0.35">
      <c r="A62" s="585"/>
      <c r="B62" s="20" t="s">
        <v>257</v>
      </c>
      <c r="C62" s="112">
        <v>14231.233333333334</v>
      </c>
      <c r="D62" s="112">
        <v>13752.95</v>
      </c>
      <c r="E62" s="112" t="s">
        <v>38</v>
      </c>
      <c r="F62" s="112">
        <f>16745.4</f>
        <v>16745.400000000001</v>
      </c>
      <c r="G62" s="112">
        <v>17235</v>
      </c>
      <c r="H62" s="113">
        <v>14530.02</v>
      </c>
      <c r="I62" s="112" t="s">
        <v>38</v>
      </c>
      <c r="J62" s="114">
        <v>9187.2000000000007</v>
      </c>
      <c r="K62" s="110"/>
      <c r="L62" s="530"/>
    </row>
    <row r="63" spans="1:12" x14ac:dyDescent="0.35">
      <c r="A63" s="585"/>
      <c r="B63" s="20" t="s">
        <v>258</v>
      </c>
      <c r="C63" s="112">
        <v>23786.196666666667</v>
      </c>
      <c r="D63" s="112">
        <v>21449.75</v>
      </c>
      <c r="E63" s="112" t="s">
        <v>38</v>
      </c>
      <c r="F63" s="112" t="s">
        <v>38</v>
      </c>
      <c r="G63" s="112" t="s">
        <v>38</v>
      </c>
      <c r="H63" s="113" t="s">
        <v>38</v>
      </c>
      <c r="I63" s="112" t="s">
        <v>38</v>
      </c>
      <c r="J63" s="115" t="s">
        <v>38</v>
      </c>
      <c r="K63" s="110"/>
      <c r="L63" s="530"/>
    </row>
    <row r="64" spans="1:12" ht="15" thickBot="1" x14ac:dyDescent="0.4">
      <c r="A64" s="631"/>
      <c r="B64" s="139" t="s">
        <v>259</v>
      </c>
      <c r="C64" s="118" t="s">
        <v>38</v>
      </c>
      <c r="D64" s="118" t="s">
        <v>38</v>
      </c>
      <c r="E64" s="118" t="s">
        <v>38</v>
      </c>
      <c r="F64" s="112" t="s">
        <v>38</v>
      </c>
      <c r="G64" s="118">
        <v>23010</v>
      </c>
      <c r="H64" s="119" t="s">
        <v>38</v>
      </c>
      <c r="I64" s="118" t="s">
        <v>38</v>
      </c>
      <c r="J64" s="120" t="s">
        <v>38</v>
      </c>
      <c r="K64" s="110"/>
      <c r="L64" s="530"/>
    </row>
    <row r="65" spans="1:13" x14ac:dyDescent="0.35">
      <c r="A65" s="616" t="s">
        <v>260</v>
      </c>
      <c r="B65" s="137" t="s">
        <v>239</v>
      </c>
      <c r="C65" s="107">
        <v>7479.5</v>
      </c>
      <c r="D65" s="107">
        <v>6095.3</v>
      </c>
      <c r="E65" s="107">
        <v>11805</v>
      </c>
      <c r="F65" s="107">
        <f>7312.35</f>
        <v>7312.35</v>
      </c>
      <c r="G65" s="107">
        <v>8880</v>
      </c>
      <c r="H65" s="108">
        <v>7650.72</v>
      </c>
      <c r="I65" s="107" t="s">
        <v>38</v>
      </c>
      <c r="J65" s="109">
        <v>5581.8000000000011</v>
      </c>
      <c r="K65" s="110"/>
      <c r="L65" s="530"/>
    </row>
    <row r="66" spans="1:13" x14ac:dyDescent="0.35">
      <c r="A66" s="585"/>
      <c r="B66" s="20" t="s">
        <v>240</v>
      </c>
      <c r="C66" s="112">
        <v>9171.2199999999993</v>
      </c>
      <c r="D66" s="112">
        <v>8470.2999999999993</v>
      </c>
      <c r="E66" s="112" t="s">
        <v>38</v>
      </c>
      <c r="F66" s="112">
        <f>8663.1</f>
        <v>8663.1</v>
      </c>
      <c r="G66" s="112">
        <v>9675</v>
      </c>
      <c r="H66" s="113">
        <v>8015.04</v>
      </c>
      <c r="I66" s="112" t="s">
        <v>38</v>
      </c>
      <c r="J66" s="114">
        <v>6700.0500000000011</v>
      </c>
      <c r="K66" s="110"/>
      <c r="L66" s="530"/>
    </row>
    <row r="67" spans="1:13" x14ac:dyDescent="0.35">
      <c r="A67" s="585"/>
      <c r="B67" s="20" t="s">
        <v>261</v>
      </c>
      <c r="C67" s="112">
        <v>10538.216666666667</v>
      </c>
      <c r="D67" s="112">
        <v>10264.75</v>
      </c>
      <c r="E67" s="112">
        <v>15705</v>
      </c>
      <c r="F67" s="112">
        <f>10052.7</f>
        <v>10052.700000000001</v>
      </c>
      <c r="G67" s="112">
        <v>10650</v>
      </c>
      <c r="H67" s="113">
        <v>8880.3000000000011</v>
      </c>
      <c r="I67" s="112" t="s">
        <v>38</v>
      </c>
      <c r="J67" s="114">
        <v>6421.4999999999982</v>
      </c>
      <c r="K67" s="110"/>
      <c r="L67" s="530"/>
    </row>
    <row r="68" spans="1:13" x14ac:dyDescent="0.35">
      <c r="A68" s="585"/>
      <c r="B68" s="20" t="s">
        <v>262</v>
      </c>
      <c r="C68" s="112">
        <v>19283.703333333331</v>
      </c>
      <c r="D68" s="112">
        <v>19595.599999999999</v>
      </c>
      <c r="E68" s="112" t="s">
        <v>38</v>
      </c>
      <c r="F68" s="112">
        <f>21509.55</f>
        <v>21509.55</v>
      </c>
      <c r="G68" s="112">
        <v>21540</v>
      </c>
      <c r="H68" s="113">
        <v>19855.440000000002</v>
      </c>
      <c r="I68" s="112" t="s">
        <v>38</v>
      </c>
      <c r="J68" s="114">
        <v>12179.7</v>
      </c>
      <c r="K68" s="110"/>
      <c r="L68" s="530"/>
    </row>
    <row r="69" spans="1:13" x14ac:dyDescent="0.35">
      <c r="A69" s="585"/>
      <c r="B69" s="20" t="s">
        <v>263</v>
      </c>
      <c r="C69" s="112">
        <v>28196.433333333334</v>
      </c>
      <c r="D69" s="112">
        <v>29179</v>
      </c>
      <c r="E69" s="112" t="s">
        <v>38</v>
      </c>
      <c r="F69" s="112" t="s">
        <v>38</v>
      </c>
      <c r="G69" s="112" t="s">
        <v>38</v>
      </c>
      <c r="H69" s="113" t="s">
        <v>38</v>
      </c>
      <c r="I69" s="112" t="s">
        <v>38</v>
      </c>
      <c r="J69" s="115" t="s">
        <v>38</v>
      </c>
      <c r="K69" s="110"/>
      <c r="L69" s="530"/>
    </row>
    <row r="70" spans="1:13" ht="15" thickBot="1" x14ac:dyDescent="0.4">
      <c r="A70" s="586"/>
      <c r="B70" s="117" t="s">
        <v>264</v>
      </c>
      <c r="C70" s="118" t="s">
        <v>38</v>
      </c>
      <c r="D70" s="118" t="s">
        <v>38</v>
      </c>
      <c r="E70" s="118" t="s">
        <v>38</v>
      </c>
      <c r="F70" s="118" t="s">
        <v>38</v>
      </c>
      <c r="G70" s="118">
        <v>28725</v>
      </c>
      <c r="H70" s="119" t="s">
        <v>38</v>
      </c>
      <c r="I70" s="118" t="s">
        <v>38</v>
      </c>
      <c r="J70" s="120" t="s">
        <v>38</v>
      </c>
      <c r="K70" s="110"/>
      <c r="L70" s="531"/>
    </row>
    <row r="71" spans="1:13" x14ac:dyDescent="0.35">
      <c r="C71" s="163"/>
      <c r="D71" s="163"/>
      <c r="E71" s="163"/>
      <c r="F71" s="163"/>
      <c r="G71" s="163"/>
      <c r="H71" s="163"/>
      <c r="I71" s="163"/>
      <c r="J71" s="163"/>
      <c r="M71"/>
    </row>
    <row r="72" spans="1:13" x14ac:dyDescent="0.35">
      <c r="C72" s="163"/>
      <c r="D72" s="163"/>
      <c r="E72" s="163"/>
      <c r="F72" s="163"/>
      <c r="G72" s="163"/>
      <c r="H72" s="163"/>
      <c r="I72" s="163"/>
      <c r="J72" s="163"/>
      <c r="M72"/>
    </row>
    <row r="73" spans="1:13" x14ac:dyDescent="0.35">
      <c r="C73" s="163"/>
      <c r="D73" s="163"/>
      <c r="E73" s="163"/>
      <c r="F73" s="163"/>
      <c r="G73" s="163"/>
      <c r="H73" s="163"/>
      <c r="I73" s="163"/>
      <c r="J73" s="163"/>
      <c r="M73"/>
    </row>
    <row r="74" spans="1:13" ht="18" x14ac:dyDescent="0.35">
      <c r="A74" s="122"/>
      <c r="B74" s="122"/>
      <c r="C74" s="192"/>
      <c r="D74" s="192"/>
      <c r="E74" s="192"/>
      <c r="F74" s="192"/>
      <c r="G74" s="192"/>
      <c r="H74" s="192"/>
      <c r="I74" s="192"/>
      <c r="J74" s="193"/>
      <c r="K74" s="123"/>
      <c r="M74"/>
    </row>
    <row r="75" spans="1:13" ht="15.5" x14ac:dyDescent="0.35">
      <c r="A75" s="610" t="s">
        <v>160</v>
      </c>
      <c r="B75" s="610"/>
      <c r="C75" s="164"/>
      <c r="D75" s="164"/>
      <c r="E75" s="96"/>
      <c r="F75" s="96"/>
      <c r="G75" s="96"/>
      <c r="H75" s="97"/>
      <c r="I75" s="46" t="s">
        <v>128</v>
      </c>
      <c r="J75" s="98"/>
      <c r="K75"/>
      <c r="M75"/>
    </row>
    <row r="76" spans="1:13" ht="15.5" x14ac:dyDescent="0.35">
      <c r="A76" s="590" t="s">
        <v>129</v>
      </c>
      <c r="B76" s="590"/>
      <c r="C76" s="165">
        <v>1500000</v>
      </c>
      <c r="D76" s="165"/>
      <c r="E76" s="166"/>
      <c r="F76" s="166"/>
      <c r="G76" s="166"/>
      <c r="H76" s="101"/>
      <c r="I76" s="562" t="s">
        <v>211</v>
      </c>
      <c r="J76" s="562"/>
      <c r="K76"/>
      <c r="M76"/>
    </row>
    <row r="77" spans="1:13" ht="15" thickBot="1" x14ac:dyDescent="0.4">
      <c r="A77" s="614"/>
      <c r="B77" s="614"/>
      <c r="C77" s="166"/>
      <c r="D77" s="166"/>
      <c r="E77" s="166"/>
      <c r="F77" s="166"/>
      <c r="G77" s="166"/>
      <c r="H77" s="96"/>
      <c r="I77" s="96"/>
      <c r="J77" s="96"/>
      <c r="K77"/>
      <c r="M77"/>
    </row>
    <row r="78" spans="1:13" ht="91.25" customHeight="1" x14ac:dyDescent="0.35">
      <c r="A78" s="592"/>
      <c r="B78" s="615"/>
      <c r="C78" s="128" t="s">
        <v>303</v>
      </c>
      <c r="D78" s="128" t="s">
        <v>227</v>
      </c>
      <c r="E78" s="128" t="s">
        <v>228</v>
      </c>
      <c r="F78" s="128" t="s">
        <v>229</v>
      </c>
      <c r="G78" s="128" t="s">
        <v>230</v>
      </c>
      <c r="H78" s="128" t="s">
        <v>231</v>
      </c>
      <c r="I78" s="167" t="s">
        <v>232</v>
      </c>
      <c r="J78" s="168" t="s">
        <v>233</v>
      </c>
      <c r="K78" s="157"/>
      <c r="M78"/>
    </row>
    <row r="79" spans="1:13" ht="30" customHeight="1" x14ac:dyDescent="0.35">
      <c r="A79" s="594" t="s">
        <v>213</v>
      </c>
      <c r="B79" s="613"/>
      <c r="C79" s="194" t="s">
        <v>234</v>
      </c>
      <c r="D79" s="130" t="s">
        <v>311</v>
      </c>
      <c r="E79" s="130" t="s">
        <v>235</v>
      </c>
      <c r="F79" s="130" t="s">
        <v>234</v>
      </c>
      <c r="G79" s="130" t="s">
        <v>236</v>
      </c>
      <c r="H79" s="159" t="s">
        <v>234</v>
      </c>
      <c r="I79" s="194" t="s">
        <v>237</v>
      </c>
      <c r="J79" s="195" t="s">
        <v>234</v>
      </c>
      <c r="K79" s="180"/>
    </row>
    <row r="80" spans="1:13" ht="15" thickBot="1" x14ac:dyDescent="0.4">
      <c r="A80" s="132" t="s">
        <v>176</v>
      </c>
      <c r="B80" s="133" t="s">
        <v>140</v>
      </c>
      <c r="C80" s="171" t="s">
        <v>141</v>
      </c>
      <c r="D80" s="134" t="s">
        <v>141</v>
      </c>
      <c r="E80" s="134" t="s">
        <v>142</v>
      </c>
      <c r="F80" s="135" t="s">
        <v>141</v>
      </c>
      <c r="G80" s="135" t="s">
        <v>141</v>
      </c>
      <c r="H80" s="136" t="s">
        <v>142</v>
      </c>
      <c r="I80" s="171" t="s">
        <v>142</v>
      </c>
      <c r="J80" s="172" t="s">
        <v>141</v>
      </c>
      <c r="K80" s="181"/>
    </row>
    <row r="81" spans="1:11" x14ac:dyDescent="0.35">
      <c r="A81" s="611" t="s">
        <v>238</v>
      </c>
      <c r="B81" s="137" t="s">
        <v>239</v>
      </c>
      <c r="C81" s="107">
        <v>296.65999999999997</v>
      </c>
      <c r="D81" s="107">
        <v>297.14999999999998</v>
      </c>
      <c r="E81" s="107">
        <v>570</v>
      </c>
      <c r="F81" s="107">
        <v>417.15</v>
      </c>
      <c r="G81" s="107">
        <f>G114-2115</f>
        <v>465</v>
      </c>
      <c r="H81" s="108">
        <v>389.16</v>
      </c>
      <c r="I81" s="107" t="s">
        <v>38</v>
      </c>
      <c r="J81" s="109">
        <v>300.30000000000007</v>
      </c>
      <c r="K81" s="110"/>
    </row>
    <row r="82" spans="1:11" x14ac:dyDescent="0.35">
      <c r="A82" s="587"/>
      <c r="B82" s="20" t="s">
        <v>240</v>
      </c>
      <c r="C82" s="112">
        <v>320.5066666666666</v>
      </c>
      <c r="D82" s="112">
        <v>320.89999999999998</v>
      </c>
      <c r="E82" s="112" t="s">
        <v>38</v>
      </c>
      <c r="F82" s="112">
        <v>417.15</v>
      </c>
      <c r="G82" s="112">
        <f>G115-2160</f>
        <v>480</v>
      </c>
      <c r="H82" s="113">
        <v>389.16</v>
      </c>
      <c r="I82" s="112">
        <v>365.2</v>
      </c>
      <c r="J82" s="114">
        <v>301.35000000000002</v>
      </c>
      <c r="K82" s="110"/>
    </row>
    <row r="83" spans="1:11" x14ac:dyDescent="0.35">
      <c r="A83" s="587"/>
      <c r="B83" s="20" t="s">
        <v>241</v>
      </c>
      <c r="C83" s="112">
        <v>703.0333333333333</v>
      </c>
      <c r="D83" s="112">
        <v>608.9</v>
      </c>
      <c r="E83" s="112">
        <v>1095</v>
      </c>
      <c r="F83" s="112">
        <v>753.8</v>
      </c>
      <c r="G83" s="112">
        <f>G116-3975</f>
        <v>990</v>
      </c>
      <c r="H83" s="113">
        <v>816.96</v>
      </c>
      <c r="I83" s="112">
        <v>740.75</v>
      </c>
      <c r="J83" s="114">
        <v>469.7999999999999</v>
      </c>
      <c r="K83" s="110"/>
    </row>
    <row r="84" spans="1:11" x14ac:dyDescent="0.35">
      <c r="A84" s="587"/>
      <c r="B84" s="20" t="s">
        <v>242</v>
      </c>
      <c r="C84" s="112">
        <v>1834.1866666666667</v>
      </c>
      <c r="D84" s="112">
        <v>1234.2</v>
      </c>
      <c r="E84" s="112" t="s">
        <v>38</v>
      </c>
      <c r="F84" s="112">
        <f>2216</f>
        <v>2216</v>
      </c>
      <c r="G84" s="112">
        <f>G117-6015</f>
        <v>2505</v>
      </c>
      <c r="H84" s="113" t="s">
        <v>38</v>
      </c>
      <c r="I84" s="112">
        <v>1787.8</v>
      </c>
      <c r="J84" s="114">
        <v>1195.1999999999998</v>
      </c>
      <c r="K84" s="110"/>
    </row>
    <row r="85" spans="1:11" x14ac:dyDescent="0.35">
      <c r="A85" s="587"/>
      <c r="B85" s="20" t="s">
        <v>243</v>
      </c>
      <c r="C85" s="112">
        <v>3520.4866666666662</v>
      </c>
      <c r="D85" s="112">
        <v>3206.3</v>
      </c>
      <c r="E85" s="112" t="s">
        <v>38</v>
      </c>
      <c r="F85" s="112" t="s">
        <v>38</v>
      </c>
      <c r="G85" s="112" t="s">
        <v>38</v>
      </c>
      <c r="H85" s="113" t="s">
        <v>38</v>
      </c>
      <c r="I85" s="112" t="s">
        <v>38</v>
      </c>
      <c r="J85" s="115" t="s">
        <v>38</v>
      </c>
      <c r="K85" s="110"/>
    </row>
    <row r="86" spans="1:11" ht="15" thickBot="1" x14ac:dyDescent="0.4">
      <c r="A86" s="607"/>
      <c r="B86" s="117" t="s">
        <v>244</v>
      </c>
      <c r="C86" s="118" t="s">
        <v>38</v>
      </c>
      <c r="D86" s="118" t="s">
        <v>38</v>
      </c>
      <c r="E86" s="118" t="s">
        <v>38</v>
      </c>
      <c r="F86" s="118" t="s">
        <v>38</v>
      </c>
      <c r="G86" s="118">
        <f>G119-6660</f>
        <v>4320</v>
      </c>
      <c r="H86" s="119" t="s">
        <v>38</v>
      </c>
      <c r="I86" s="118">
        <v>3438.9</v>
      </c>
      <c r="J86" s="120" t="s">
        <v>38</v>
      </c>
      <c r="K86" s="110"/>
    </row>
    <row r="87" spans="1:11" x14ac:dyDescent="0.35">
      <c r="A87" s="611" t="s">
        <v>245</v>
      </c>
      <c r="B87" s="138" t="s">
        <v>239</v>
      </c>
      <c r="C87" s="107">
        <v>410.38666666666666</v>
      </c>
      <c r="D87" s="107">
        <v>410.9</v>
      </c>
      <c r="E87" s="107">
        <v>735</v>
      </c>
      <c r="F87" s="142">
        <v>499.5</v>
      </c>
      <c r="G87" s="107">
        <f>G120-2685</f>
        <v>510</v>
      </c>
      <c r="H87" s="108">
        <v>516.12</v>
      </c>
      <c r="I87" s="107" t="s">
        <v>38</v>
      </c>
      <c r="J87" s="109">
        <v>339.15000000000003</v>
      </c>
      <c r="K87" s="110"/>
    </row>
    <row r="88" spans="1:11" x14ac:dyDescent="0.35">
      <c r="A88" s="587"/>
      <c r="B88" s="20" t="s">
        <v>240</v>
      </c>
      <c r="C88" s="112">
        <v>447.02</v>
      </c>
      <c r="D88" s="112">
        <v>447.3</v>
      </c>
      <c r="E88" s="112" t="s">
        <v>38</v>
      </c>
      <c r="F88" s="112">
        <v>517.1</v>
      </c>
      <c r="G88" s="112">
        <f>G121-3150</f>
        <v>540</v>
      </c>
      <c r="H88" s="113">
        <v>523.02</v>
      </c>
      <c r="I88" s="112">
        <v>444.8</v>
      </c>
      <c r="J88" s="114">
        <v>361.2</v>
      </c>
      <c r="K88" s="110"/>
    </row>
    <row r="89" spans="1:11" x14ac:dyDescent="0.35">
      <c r="A89" s="587"/>
      <c r="B89" s="20" t="s">
        <v>246</v>
      </c>
      <c r="C89" s="112">
        <v>964.22666666666646</v>
      </c>
      <c r="D89" s="112">
        <v>786.8</v>
      </c>
      <c r="E89" s="112">
        <v>1320</v>
      </c>
      <c r="F89" s="112">
        <v>939.5</v>
      </c>
      <c r="G89" s="112">
        <f>G122-4770</f>
        <v>975</v>
      </c>
      <c r="H89" s="113">
        <v>917.7</v>
      </c>
      <c r="I89" s="112">
        <v>884.4</v>
      </c>
      <c r="J89" s="114">
        <v>738</v>
      </c>
      <c r="K89" s="110"/>
    </row>
    <row r="90" spans="1:11" x14ac:dyDescent="0.35">
      <c r="A90" s="587"/>
      <c r="B90" s="20" t="s">
        <v>247</v>
      </c>
      <c r="C90" s="112">
        <v>2352.14</v>
      </c>
      <c r="D90" s="112">
        <v>1666.5</v>
      </c>
      <c r="E90" s="112" t="s">
        <v>38</v>
      </c>
      <c r="F90" s="112">
        <f>2919.8</f>
        <v>2919.8</v>
      </c>
      <c r="G90" s="112">
        <f>G123-7890</f>
        <v>2955</v>
      </c>
      <c r="H90" s="113" t="s">
        <v>38</v>
      </c>
      <c r="I90" s="112">
        <v>2116.65</v>
      </c>
      <c r="J90" s="114">
        <v>1429.1999999999998</v>
      </c>
      <c r="K90" s="110"/>
    </row>
    <row r="91" spans="1:11" x14ac:dyDescent="0.35">
      <c r="A91" s="587"/>
      <c r="B91" s="20" t="s">
        <v>248</v>
      </c>
      <c r="C91" s="112">
        <v>4513.786666666666</v>
      </c>
      <c r="D91" s="112">
        <v>4363.8</v>
      </c>
      <c r="E91" s="112" t="s">
        <v>38</v>
      </c>
      <c r="F91" s="112" t="s">
        <v>38</v>
      </c>
      <c r="G91" s="112" t="s">
        <v>38</v>
      </c>
      <c r="H91" s="113" t="s">
        <v>38</v>
      </c>
      <c r="I91" s="112" t="s">
        <v>38</v>
      </c>
      <c r="J91" s="115" t="s">
        <v>38</v>
      </c>
      <c r="K91" s="110"/>
    </row>
    <row r="92" spans="1:11" ht="15" thickBot="1" x14ac:dyDescent="0.4">
      <c r="A92" s="612"/>
      <c r="B92" s="139" t="s">
        <v>249</v>
      </c>
      <c r="C92" s="118" t="s">
        <v>38</v>
      </c>
      <c r="D92" s="118" t="s">
        <v>38</v>
      </c>
      <c r="E92" s="118" t="s">
        <v>38</v>
      </c>
      <c r="F92" s="112" t="s">
        <v>38</v>
      </c>
      <c r="G92" s="118">
        <f>G125-8670</f>
        <v>5520</v>
      </c>
      <c r="H92" s="119" t="s">
        <v>38</v>
      </c>
      <c r="I92" s="118">
        <v>4390.8</v>
      </c>
      <c r="J92" s="120" t="s">
        <v>38</v>
      </c>
      <c r="K92" s="110"/>
    </row>
    <row r="93" spans="1:11" x14ac:dyDescent="0.35">
      <c r="A93" s="620" t="s">
        <v>250</v>
      </c>
      <c r="B93" s="137" t="s">
        <v>239</v>
      </c>
      <c r="C93" s="107">
        <v>594.5333333333333</v>
      </c>
      <c r="D93" s="107">
        <v>594.65</v>
      </c>
      <c r="E93" s="107">
        <v>1185</v>
      </c>
      <c r="F93" s="107">
        <v>715.75</v>
      </c>
      <c r="G93" s="107">
        <f>G126-4110</f>
        <v>720</v>
      </c>
      <c r="H93" s="108">
        <v>677.58</v>
      </c>
      <c r="I93" s="107" t="s">
        <v>38</v>
      </c>
      <c r="J93" s="109">
        <v>520.80000000000007</v>
      </c>
      <c r="K93" s="110"/>
    </row>
    <row r="94" spans="1:11" x14ac:dyDescent="0.35">
      <c r="A94" s="587"/>
      <c r="B94" s="20" t="s">
        <v>240</v>
      </c>
      <c r="C94" s="112">
        <v>669.19999999999993</v>
      </c>
      <c r="D94" s="112">
        <v>669.3</v>
      </c>
      <c r="E94" s="112" t="s">
        <v>38</v>
      </c>
      <c r="F94" s="112">
        <v>752.1</v>
      </c>
      <c r="G94" s="112">
        <f>G127-4830</f>
        <v>780</v>
      </c>
      <c r="H94" s="113">
        <v>709.32</v>
      </c>
      <c r="I94" s="112">
        <v>664.6</v>
      </c>
      <c r="J94" s="114">
        <v>546</v>
      </c>
      <c r="K94" s="110"/>
    </row>
    <row r="95" spans="1:11" x14ac:dyDescent="0.35">
      <c r="A95" s="587"/>
      <c r="B95" s="20" t="s">
        <v>251</v>
      </c>
      <c r="C95" s="112">
        <v>1097.2733333333333</v>
      </c>
      <c r="D95" s="112">
        <v>1027.8499999999999</v>
      </c>
      <c r="E95" s="112">
        <v>1755</v>
      </c>
      <c r="F95" s="112">
        <v>1184.7</v>
      </c>
      <c r="G95" s="112">
        <f>G128-5910</f>
        <v>1335</v>
      </c>
      <c r="H95" s="113">
        <v>1149.54</v>
      </c>
      <c r="I95" s="112">
        <v>1119.75</v>
      </c>
      <c r="J95" s="114">
        <v>745.2</v>
      </c>
      <c r="K95" s="110"/>
    </row>
    <row r="96" spans="1:11" x14ac:dyDescent="0.35">
      <c r="A96" s="587"/>
      <c r="B96" s="20" t="s">
        <v>252</v>
      </c>
      <c r="C96" s="112">
        <v>3103.1</v>
      </c>
      <c r="D96" s="112">
        <v>2216.25</v>
      </c>
      <c r="E96" s="112" t="s">
        <v>38</v>
      </c>
      <c r="F96" s="112">
        <f>3663.45</f>
        <v>3663.45</v>
      </c>
      <c r="G96" s="112">
        <f>G129-8670</f>
        <v>3645</v>
      </c>
      <c r="H96" s="113" t="s">
        <v>38</v>
      </c>
      <c r="I96" s="112">
        <v>2836.6</v>
      </c>
      <c r="J96" s="114">
        <v>1953.8999999999999</v>
      </c>
      <c r="K96" s="110"/>
    </row>
    <row r="97" spans="1:11" x14ac:dyDescent="0.35">
      <c r="A97" s="587"/>
      <c r="B97" s="20" t="s">
        <v>253</v>
      </c>
      <c r="C97" s="112">
        <v>5811.6799999999994</v>
      </c>
      <c r="D97" s="112">
        <v>5749.1</v>
      </c>
      <c r="E97" s="112" t="s">
        <v>38</v>
      </c>
      <c r="F97" s="112" t="s">
        <v>38</v>
      </c>
      <c r="G97" s="112" t="s">
        <v>38</v>
      </c>
      <c r="H97" s="113" t="s">
        <v>38</v>
      </c>
      <c r="I97" s="112" t="s">
        <v>38</v>
      </c>
      <c r="J97" s="115" t="s">
        <v>38</v>
      </c>
      <c r="K97" s="110"/>
    </row>
    <row r="98" spans="1:11" ht="15" thickBot="1" x14ac:dyDescent="0.4">
      <c r="A98" s="607"/>
      <c r="B98" s="117" t="s">
        <v>254</v>
      </c>
      <c r="C98" s="118" t="s">
        <v>38</v>
      </c>
      <c r="D98" s="118" t="s">
        <v>38</v>
      </c>
      <c r="E98" s="118" t="s">
        <v>38</v>
      </c>
      <c r="F98" s="118" t="s">
        <v>38</v>
      </c>
      <c r="G98" s="118">
        <f>G131-9210</f>
        <v>7080</v>
      </c>
      <c r="H98" s="119" t="s">
        <v>38</v>
      </c>
      <c r="I98" s="118">
        <v>5687.05</v>
      </c>
      <c r="J98" s="120" t="s">
        <v>38</v>
      </c>
      <c r="K98" s="110"/>
    </row>
    <row r="99" spans="1:11" x14ac:dyDescent="0.35">
      <c r="A99" s="611" t="s">
        <v>255</v>
      </c>
      <c r="B99" s="138" t="s">
        <v>239</v>
      </c>
      <c r="C99" s="107">
        <v>830.99333333333334</v>
      </c>
      <c r="D99" s="107">
        <v>831</v>
      </c>
      <c r="E99" s="107">
        <v>1620</v>
      </c>
      <c r="F99" s="142">
        <v>1026.75</v>
      </c>
      <c r="G99" s="107">
        <f>G132-6090</f>
        <v>990</v>
      </c>
      <c r="H99" s="108">
        <v>910.80000000000007</v>
      </c>
      <c r="I99" s="107" t="s">
        <v>38</v>
      </c>
      <c r="J99" s="109">
        <v>714</v>
      </c>
      <c r="K99" s="110"/>
    </row>
    <row r="100" spans="1:11" x14ac:dyDescent="0.35">
      <c r="A100" s="587"/>
      <c r="B100" s="20" t="s">
        <v>240</v>
      </c>
      <c r="C100" s="112">
        <v>997.40666666666664</v>
      </c>
      <c r="D100" s="112">
        <v>997.1</v>
      </c>
      <c r="E100" s="112" t="s">
        <v>38</v>
      </c>
      <c r="F100" s="112">
        <v>1138.5</v>
      </c>
      <c r="G100" s="112">
        <f>G133-6690</f>
        <v>1155</v>
      </c>
      <c r="H100" s="113">
        <v>1033.6200000000001</v>
      </c>
      <c r="I100" s="112">
        <v>1059.2</v>
      </c>
      <c r="J100" s="114">
        <v>852.60000000000014</v>
      </c>
      <c r="K100" s="110"/>
    </row>
    <row r="101" spans="1:11" x14ac:dyDescent="0.35">
      <c r="A101" s="587"/>
      <c r="B101" s="20" t="s">
        <v>256</v>
      </c>
      <c r="C101" s="112">
        <v>1425.6200000000001</v>
      </c>
      <c r="D101" s="112">
        <v>1354.65</v>
      </c>
      <c r="E101" s="112">
        <v>2160</v>
      </c>
      <c r="F101" s="112">
        <f>1557.85</f>
        <v>1557.85</v>
      </c>
      <c r="G101" s="112">
        <f>G134-7485</f>
        <v>1560</v>
      </c>
      <c r="H101" s="113">
        <v>1524.9</v>
      </c>
      <c r="I101" s="112">
        <v>1448.6</v>
      </c>
      <c r="J101" s="114">
        <v>1003.5</v>
      </c>
      <c r="K101" s="110"/>
    </row>
    <row r="102" spans="1:11" x14ac:dyDescent="0.35">
      <c r="A102" s="587"/>
      <c r="B102" s="20" t="s">
        <v>257</v>
      </c>
      <c r="C102" s="112">
        <v>3850.7933333333335</v>
      </c>
      <c r="D102" s="112">
        <v>2946.65</v>
      </c>
      <c r="E102" s="112" t="s">
        <v>38</v>
      </c>
      <c r="F102" s="112">
        <f>4713.8</f>
        <v>4713.8</v>
      </c>
      <c r="G102" s="112">
        <f>G135-11520</f>
        <v>4920</v>
      </c>
      <c r="H102" s="113">
        <v>4431.18</v>
      </c>
      <c r="I102" s="112">
        <v>3733.1</v>
      </c>
      <c r="J102" s="114">
        <v>2662.2</v>
      </c>
      <c r="K102" s="110"/>
    </row>
    <row r="103" spans="1:11" x14ac:dyDescent="0.35">
      <c r="A103" s="587"/>
      <c r="B103" s="20" t="s">
        <v>258</v>
      </c>
      <c r="C103" s="112">
        <v>7952.1866666666674</v>
      </c>
      <c r="D103" s="112">
        <v>7628.7</v>
      </c>
      <c r="E103" s="112" t="s">
        <v>38</v>
      </c>
      <c r="F103" s="112" t="s">
        <v>38</v>
      </c>
      <c r="G103" s="112" t="s">
        <v>38</v>
      </c>
      <c r="H103" s="113" t="s">
        <v>38</v>
      </c>
      <c r="I103" s="112" t="s">
        <v>38</v>
      </c>
      <c r="J103" s="115" t="s">
        <v>38</v>
      </c>
      <c r="K103" s="110"/>
    </row>
    <row r="104" spans="1:11" ht="15" thickBot="1" x14ac:dyDescent="0.4">
      <c r="A104" s="612"/>
      <c r="B104" s="139" t="s">
        <v>259</v>
      </c>
      <c r="C104" s="118" t="s">
        <v>38</v>
      </c>
      <c r="D104" s="118" t="s">
        <v>38</v>
      </c>
      <c r="E104" s="118" t="s">
        <v>38</v>
      </c>
      <c r="F104" s="140" t="s">
        <v>38</v>
      </c>
      <c r="G104" s="118">
        <f>G137-14295</f>
        <v>9120</v>
      </c>
      <c r="H104" s="119" t="s">
        <v>38</v>
      </c>
      <c r="I104" s="118">
        <v>7985.45</v>
      </c>
      <c r="J104" s="120" t="s">
        <v>38</v>
      </c>
      <c r="K104" s="110"/>
    </row>
    <row r="105" spans="1:11" x14ac:dyDescent="0.35">
      <c r="A105" s="620" t="s">
        <v>260</v>
      </c>
      <c r="B105" s="137" t="s">
        <v>239</v>
      </c>
      <c r="C105" s="107">
        <v>1258.8799999999999</v>
      </c>
      <c r="D105" s="107">
        <v>1253.5999999999999</v>
      </c>
      <c r="E105" s="107">
        <v>2100</v>
      </c>
      <c r="F105" s="107">
        <f>1529.8</f>
        <v>1529.8</v>
      </c>
      <c r="G105" s="107">
        <f>G138-8055</f>
        <v>1440</v>
      </c>
      <c r="H105" s="108">
        <v>1424.16</v>
      </c>
      <c r="I105" s="107" t="s">
        <v>38</v>
      </c>
      <c r="J105" s="109">
        <v>1135.05</v>
      </c>
      <c r="K105" s="110"/>
    </row>
    <row r="106" spans="1:11" x14ac:dyDescent="0.35">
      <c r="A106" s="587"/>
      <c r="B106" s="20" t="s">
        <v>240</v>
      </c>
      <c r="C106" s="112">
        <v>1515.5933333333332</v>
      </c>
      <c r="D106" s="112">
        <v>1515.9</v>
      </c>
      <c r="E106" s="112" t="s">
        <v>38</v>
      </c>
      <c r="F106" s="112">
        <f>1679.5</f>
        <v>1679.5</v>
      </c>
      <c r="G106" s="112">
        <f>G139-8385</f>
        <v>1725</v>
      </c>
      <c r="H106" s="113">
        <v>1483.5</v>
      </c>
      <c r="I106" s="112">
        <v>1545.55</v>
      </c>
      <c r="J106" s="114">
        <v>1323</v>
      </c>
      <c r="K106" s="110"/>
    </row>
    <row r="107" spans="1:11" x14ac:dyDescent="0.35">
      <c r="A107" s="587"/>
      <c r="B107" s="20" t="s">
        <v>261</v>
      </c>
      <c r="C107" s="112">
        <v>1768.3400000000001</v>
      </c>
      <c r="D107" s="112">
        <v>1710.8</v>
      </c>
      <c r="E107" s="112">
        <v>2640</v>
      </c>
      <c r="F107" s="112">
        <f>2014.8</f>
        <v>2014.8</v>
      </c>
      <c r="G107" s="112">
        <f>G140-8760</f>
        <v>2070</v>
      </c>
      <c r="H107" s="113">
        <v>1760.88</v>
      </c>
      <c r="I107" s="112">
        <v>1716.9</v>
      </c>
      <c r="J107" s="114">
        <v>1344.6</v>
      </c>
      <c r="K107" s="110"/>
    </row>
    <row r="108" spans="1:11" x14ac:dyDescent="0.35">
      <c r="A108" s="587"/>
      <c r="B108" s="20" t="s">
        <v>262</v>
      </c>
      <c r="C108" s="112">
        <v>5085.3133333333335</v>
      </c>
      <c r="D108" s="112">
        <v>3937.1</v>
      </c>
      <c r="E108" s="112" t="s">
        <v>38</v>
      </c>
      <c r="F108" s="112">
        <f>6015.7</f>
        <v>6015.7</v>
      </c>
      <c r="G108" s="112">
        <f>G141-13380</f>
        <v>5895</v>
      </c>
      <c r="H108" s="113">
        <v>6411.4800000000005</v>
      </c>
      <c r="I108" s="112">
        <v>4709.25</v>
      </c>
      <c r="J108" s="114">
        <v>3636</v>
      </c>
      <c r="K108" s="110"/>
    </row>
    <row r="109" spans="1:11" x14ac:dyDescent="0.35">
      <c r="A109" s="587"/>
      <c r="B109" s="20" t="s">
        <v>263</v>
      </c>
      <c r="C109" s="112">
        <v>10217.993333333332</v>
      </c>
      <c r="D109" s="112">
        <v>9931.35</v>
      </c>
      <c r="E109" s="112" t="s">
        <v>38</v>
      </c>
      <c r="F109" s="112" t="s">
        <v>38</v>
      </c>
      <c r="G109" s="112" t="s">
        <v>38</v>
      </c>
      <c r="H109" s="113" t="s">
        <v>38</v>
      </c>
      <c r="I109" s="112" t="s">
        <v>38</v>
      </c>
      <c r="J109" s="115" t="s">
        <v>38</v>
      </c>
      <c r="K109" s="110"/>
    </row>
    <row r="110" spans="1:11" ht="15" thickBot="1" x14ac:dyDescent="0.4">
      <c r="A110" s="612"/>
      <c r="B110" s="117" t="s">
        <v>264</v>
      </c>
      <c r="C110" s="118" t="s">
        <v>38</v>
      </c>
      <c r="D110" s="118" t="s">
        <v>38</v>
      </c>
      <c r="E110" s="118" t="s">
        <v>38</v>
      </c>
      <c r="F110" s="118" t="s">
        <v>38</v>
      </c>
      <c r="G110" s="118">
        <f>G143-16920</f>
        <v>11790</v>
      </c>
      <c r="H110" s="119" t="s">
        <v>38</v>
      </c>
      <c r="I110" s="118">
        <v>11298</v>
      </c>
      <c r="J110" s="120" t="s">
        <v>38</v>
      </c>
      <c r="K110" s="110"/>
    </row>
    <row r="111" spans="1:11" ht="29.5" thickBot="1" x14ac:dyDescent="0.4">
      <c r="A111" s="627" t="s">
        <v>221</v>
      </c>
      <c r="B111" s="628"/>
      <c r="C111" s="183" t="s">
        <v>266</v>
      </c>
      <c r="D111" s="145" t="s">
        <v>310</v>
      </c>
      <c r="E111" s="144" t="s">
        <v>267</v>
      </c>
      <c r="F111" s="144" t="s">
        <v>265</v>
      </c>
      <c r="G111" s="144" t="s">
        <v>268</v>
      </c>
      <c r="H111" s="146" t="s">
        <v>265</v>
      </c>
      <c r="I111" s="184" t="s">
        <v>270</v>
      </c>
      <c r="J111" s="185" t="s">
        <v>266</v>
      </c>
      <c r="K111" s="110"/>
    </row>
    <row r="112" spans="1:11" ht="44" thickBot="1" x14ac:dyDescent="0.4">
      <c r="A112" s="629"/>
      <c r="B112" s="630"/>
      <c r="C112" s="175" t="s">
        <v>153</v>
      </c>
      <c r="D112" s="147" t="s">
        <v>154</v>
      </c>
      <c r="E112" s="148" t="s">
        <v>222</v>
      </c>
      <c r="F112" s="148" t="s">
        <v>223</v>
      </c>
      <c r="G112" s="149" t="s">
        <v>224</v>
      </c>
      <c r="H112" s="148" t="s">
        <v>225</v>
      </c>
      <c r="I112" s="161" t="s">
        <v>111</v>
      </c>
      <c r="J112" s="161" t="s">
        <v>226</v>
      </c>
      <c r="K112" s="110"/>
    </row>
    <row r="113" spans="1:11" ht="15" thickBot="1" x14ac:dyDescent="0.4">
      <c r="A113" s="176" t="s">
        <v>176</v>
      </c>
      <c r="B113" s="196" t="s">
        <v>140</v>
      </c>
      <c r="C113" s="197" t="s">
        <v>141</v>
      </c>
      <c r="D113" s="150" t="s">
        <v>141</v>
      </c>
      <c r="E113" s="198" t="s">
        <v>142</v>
      </c>
      <c r="F113" s="198" t="s">
        <v>141</v>
      </c>
      <c r="G113" s="151" t="s">
        <v>141</v>
      </c>
      <c r="H113" s="199" t="s">
        <v>142</v>
      </c>
      <c r="I113" s="162" t="s">
        <v>142</v>
      </c>
      <c r="J113" s="200" t="s">
        <v>141</v>
      </c>
      <c r="K113" s="110"/>
    </row>
    <row r="114" spans="1:11" x14ac:dyDescent="0.35">
      <c r="A114" s="616" t="s">
        <v>238</v>
      </c>
      <c r="B114" s="137" t="s">
        <v>239</v>
      </c>
      <c r="C114" s="107">
        <v>1404.1099999999997</v>
      </c>
      <c r="D114" s="107">
        <v>1260.95</v>
      </c>
      <c r="E114" s="107">
        <v>2010</v>
      </c>
      <c r="F114" s="107">
        <f>1594.65</f>
        <v>1594.65</v>
      </c>
      <c r="G114" s="107">
        <v>2580</v>
      </c>
      <c r="H114" s="108">
        <v>1437.96</v>
      </c>
      <c r="I114" s="107" t="s">
        <v>38</v>
      </c>
      <c r="J114" s="109">
        <v>1171.8</v>
      </c>
      <c r="K114" s="110"/>
    </row>
    <row r="115" spans="1:11" x14ac:dyDescent="0.35">
      <c r="A115" s="585"/>
      <c r="B115" s="20" t="s">
        <v>240</v>
      </c>
      <c r="C115" s="112">
        <v>1616.4066666666668</v>
      </c>
      <c r="D115" s="112">
        <v>1695.5</v>
      </c>
      <c r="E115" s="112" t="s">
        <v>38</v>
      </c>
      <c r="F115" s="112">
        <f>1854.15</f>
        <v>1854.15</v>
      </c>
      <c r="G115" s="112">
        <v>2640</v>
      </c>
      <c r="H115" s="113">
        <v>1558.02</v>
      </c>
      <c r="I115" s="112" t="s">
        <v>38</v>
      </c>
      <c r="J115" s="201">
        <v>1193.8500000000001</v>
      </c>
      <c r="K115" s="110"/>
    </row>
    <row r="116" spans="1:11" x14ac:dyDescent="0.35">
      <c r="A116" s="585"/>
      <c r="B116" s="20" t="s">
        <v>241</v>
      </c>
      <c r="C116" s="202">
        <v>2699.9833333333331</v>
      </c>
      <c r="D116" s="202">
        <v>3026.65</v>
      </c>
      <c r="E116" s="112">
        <v>4530</v>
      </c>
      <c r="F116" s="112">
        <f>3858.8</f>
        <v>3858.8</v>
      </c>
      <c r="G116" s="112">
        <v>4965</v>
      </c>
      <c r="H116" s="113">
        <v>3356.1600000000003</v>
      </c>
      <c r="I116" s="112" t="s">
        <v>38</v>
      </c>
      <c r="J116" s="201">
        <v>1891.8000000000002</v>
      </c>
      <c r="K116" s="110"/>
    </row>
    <row r="117" spans="1:11" ht="15" customHeight="1" x14ac:dyDescent="0.35">
      <c r="A117" s="585"/>
      <c r="B117" s="20" t="s">
        <v>242</v>
      </c>
      <c r="C117" s="202">
        <v>5265.4866666666667</v>
      </c>
      <c r="D117" s="202">
        <v>4458.45</v>
      </c>
      <c r="E117" s="112" t="s">
        <v>38</v>
      </c>
      <c r="F117" s="112">
        <f>6612.5</f>
        <v>6612.5</v>
      </c>
      <c r="G117" s="112">
        <v>8520</v>
      </c>
      <c r="H117" s="113" t="s">
        <v>38</v>
      </c>
      <c r="I117" s="112" t="s">
        <v>38</v>
      </c>
      <c r="J117" s="201">
        <v>3193.2</v>
      </c>
      <c r="K117" s="110"/>
    </row>
    <row r="118" spans="1:11" ht="15" customHeight="1" x14ac:dyDescent="0.35">
      <c r="A118" s="585"/>
      <c r="B118" s="20" t="s">
        <v>243</v>
      </c>
      <c r="C118" s="112">
        <v>9689.3366666666661</v>
      </c>
      <c r="D118" s="112">
        <v>7188.8</v>
      </c>
      <c r="E118" s="112" t="s">
        <v>38</v>
      </c>
      <c r="F118" s="112" t="s">
        <v>38</v>
      </c>
      <c r="G118" s="112" t="s">
        <v>38</v>
      </c>
      <c r="H118" s="112" t="s">
        <v>38</v>
      </c>
      <c r="I118" s="112" t="s">
        <v>38</v>
      </c>
      <c r="J118" s="201" t="s">
        <v>38</v>
      </c>
      <c r="K118" s="110"/>
    </row>
    <row r="119" spans="1:11" ht="15" thickBot="1" x14ac:dyDescent="0.4">
      <c r="A119" s="631"/>
      <c r="B119" s="117" t="s">
        <v>244</v>
      </c>
      <c r="C119" s="118" t="s">
        <v>38</v>
      </c>
      <c r="D119" s="140" t="s">
        <v>38</v>
      </c>
      <c r="E119" s="140" t="s">
        <v>38</v>
      </c>
      <c r="F119" s="118" t="s">
        <v>38</v>
      </c>
      <c r="G119" s="140">
        <v>10980</v>
      </c>
      <c r="H119" s="140" t="s">
        <v>38</v>
      </c>
      <c r="I119" s="118" t="s">
        <v>38</v>
      </c>
      <c r="J119" s="203" t="s">
        <v>38</v>
      </c>
      <c r="K119" s="110"/>
    </row>
    <row r="120" spans="1:11" x14ac:dyDescent="0.35">
      <c r="A120" s="616" t="s">
        <v>245</v>
      </c>
      <c r="B120" s="138" t="s">
        <v>239</v>
      </c>
      <c r="C120" s="107">
        <v>2147.0366666666664</v>
      </c>
      <c r="D120" s="107">
        <v>1975.85</v>
      </c>
      <c r="E120" s="107">
        <v>3180</v>
      </c>
      <c r="F120" s="142">
        <f>2404.5</f>
        <v>2404.5</v>
      </c>
      <c r="G120" s="107">
        <v>3195</v>
      </c>
      <c r="H120" s="108">
        <v>2177.64</v>
      </c>
      <c r="I120" s="107" t="s">
        <v>38</v>
      </c>
      <c r="J120" s="204">
        <v>1588.65</v>
      </c>
      <c r="K120" s="110"/>
    </row>
    <row r="121" spans="1:11" x14ac:dyDescent="0.35">
      <c r="A121" s="585"/>
      <c r="B121" s="20" t="s">
        <v>240</v>
      </c>
      <c r="C121" s="112">
        <v>2314.62</v>
      </c>
      <c r="D121" s="112">
        <v>2788.1</v>
      </c>
      <c r="E121" s="112" t="s">
        <v>38</v>
      </c>
      <c r="F121" s="112">
        <f>2789.6</f>
        <v>2789.6</v>
      </c>
      <c r="G121" s="112">
        <v>3690</v>
      </c>
      <c r="H121" s="113">
        <v>2278.38</v>
      </c>
      <c r="I121" s="112" t="s">
        <v>38</v>
      </c>
      <c r="J121" s="201">
        <v>1778.7000000000003</v>
      </c>
      <c r="K121" s="110"/>
    </row>
    <row r="122" spans="1:11" x14ac:dyDescent="0.35">
      <c r="A122" s="585"/>
      <c r="B122" s="20" t="s">
        <v>246</v>
      </c>
      <c r="C122" s="112">
        <v>3909.2766666666666</v>
      </c>
      <c r="D122" s="112">
        <v>4088.9</v>
      </c>
      <c r="E122" s="112">
        <v>6060</v>
      </c>
      <c r="F122" s="112">
        <f>4835</f>
        <v>4835</v>
      </c>
      <c r="G122" s="112">
        <v>5745</v>
      </c>
      <c r="H122" s="113">
        <v>3756.36</v>
      </c>
      <c r="I122" s="112" t="s">
        <v>38</v>
      </c>
      <c r="J122" s="201">
        <v>2520</v>
      </c>
      <c r="K122" s="110"/>
    </row>
    <row r="123" spans="1:11" x14ac:dyDescent="0.35">
      <c r="A123" s="585"/>
      <c r="B123" s="20" t="s">
        <v>247</v>
      </c>
      <c r="C123" s="112">
        <v>6975.24</v>
      </c>
      <c r="D123" s="112">
        <v>5678.6</v>
      </c>
      <c r="E123" s="112" t="s">
        <v>38</v>
      </c>
      <c r="F123" s="112">
        <f>8412.8</f>
        <v>8412.7999999999993</v>
      </c>
      <c r="G123" s="112">
        <v>10845</v>
      </c>
      <c r="H123" s="113" t="s">
        <v>38</v>
      </c>
      <c r="I123" s="112" t="s">
        <v>38</v>
      </c>
      <c r="J123" s="201">
        <v>4399.2</v>
      </c>
      <c r="K123" s="110"/>
    </row>
    <row r="124" spans="1:11" x14ac:dyDescent="0.35">
      <c r="A124" s="585"/>
      <c r="B124" s="20" t="s">
        <v>248</v>
      </c>
      <c r="C124" s="112">
        <v>12226.636666666665</v>
      </c>
      <c r="D124" s="112">
        <v>9193.2999999999993</v>
      </c>
      <c r="E124" s="112" t="s">
        <v>38</v>
      </c>
      <c r="F124" s="112" t="s">
        <v>38</v>
      </c>
      <c r="G124" s="112" t="s">
        <v>38</v>
      </c>
      <c r="H124" s="112" t="s">
        <v>38</v>
      </c>
      <c r="I124" s="112" t="s">
        <v>38</v>
      </c>
      <c r="J124" s="201" t="s">
        <v>38</v>
      </c>
      <c r="K124" s="110"/>
    </row>
    <row r="125" spans="1:11" ht="15" thickBot="1" x14ac:dyDescent="0.4">
      <c r="A125" s="586"/>
      <c r="B125" s="139" t="s">
        <v>249</v>
      </c>
      <c r="C125" s="118" t="s">
        <v>38</v>
      </c>
      <c r="D125" s="118" t="s">
        <v>38</v>
      </c>
      <c r="E125" s="118" t="s">
        <v>38</v>
      </c>
      <c r="F125" s="112" t="s">
        <v>38</v>
      </c>
      <c r="G125" s="118">
        <v>14190</v>
      </c>
      <c r="H125" s="118" t="s">
        <v>38</v>
      </c>
      <c r="I125" s="118" t="s">
        <v>38</v>
      </c>
      <c r="J125" s="205" t="s">
        <v>38</v>
      </c>
      <c r="K125" s="110"/>
    </row>
    <row r="126" spans="1:11" x14ac:dyDescent="0.35">
      <c r="A126" s="616" t="s">
        <v>250</v>
      </c>
      <c r="B126" s="137" t="s">
        <v>239</v>
      </c>
      <c r="C126" s="107">
        <v>3221.5333333333333</v>
      </c>
      <c r="D126" s="107">
        <v>3397.55</v>
      </c>
      <c r="E126" s="107">
        <v>5460</v>
      </c>
      <c r="F126" s="107">
        <f>3707.25</f>
        <v>3707.25</v>
      </c>
      <c r="G126" s="107">
        <v>4830</v>
      </c>
      <c r="H126" s="108">
        <v>3317.52</v>
      </c>
      <c r="I126" s="107" t="s">
        <v>38</v>
      </c>
      <c r="J126" s="204">
        <v>2589.3000000000002</v>
      </c>
      <c r="K126" s="110"/>
    </row>
    <row r="127" spans="1:11" x14ac:dyDescent="0.35">
      <c r="A127" s="585"/>
      <c r="B127" s="20" t="s">
        <v>240</v>
      </c>
      <c r="C127" s="112">
        <v>3395.7999999999997</v>
      </c>
      <c r="D127" s="112">
        <v>4458.6499999999996</v>
      </c>
      <c r="E127" s="112" t="s">
        <v>38</v>
      </c>
      <c r="F127" s="112">
        <f>4472.1</f>
        <v>4472.1000000000004</v>
      </c>
      <c r="G127" s="112">
        <v>5610</v>
      </c>
      <c r="H127" s="113">
        <v>3454.1400000000003</v>
      </c>
      <c r="I127" s="112" t="s">
        <v>38</v>
      </c>
      <c r="J127" s="201">
        <v>2835</v>
      </c>
      <c r="K127" s="110"/>
    </row>
    <row r="128" spans="1:11" x14ac:dyDescent="0.35">
      <c r="A128" s="585"/>
      <c r="B128" s="20" t="s">
        <v>251</v>
      </c>
      <c r="C128" s="112">
        <v>4645.2233333333334</v>
      </c>
      <c r="D128" s="112">
        <v>5622.85</v>
      </c>
      <c r="E128" s="112">
        <v>8190</v>
      </c>
      <c r="F128" s="112">
        <f>6407.7</f>
        <v>6407.7</v>
      </c>
      <c r="G128" s="112">
        <v>7245</v>
      </c>
      <c r="H128" s="113">
        <v>4936.26</v>
      </c>
      <c r="I128" s="112" t="s">
        <v>38</v>
      </c>
      <c r="J128" s="201">
        <v>3175.2</v>
      </c>
      <c r="K128" s="110"/>
    </row>
    <row r="129" spans="1:11" x14ac:dyDescent="0.35">
      <c r="A129" s="585"/>
      <c r="B129" s="20" t="s">
        <v>252</v>
      </c>
      <c r="C129" s="112">
        <v>9151.4</v>
      </c>
      <c r="D129" s="112">
        <v>7574.4</v>
      </c>
      <c r="E129" s="112" t="s">
        <v>38</v>
      </c>
      <c r="F129" s="112">
        <f>10450.95</f>
        <v>10450.950000000001</v>
      </c>
      <c r="G129" s="112">
        <v>12315</v>
      </c>
      <c r="H129" s="113" t="s">
        <v>38</v>
      </c>
      <c r="I129" s="112" t="s">
        <v>38</v>
      </c>
      <c r="J129" s="201">
        <v>5607.9</v>
      </c>
      <c r="K129" s="110"/>
    </row>
    <row r="130" spans="1:11" x14ac:dyDescent="0.35">
      <c r="A130" s="585"/>
      <c r="B130" s="20" t="s">
        <v>253</v>
      </c>
      <c r="C130" s="112">
        <v>14956.880000000001</v>
      </c>
      <c r="D130" s="112">
        <v>11787.25</v>
      </c>
      <c r="E130" s="112" t="s">
        <v>38</v>
      </c>
      <c r="F130" s="112" t="s">
        <v>38</v>
      </c>
      <c r="G130" s="112" t="s">
        <v>38</v>
      </c>
      <c r="H130" s="112" t="s">
        <v>38</v>
      </c>
      <c r="I130" s="112" t="s">
        <v>38</v>
      </c>
      <c r="J130" s="201"/>
      <c r="K130" s="110"/>
    </row>
    <row r="131" spans="1:11" ht="15" thickBot="1" x14ac:dyDescent="0.4">
      <c r="A131" s="586"/>
      <c r="B131" s="117" t="s">
        <v>254</v>
      </c>
      <c r="C131" s="118" t="s">
        <v>38</v>
      </c>
      <c r="D131" s="118" t="s">
        <v>38</v>
      </c>
      <c r="E131" s="118" t="s">
        <v>38</v>
      </c>
      <c r="F131" s="118" t="s">
        <v>38</v>
      </c>
      <c r="G131" s="118">
        <v>16290</v>
      </c>
      <c r="H131" s="118" t="s">
        <v>38</v>
      </c>
      <c r="I131" s="118" t="s">
        <v>38</v>
      </c>
      <c r="J131" s="205"/>
      <c r="K131" s="110"/>
    </row>
    <row r="132" spans="1:11" x14ac:dyDescent="0.35">
      <c r="A132" s="617" t="s">
        <v>255</v>
      </c>
      <c r="B132" s="138" t="s">
        <v>239</v>
      </c>
      <c r="C132" s="142">
        <v>4631.7933333333331</v>
      </c>
      <c r="D132" s="142">
        <v>5256.05</v>
      </c>
      <c r="E132" s="142">
        <v>8505</v>
      </c>
      <c r="F132" s="142">
        <f>6036.75</f>
        <v>6036.75</v>
      </c>
      <c r="G132" s="142">
        <v>7080</v>
      </c>
      <c r="H132" s="143">
        <v>4812.0600000000004</v>
      </c>
      <c r="I132" s="107" t="s">
        <v>38</v>
      </c>
      <c r="J132" s="206">
        <v>3591</v>
      </c>
      <c r="K132" s="110"/>
    </row>
    <row r="133" spans="1:11" x14ac:dyDescent="0.35">
      <c r="A133" s="585"/>
      <c r="B133" s="20" t="s">
        <v>240</v>
      </c>
      <c r="C133" s="112">
        <v>5004.1066666666666</v>
      </c>
      <c r="D133" s="112">
        <v>6620.95</v>
      </c>
      <c r="E133" s="112" t="s">
        <v>38</v>
      </c>
      <c r="F133" s="112">
        <f>6379.5</f>
        <v>6379.5</v>
      </c>
      <c r="G133" s="112">
        <v>7845</v>
      </c>
      <c r="H133" s="113">
        <v>4956.96</v>
      </c>
      <c r="I133" s="112" t="s">
        <v>38</v>
      </c>
      <c r="J133" s="201">
        <v>3887.1000000000004</v>
      </c>
      <c r="K133" s="110"/>
    </row>
    <row r="134" spans="1:11" x14ac:dyDescent="0.35">
      <c r="A134" s="585"/>
      <c r="B134" s="20" t="s">
        <v>256</v>
      </c>
      <c r="C134" s="112">
        <v>6613.42</v>
      </c>
      <c r="D134" s="112">
        <v>7311.3</v>
      </c>
      <c r="E134" s="112">
        <v>10005</v>
      </c>
      <c r="F134" s="112">
        <f>7482.85</f>
        <v>7482.85</v>
      </c>
      <c r="G134" s="112">
        <v>9045</v>
      </c>
      <c r="H134" s="113">
        <v>6273.4800000000005</v>
      </c>
      <c r="I134" s="112" t="s">
        <v>38</v>
      </c>
      <c r="J134" s="201">
        <v>4018.5</v>
      </c>
      <c r="K134" s="110"/>
    </row>
    <row r="135" spans="1:11" x14ac:dyDescent="0.35">
      <c r="A135" s="585"/>
      <c r="B135" s="20" t="s">
        <v>257</v>
      </c>
      <c r="C135" s="112">
        <v>11469.543333333333</v>
      </c>
      <c r="D135" s="112">
        <v>9938.2999999999993</v>
      </c>
      <c r="E135" s="112" t="s">
        <v>38</v>
      </c>
      <c r="F135" s="112">
        <f>12978.8</f>
        <v>12978.8</v>
      </c>
      <c r="G135" s="112">
        <v>16440</v>
      </c>
      <c r="H135" s="113">
        <v>11792.1</v>
      </c>
      <c r="I135" s="112" t="s">
        <v>38</v>
      </c>
      <c r="J135" s="201">
        <v>7162.2000000000007</v>
      </c>
      <c r="K135" s="110"/>
    </row>
    <row r="136" spans="1:11" x14ac:dyDescent="0.35">
      <c r="A136" s="585"/>
      <c r="B136" s="20" t="s">
        <v>258</v>
      </c>
      <c r="C136" s="112">
        <v>20118.686666666668</v>
      </c>
      <c r="D136" s="112">
        <v>15165.65</v>
      </c>
      <c r="E136" s="112" t="s">
        <v>38</v>
      </c>
      <c r="F136" s="112" t="s">
        <v>38</v>
      </c>
      <c r="G136" s="112" t="s">
        <v>38</v>
      </c>
      <c r="H136" s="112" t="s">
        <v>38</v>
      </c>
      <c r="I136" s="112" t="s">
        <v>38</v>
      </c>
      <c r="J136" s="201" t="s">
        <v>38</v>
      </c>
      <c r="K136" s="110"/>
    </row>
    <row r="137" spans="1:11" ht="15" thickBot="1" x14ac:dyDescent="0.4">
      <c r="A137" s="631"/>
      <c r="B137" s="139" t="s">
        <v>259</v>
      </c>
      <c r="C137" s="118" t="s">
        <v>38</v>
      </c>
      <c r="D137" s="140" t="s">
        <v>38</v>
      </c>
      <c r="E137" s="140" t="s">
        <v>38</v>
      </c>
      <c r="F137" s="140" t="s">
        <v>38</v>
      </c>
      <c r="G137" s="140">
        <v>23415</v>
      </c>
      <c r="H137" s="140" t="s">
        <v>38</v>
      </c>
      <c r="I137" s="118" t="s">
        <v>38</v>
      </c>
      <c r="J137" s="203" t="s">
        <v>38</v>
      </c>
      <c r="K137" s="110"/>
    </row>
    <row r="138" spans="1:11" x14ac:dyDescent="0.35">
      <c r="A138" s="616" t="s">
        <v>260</v>
      </c>
      <c r="B138" s="137" t="s">
        <v>239</v>
      </c>
      <c r="C138" s="107">
        <v>6220.68</v>
      </c>
      <c r="D138" s="107">
        <v>7281.35</v>
      </c>
      <c r="E138" s="107">
        <v>10980</v>
      </c>
      <c r="F138" s="107">
        <f>7454.8</f>
        <v>7454.8</v>
      </c>
      <c r="G138" s="107">
        <v>9495</v>
      </c>
      <c r="H138" s="108">
        <v>6888.96</v>
      </c>
      <c r="I138" s="107" t="s">
        <v>38</v>
      </c>
      <c r="J138" s="204">
        <v>4810.0500000000011</v>
      </c>
      <c r="K138" s="110"/>
    </row>
    <row r="139" spans="1:11" x14ac:dyDescent="0.35">
      <c r="A139" s="585"/>
      <c r="B139" s="20" t="s">
        <v>240</v>
      </c>
      <c r="C139" s="112">
        <v>6792.7433333333329</v>
      </c>
      <c r="D139" s="112">
        <v>8855.85</v>
      </c>
      <c r="E139" s="112" t="s">
        <v>38</v>
      </c>
      <c r="F139" s="112">
        <f>8203</f>
        <v>8203</v>
      </c>
      <c r="G139" s="112">
        <v>10110</v>
      </c>
      <c r="H139" s="113">
        <v>7135.9800000000005</v>
      </c>
      <c r="I139" s="112" t="s">
        <v>38</v>
      </c>
      <c r="J139" s="201">
        <v>5239.5</v>
      </c>
      <c r="K139" s="110"/>
    </row>
    <row r="140" spans="1:11" x14ac:dyDescent="0.35">
      <c r="A140" s="585"/>
      <c r="B140" s="20" t="s">
        <v>261</v>
      </c>
      <c r="C140" s="112">
        <v>7362.8899999999994</v>
      </c>
      <c r="D140" s="112">
        <v>9140</v>
      </c>
      <c r="E140" s="112">
        <v>12150</v>
      </c>
      <c r="F140" s="112">
        <f>8952.3</f>
        <v>8952.2999999999993</v>
      </c>
      <c r="G140" s="112">
        <v>10830</v>
      </c>
      <c r="H140" s="113">
        <v>8063.34</v>
      </c>
      <c r="I140" s="112" t="s">
        <v>38</v>
      </c>
      <c r="J140" s="201">
        <v>5196.6000000000004</v>
      </c>
      <c r="K140" s="110"/>
    </row>
    <row r="141" spans="1:11" x14ac:dyDescent="0.35">
      <c r="A141" s="585"/>
      <c r="B141" s="20" t="s">
        <v>262</v>
      </c>
      <c r="C141" s="112">
        <v>14764.413333333332</v>
      </c>
      <c r="D141" s="112">
        <v>12614</v>
      </c>
      <c r="E141" s="112" t="s">
        <v>38</v>
      </c>
      <c r="F141" s="112">
        <f>15725</f>
        <v>15725</v>
      </c>
      <c r="G141" s="112">
        <v>19275</v>
      </c>
      <c r="H141" s="113">
        <v>16027.320000000002</v>
      </c>
      <c r="I141" s="112" t="s">
        <v>38</v>
      </c>
      <c r="J141" s="201">
        <v>9504</v>
      </c>
      <c r="K141" s="110"/>
    </row>
    <row r="142" spans="1:11" x14ac:dyDescent="0.35">
      <c r="A142" s="585"/>
      <c r="B142" s="20" t="s">
        <v>263</v>
      </c>
      <c r="C142" s="112">
        <v>25593.143333333333</v>
      </c>
      <c r="D142" s="112">
        <v>19088.95</v>
      </c>
      <c r="E142" s="112" t="s">
        <v>38</v>
      </c>
      <c r="F142" s="112" t="s">
        <v>38</v>
      </c>
      <c r="G142" s="112" t="s">
        <v>38</v>
      </c>
      <c r="H142" s="112" t="s">
        <v>38</v>
      </c>
      <c r="I142" s="112" t="s">
        <v>38</v>
      </c>
      <c r="J142" s="201" t="s">
        <v>38</v>
      </c>
      <c r="K142" s="110"/>
    </row>
    <row r="143" spans="1:11" ht="15" thickBot="1" x14ac:dyDescent="0.4">
      <c r="A143" s="586"/>
      <c r="B143" s="117" t="s">
        <v>264</v>
      </c>
      <c r="C143" s="118" t="s">
        <v>38</v>
      </c>
      <c r="D143" s="118" t="s">
        <v>38</v>
      </c>
      <c r="E143" s="118" t="s">
        <v>38</v>
      </c>
      <c r="F143" s="118" t="s">
        <v>38</v>
      </c>
      <c r="G143" s="118">
        <v>28710</v>
      </c>
      <c r="H143" s="118" t="s">
        <v>38</v>
      </c>
      <c r="I143" s="118" t="s">
        <v>38</v>
      </c>
      <c r="J143" s="205" t="s">
        <v>38</v>
      </c>
      <c r="K143" s="110"/>
    </row>
  </sheetData>
  <sheetProtection algorithmName="SHA-512" hashValue="SIl+t6UtTKQOTwbmTbbcpPC+g7jVx0Qbyd0p5Rf7NMBV8XPqT7L5KBB41XyA0mKcZRx793VPn65XZc2BhcnX6A==" saltValue="wb+eB7a6zLeoEiTK2n4CVQ==" spinCount="100000" sheet="1" objects="1" scenarios="1"/>
  <mergeCells count="35">
    <mergeCell ref="A138:A143"/>
    <mergeCell ref="A105:A110"/>
    <mergeCell ref="A111:B112"/>
    <mergeCell ref="A114:A119"/>
    <mergeCell ref="A120:A125"/>
    <mergeCell ref="A126:A131"/>
    <mergeCell ref="A132:A137"/>
    <mergeCell ref="A99:A104"/>
    <mergeCell ref="A59:A64"/>
    <mergeCell ref="A65:A70"/>
    <mergeCell ref="A75:B75"/>
    <mergeCell ref="A76:B76"/>
    <mergeCell ref="A78:B78"/>
    <mergeCell ref="A79:B79"/>
    <mergeCell ref="A81:A86"/>
    <mergeCell ref="A87:A92"/>
    <mergeCell ref="A93:A98"/>
    <mergeCell ref="I76:J76"/>
    <mergeCell ref="A77:B77"/>
    <mergeCell ref="L6:L70"/>
    <mergeCell ref="A8:A13"/>
    <mergeCell ref="A14:A19"/>
    <mergeCell ref="A20:A25"/>
    <mergeCell ref="A26:A31"/>
    <mergeCell ref="A32:A37"/>
    <mergeCell ref="A38:B39"/>
    <mergeCell ref="A41:A46"/>
    <mergeCell ref="A47:A52"/>
    <mergeCell ref="A53:A58"/>
    <mergeCell ref="A6:B6"/>
    <mergeCell ref="A2:B2"/>
    <mergeCell ref="A3:B3"/>
    <mergeCell ref="I3:J3"/>
    <mergeCell ref="A4:B4"/>
    <mergeCell ref="A5:B5"/>
  </mergeCells>
  <conditionalFormatting sqref="C13">
    <cfRule type="top10" dxfId="1039" priority="1" bottom="1" rank="1"/>
    <cfRule type="top10" dxfId="1038" priority="2" bottom="1" rank="2"/>
  </conditionalFormatting>
  <conditionalFormatting sqref="C19">
    <cfRule type="top10" dxfId="1037" priority="9" bottom="1" rank="1"/>
    <cfRule type="top10" dxfId="1036" priority="10" bottom="1" rank="2"/>
  </conditionalFormatting>
  <conditionalFormatting sqref="C25">
    <cfRule type="top10" dxfId="1035" priority="7" bottom="1" rank="1"/>
    <cfRule type="top10" dxfId="1034" priority="8" bottom="1" rank="2"/>
  </conditionalFormatting>
  <conditionalFormatting sqref="C31">
    <cfRule type="top10" dxfId="1033" priority="5" bottom="1" rank="1"/>
    <cfRule type="top10" dxfId="1032" priority="6" bottom="1" rank="2"/>
  </conditionalFormatting>
  <conditionalFormatting sqref="C37">
    <cfRule type="top10" dxfId="1031" priority="3" bottom="1" rank="1"/>
    <cfRule type="top10" dxfId="1030" priority="4" bottom="1" rank="2"/>
  </conditionalFormatting>
  <conditionalFormatting sqref="C46">
    <cfRule type="top10" dxfId="1029" priority="11" bottom="1" rank="1"/>
    <cfRule type="top10" dxfId="1028" priority="12" bottom="1" rank="2"/>
  </conditionalFormatting>
  <conditionalFormatting sqref="C52">
    <cfRule type="top10" dxfId="1027" priority="13" bottom="1" rank="1"/>
    <cfRule type="top10" dxfId="1026" priority="14" bottom="1" rank="2"/>
  </conditionalFormatting>
  <conditionalFormatting sqref="C64">
    <cfRule type="top10" dxfId="1025" priority="15" bottom="1" rank="1"/>
    <cfRule type="top10" dxfId="1024" priority="16" bottom="1" rank="2"/>
  </conditionalFormatting>
  <conditionalFormatting sqref="C70">
    <cfRule type="top10" dxfId="1023" priority="17" bottom="1" rank="1"/>
    <cfRule type="top10" dxfId="1022" priority="18" bottom="1" rank="2"/>
  </conditionalFormatting>
  <conditionalFormatting sqref="C92">
    <cfRule type="top10" dxfId="1021" priority="35" bottom="1" rank="1"/>
    <cfRule type="top10" dxfId="1020" priority="36" bottom="1" rank="2"/>
  </conditionalFormatting>
  <conditionalFormatting sqref="C98">
    <cfRule type="top10" dxfId="1019" priority="34" bottom="1" rank="2"/>
    <cfRule type="top10" dxfId="1018" priority="33" bottom="1" rank="1"/>
  </conditionalFormatting>
  <conditionalFormatting sqref="C104">
    <cfRule type="top10" dxfId="1017" priority="32" bottom="1" rank="2"/>
    <cfRule type="top10" dxfId="1016" priority="31" bottom="1" rank="1"/>
  </conditionalFormatting>
  <conditionalFormatting sqref="C110">
    <cfRule type="top10" dxfId="1015" priority="30" bottom="1" rank="2"/>
    <cfRule type="top10" dxfId="1014" priority="29" bottom="1" rank="1"/>
  </conditionalFormatting>
  <conditionalFormatting sqref="C119">
    <cfRule type="top10" dxfId="1013" priority="27" bottom="1" rank="1"/>
    <cfRule type="top10" dxfId="1012" priority="28" bottom="1" rank="2"/>
  </conditionalFormatting>
  <conditionalFormatting sqref="C125">
    <cfRule type="top10" dxfId="1011" priority="25" bottom="1" rank="1"/>
    <cfRule type="top10" dxfId="1010" priority="26" bottom="1" rank="2"/>
  </conditionalFormatting>
  <conditionalFormatting sqref="C131">
    <cfRule type="top10" dxfId="1009" priority="24" bottom="1" rank="2"/>
    <cfRule type="top10" dxfId="1008" priority="23" bottom="1" rank="1"/>
  </conditionalFormatting>
  <conditionalFormatting sqref="C137">
    <cfRule type="top10" dxfId="1007" priority="22" bottom="1" rank="2"/>
    <cfRule type="top10" dxfId="1006" priority="21" bottom="1" rank="1"/>
  </conditionalFormatting>
  <conditionalFormatting sqref="C143">
    <cfRule type="top10" dxfId="1005" priority="20" bottom="1" rank="2"/>
    <cfRule type="top10" dxfId="1004" priority="19" bottom="1" rank="1"/>
  </conditionalFormatting>
  <conditionalFormatting sqref="C38:D38 J38 C40:D40 J40 C111:D111 J111 D113 C113:C118 J113:J143 G114:H116 D114:E143 G117 G118:H122 C120:C124 G123 G124:H128 C126:C130 G129 G130:H143 C132:C136 C138:C142">
    <cfRule type="expression" dxfId="1003" priority="242">
      <formula>RANK(C38,$C38:$J38,1)=1</formula>
    </cfRule>
    <cfRule type="expression" dxfId="1002" priority="241">
      <formula>RANK(C38,$C38:$J38,1)=2</formula>
    </cfRule>
  </conditionalFormatting>
  <conditionalFormatting sqref="F8:F37 F41:F70 F81:F110 F114:F143">
    <cfRule type="expression" dxfId="1001" priority="244">
      <formula>RANK(F8,$C8:$K8,1)=1</formula>
    </cfRule>
    <cfRule type="expression" dxfId="1000" priority="243">
      <formula>RANK(F8,$C8:$K8,1)=2</formula>
    </cfRule>
  </conditionalFormatting>
  <conditionalFormatting sqref="G12:J12 C12:E12">
    <cfRule type="top10" dxfId="999" priority="70" bottom="1" rank="2"/>
    <cfRule type="top10" dxfId="998" priority="69" bottom="1" rank="1"/>
  </conditionalFormatting>
  <conditionalFormatting sqref="G13:J13 D13:E13">
    <cfRule type="top10" dxfId="997" priority="72" bottom="1" rank="2"/>
    <cfRule type="top10" dxfId="996" priority="71" bottom="1" rank="1"/>
  </conditionalFormatting>
  <conditionalFormatting sqref="G14:J14 C14:E14">
    <cfRule type="top10" dxfId="995" priority="74" bottom="1" rank="2"/>
    <cfRule type="top10" dxfId="994" priority="73" bottom="1" rank="1"/>
  </conditionalFormatting>
  <conditionalFormatting sqref="G15:J15 C15:E15">
    <cfRule type="top10" dxfId="993" priority="75" bottom="1" rank="1"/>
    <cfRule type="top10" dxfId="992" priority="76" bottom="1" rank="2"/>
  </conditionalFormatting>
  <conditionalFormatting sqref="G16:J16 C16:E16">
    <cfRule type="top10" dxfId="991" priority="77" bottom="1" rank="1"/>
    <cfRule type="top10" dxfId="990" priority="78" bottom="1" rank="2"/>
  </conditionalFormatting>
  <conditionalFormatting sqref="G18:J18 C18:E18">
    <cfRule type="top10" dxfId="989" priority="81" bottom="1" rank="1"/>
    <cfRule type="top10" dxfId="988" priority="82" bottom="1" rank="2"/>
  </conditionalFormatting>
  <conditionalFormatting sqref="G19:J19 D19:E19">
    <cfRule type="top10" dxfId="987" priority="83" bottom="1" rank="1"/>
    <cfRule type="top10" dxfId="986" priority="84" bottom="1" rank="2"/>
  </conditionalFormatting>
  <conditionalFormatting sqref="G20:J20 C20:E20">
    <cfRule type="top10" dxfId="985" priority="85" bottom="1" rank="1"/>
    <cfRule type="top10" dxfId="984" priority="86" bottom="1" rank="2"/>
  </conditionalFormatting>
  <conditionalFormatting sqref="G21:J21 C21:E21">
    <cfRule type="top10" dxfId="983" priority="87" bottom="1" rank="1"/>
    <cfRule type="top10" dxfId="982" priority="88" bottom="1" rank="2"/>
  </conditionalFormatting>
  <conditionalFormatting sqref="G22:J22 C22:E22">
    <cfRule type="top10" dxfId="981" priority="90" bottom="1" rank="2"/>
    <cfRule type="top10" dxfId="980" priority="89" bottom="1" rank="1"/>
  </conditionalFormatting>
  <conditionalFormatting sqref="G24:J24 C24:E24">
    <cfRule type="top10" dxfId="979" priority="94" bottom="1" rank="2"/>
    <cfRule type="top10" dxfId="978" priority="93" bottom="1" rank="1"/>
  </conditionalFormatting>
  <conditionalFormatting sqref="G25:J25 D25:E25">
    <cfRule type="top10" dxfId="977" priority="96" bottom="1" rank="2"/>
    <cfRule type="top10" dxfId="976" priority="95" bottom="1" rank="1"/>
  </conditionalFormatting>
  <conditionalFormatting sqref="G26:J26 C26:E26">
    <cfRule type="top10" dxfId="975" priority="98" bottom="1" rank="2"/>
    <cfRule type="top10" dxfId="974" priority="97" bottom="1" rank="1"/>
  </conditionalFormatting>
  <conditionalFormatting sqref="G27:J27 C27:E27">
    <cfRule type="top10" dxfId="973" priority="99" bottom="1" rank="1"/>
    <cfRule type="top10" dxfId="972" priority="100" bottom="1" rank="2"/>
  </conditionalFormatting>
  <conditionalFormatting sqref="G28:J28 C28:E28">
    <cfRule type="top10" dxfId="971" priority="101" bottom="1" rank="1"/>
    <cfRule type="top10" dxfId="970" priority="102" bottom="1" rank="2"/>
  </conditionalFormatting>
  <conditionalFormatting sqref="G29:J29 C29:E29">
    <cfRule type="top10" dxfId="969" priority="103" bottom="1" rank="1"/>
    <cfRule type="top10" dxfId="968" priority="104" bottom="1" rank="2"/>
  </conditionalFormatting>
  <conditionalFormatting sqref="G30:J30 C30:E30">
    <cfRule type="top10" dxfId="967" priority="105" bottom="1" rank="1"/>
    <cfRule type="top10" dxfId="966" priority="106" bottom="1" rank="2"/>
  </conditionalFormatting>
  <conditionalFormatting sqref="G31:J31 D31:E31">
    <cfRule type="top10" dxfId="965" priority="107" bottom="1" rank="1"/>
    <cfRule type="top10" dxfId="964" priority="108" bottom="1" rank="2"/>
  </conditionalFormatting>
  <conditionalFormatting sqref="G32:J32 C32:E32">
    <cfRule type="top10" dxfId="963" priority="109" bottom="1" rank="1"/>
    <cfRule type="top10" dxfId="962" priority="110" bottom="1" rank="2"/>
  </conditionalFormatting>
  <conditionalFormatting sqref="G33:J33 C33:E33">
    <cfRule type="top10" dxfId="961" priority="111" bottom="1" rank="1"/>
    <cfRule type="top10" dxfId="960" priority="112" bottom="1" rank="2"/>
  </conditionalFormatting>
  <conditionalFormatting sqref="G34:J34 C34:E34">
    <cfRule type="top10" dxfId="959" priority="113" bottom="1" rank="1"/>
    <cfRule type="top10" dxfId="958" priority="114" bottom="1" rank="2"/>
  </conditionalFormatting>
  <conditionalFormatting sqref="G35:J35 C35:E35">
    <cfRule type="top10" dxfId="957" priority="115" bottom="1" rank="1"/>
    <cfRule type="top10" dxfId="956" priority="116" bottom="1" rank="2"/>
  </conditionalFormatting>
  <conditionalFormatting sqref="G36:J36 C36:E36">
    <cfRule type="top10" dxfId="955" priority="117" bottom="1" rank="1"/>
    <cfRule type="top10" dxfId="954" priority="118" bottom="1" rank="2"/>
  </conditionalFormatting>
  <conditionalFormatting sqref="G37:J37 D37:E37">
    <cfRule type="top10" dxfId="953" priority="119" bottom="1" rank="1"/>
    <cfRule type="top10" dxfId="952" priority="120" bottom="1" rank="2"/>
  </conditionalFormatting>
  <conditionalFormatting sqref="G41:J41 C41:E41">
    <cfRule type="top10" dxfId="951" priority="121" bottom="1" rank="1"/>
    <cfRule type="top10" dxfId="950" priority="122" bottom="1" rank="2"/>
  </conditionalFormatting>
  <conditionalFormatting sqref="G42:J42 C42:E42">
    <cfRule type="top10" dxfId="949" priority="123" bottom="1" rank="1"/>
    <cfRule type="top10" dxfId="948" priority="124" bottom="1" rank="2"/>
  </conditionalFormatting>
  <conditionalFormatting sqref="G43:J43 C43:E43">
    <cfRule type="top10" dxfId="947" priority="126" bottom="1" rank="2"/>
    <cfRule type="top10" dxfId="946" priority="125" bottom="1" rank="1"/>
  </conditionalFormatting>
  <conditionalFormatting sqref="G45:J45 C45:E45">
    <cfRule type="top10" dxfId="945" priority="130" bottom="1" rank="2"/>
    <cfRule type="top10" dxfId="944" priority="129" bottom="1" rank="1"/>
  </conditionalFormatting>
  <conditionalFormatting sqref="G46:J46 D46:E46">
    <cfRule type="top10" dxfId="943" priority="131" bottom="1" rank="1"/>
    <cfRule type="top10" dxfId="942" priority="132" bottom="1" rank="2"/>
  </conditionalFormatting>
  <conditionalFormatting sqref="G47:J47 C47:E47">
    <cfRule type="top10" dxfId="941" priority="134" bottom="1" rank="2"/>
    <cfRule type="top10" dxfId="940" priority="133" bottom="1" rank="1"/>
  </conditionalFormatting>
  <conditionalFormatting sqref="G48:J48 C48:E48">
    <cfRule type="top10" dxfId="939" priority="135" bottom="1" rank="1"/>
    <cfRule type="top10" dxfId="938" priority="136" bottom="1" rank="2"/>
  </conditionalFormatting>
  <conditionalFormatting sqref="G49:J49 C49:E49">
    <cfRule type="top10" dxfId="937" priority="137" bottom="1" rank="1"/>
    <cfRule type="top10" dxfId="936" priority="138" bottom="1" rank="2"/>
  </conditionalFormatting>
  <conditionalFormatting sqref="G51:J51 C51:E51">
    <cfRule type="top10" dxfId="935" priority="142" bottom="1" rank="2"/>
    <cfRule type="top10" dxfId="934" priority="141" bottom="1" rank="1"/>
  </conditionalFormatting>
  <conditionalFormatting sqref="G52:J52 D52:E52">
    <cfRule type="top10" dxfId="933" priority="144" bottom="1" rank="2"/>
    <cfRule type="top10" dxfId="932" priority="143" bottom="1" rank="1"/>
  </conditionalFormatting>
  <conditionalFormatting sqref="G53:J53 C53:E53">
    <cfRule type="top10" dxfId="931" priority="146" bottom="1" rank="2"/>
    <cfRule type="top10" dxfId="930" priority="145" bottom="1" rank="1"/>
  </conditionalFormatting>
  <conditionalFormatting sqref="G54:J54 C54:E54">
    <cfRule type="top10" dxfId="929" priority="148" bottom="1" rank="2"/>
    <cfRule type="top10" dxfId="928" priority="147" bottom="1" rank="1"/>
  </conditionalFormatting>
  <conditionalFormatting sqref="G55:J55 C55:E55">
    <cfRule type="top10" dxfId="927" priority="150" bottom="1" rank="2"/>
    <cfRule type="top10" dxfId="926" priority="149" bottom="1" rank="1"/>
  </conditionalFormatting>
  <conditionalFormatting sqref="G57:J57 C57:E57">
    <cfRule type="top10" dxfId="925" priority="154" bottom="1" rank="2"/>
    <cfRule type="top10" dxfId="924" priority="153" bottom="1" rank="1"/>
  </conditionalFormatting>
  <conditionalFormatting sqref="G58:J58 C58:E58">
    <cfRule type="top10" dxfId="923" priority="156" bottom="1" rank="2"/>
    <cfRule type="top10" dxfId="922" priority="155" bottom="1" rank="1"/>
  </conditionalFormatting>
  <conditionalFormatting sqref="G59:J59 C59:E59">
    <cfRule type="top10" dxfId="921" priority="158" bottom="1" rank="2"/>
    <cfRule type="top10" dxfId="920" priority="157" bottom="1" rank="1"/>
  </conditionalFormatting>
  <conditionalFormatting sqref="G60:J60 C60:E60">
    <cfRule type="top10" dxfId="919" priority="159" bottom="1" rank="1"/>
    <cfRule type="top10" dxfId="918" priority="160" bottom="1" rank="2"/>
  </conditionalFormatting>
  <conditionalFormatting sqref="G61:J61 C61:E61">
    <cfRule type="top10" dxfId="917" priority="161" bottom="1" rank="1"/>
    <cfRule type="top10" dxfId="916" priority="162" bottom="1" rank="2"/>
  </conditionalFormatting>
  <conditionalFormatting sqref="G62:J62 C62:E62">
    <cfRule type="top10" dxfId="915" priority="163" bottom="1" rank="1"/>
    <cfRule type="top10" dxfId="914" priority="164" bottom="1" rank="2"/>
  </conditionalFormatting>
  <conditionalFormatting sqref="G63:J63 C63:E63">
    <cfRule type="top10" dxfId="913" priority="165" bottom="1" rank="1"/>
    <cfRule type="top10" dxfId="912" priority="166" bottom="1" rank="2"/>
  </conditionalFormatting>
  <conditionalFormatting sqref="G64:J64 D64:E64">
    <cfRule type="top10" dxfId="911" priority="167" bottom="1" rank="1"/>
    <cfRule type="top10" dxfId="910" priority="168" bottom="1" rank="2"/>
  </conditionalFormatting>
  <conditionalFormatting sqref="G65:J65 C65:E65">
    <cfRule type="top10" dxfId="909" priority="170" bottom="1" rank="2"/>
    <cfRule type="top10" dxfId="908" priority="169" bottom="1" rank="1"/>
  </conditionalFormatting>
  <conditionalFormatting sqref="G66:J66 C66:E66">
    <cfRule type="top10" dxfId="907" priority="171" bottom="1" rank="1"/>
    <cfRule type="top10" dxfId="906" priority="172" bottom="1" rank="2"/>
  </conditionalFormatting>
  <conditionalFormatting sqref="G67:J67 C67:E67">
    <cfRule type="top10" dxfId="905" priority="173" bottom="1" rank="1"/>
    <cfRule type="top10" dxfId="904" priority="174" bottom="1" rank="2"/>
  </conditionalFormatting>
  <conditionalFormatting sqref="G68:J68 C68:E68">
    <cfRule type="top10" dxfId="903" priority="175" bottom="1" rank="1"/>
    <cfRule type="top10" dxfId="902" priority="176" bottom="1" rank="2"/>
  </conditionalFormatting>
  <conditionalFormatting sqref="G69:J69 C69:E69">
    <cfRule type="top10" dxfId="901" priority="178" bottom="1" rank="2"/>
    <cfRule type="top10" dxfId="900" priority="177" bottom="1" rank="1"/>
  </conditionalFormatting>
  <conditionalFormatting sqref="G70:J70 D70:E70">
    <cfRule type="top10" dxfId="899" priority="180" bottom="1" rank="2"/>
    <cfRule type="top10" dxfId="898" priority="179" bottom="1" rank="1"/>
  </conditionalFormatting>
  <conditionalFormatting sqref="G81:J81 C81:E81">
    <cfRule type="top10" dxfId="897" priority="182" bottom="1" rank="2"/>
    <cfRule type="top10" dxfId="896" priority="181" bottom="1" rank="1"/>
  </conditionalFormatting>
  <conditionalFormatting sqref="G82:J82 C82:E82">
    <cfRule type="top10" dxfId="895" priority="183" bottom="1" rank="1"/>
    <cfRule type="top10" dxfId="894" priority="184" bottom="1" rank="2"/>
  </conditionalFormatting>
  <conditionalFormatting sqref="G83:J83 C83:E83">
    <cfRule type="top10" dxfId="893" priority="185" bottom="1" rank="1"/>
    <cfRule type="top10" dxfId="892" priority="186" bottom="1" rank="2"/>
  </conditionalFormatting>
  <conditionalFormatting sqref="G85:J85 C85:E85">
    <cfRule type="top10" dxfId="891" priority="190" bottom="1" rank="2"/>
    <cfRule type="top10" dxfId="890" priority="189" bottom="1" rank="1"/>
  </conditionalFormatting>
  <conditionalFormatting sqref="G86:J86 C86:E86">
    <cfRule type="top10" dxfId="889" priority="192" bottom="1" rank="2"/>
    <cfRule type="top10" dxfId="888" priority="191" bottom="1" rank="1"/>
  </conditionalFormatting>
  <conditionalFormatting sqref="G87:J87 C87:E87">
    <cfRule type="top10" dxfId="887" priority="194" bottom="1" rank="2"/>
    <cfRule type="top10" dxfId="886" priority="193" bottom="1" rank="1"/>
  </conditionalFormatting>
  <conditionalFormatting sqref="G88:J88 C88:E88">
    <cfRule type="top10" dxfId="885" priority="196" bottom="1" rank="2"/>
    <cfRule type="top10" dxfId="884" priority="195" bottom="1" rank="1"/>
  </conditionalFormatting>
  <conditionalFormatting sqref="G89:J89 C89:E89">
    <cfRule type="top10" dxfId="883" priority="197" bottom="1" rank="1"/>
    <cfRule type="top10" dxfId="882" priority="198" bottom="1" rank="2"/>
  </conditionalFormatting>
  <conditionalFormatting sqref="G91:J91 C91:E91">
    <cfRule type="top10" dxfId="881" priority="202" bottom="1" rank="2"/>
    <cfRule type="top10" dxfId="880" priority="201" bottom="1" rank="1"/>
  </conditionalFormatting>
  <conditionalFormatting sqref="G92:J92 D92:E92">
    <cfRule type="top10" dxfId="879" priority="203" bottom="1" rank="1"/>
    <cfRule type="top10" dxfId="878" priority="204" bottom="1" rank="2"/>
  </conditionalFormatting>
  <conditionalFormatting sqref="G93:J93 C93:E93">
    <cfRule type="top10" dxfId="877" priority="205" bottom="1" rank="1"/>
    <cfRule type="top10" dxfId="876" priority="206" bottom="1" rank="2"/>
  </conditionalFormatting>
  <conditionalFormatting sqref="G94:J94 C94:E94">
    <cfRule type="top10" dxfId="875" priority="207" bottom="1" rank="1"/>
    <cfRule type="top10" dxfId="874" priority="208" bottom="1" rank="2"/>
  </conditionalFormatting>
  <conditionalFormatting sqref="G95:J95 C95:E95">
    <cfRule type="top10" dxfId="873" priority="209" bottom="1" rank="1"/>
    <cfRule type="top10" dxfId="872" priority="210" bottom="1" rank="2"/>
  </conditionalFormatting>
  <conditionalFormatting sqref="G97:J97 C97:E97">
    <cfRule type="top10" dxfId="871" priority="213" bottom="1" rank="1"/>
    <cfRule type="top10" dxfId="870" priority="214" bottom="1" rank="2"/>
  </conditionalFormatting>
  <conditionalFormatting sqref="G98:J98 D98:E98">
    <cfRule type="top10" dxfId="869" priority="215" bottom="1" rank="1"/>
    <cfRule type="top10" dxfId="868" priority="216" bottom="1" rank="2"/>
  </conditionalFormatting>
  <conditionalFormatting sqref="G99:J99 C99:E99">
    <cfRule type="top10" dxfId="867" priority="217" bottom="1" rank="1"/>
    <cfRule type="top10" dxfId="866" priority="218" bottom="1" rank="2"/>
  </conditionalFormatting>
  <conditionalFormatting sqref="G100:J100 C100:E100">
    <cfRule type="top10" dxfId="865" priority="219" bottom="1" rank="1"/>
    <cfRule type="top10" dxfId="864" priority="220" bottom="1" rank="2"/>
  </conditionalFormatting>
  <conditionalFormatting sqref="G101:J101 C101:E101">
    <cfRule type="top10" dxfId="863" priority="221" bottom="1" rank="1"/>
    <cfRule type="top10" dxfId="862" priority="222" bottom="1" rank="2"/>
  </conditionalFormatting>
  <conditionalFormatting sqref="G102:J102 C102:E102">
    <cfRule type="top10" dxfId="861" priority="223" bottom="1" rank="1"/>
    <cfRule type="top10" dxfId="860" priority="224" bottom="1" rank="2"/>
  </conditionalFormatting>
  <conditionalFormatting sqref="G103:J103 C103:E103">
    <cfRule type="top10" dxfId="859" priority="225" bottom="1" rank="1"/>
    <cfRule type="top10" dxfId="858" priority="226" bottom="1" rank="2"/>
  </conditionalFormatting>
  <conditionalFormatting sqref="G104:J104 D104:E104">
    <cfRule type="top10" dxfId="857" priority="227" bottom="1" rank="1"/>
    <cfRule type="top10" dxfId="856" priority="228" bottom="1" rank="2"/>
  </conditionalFormatting>
  <conditionalFormatting sqref="G105:J105 C105:E105">
    <cfRule type="top10" dxfId="855" priority="230" bottom="1" rank="2"/>
    <cfRule type="top10" dxfId="854" priority="229" bottom="1" rank="1"/>
  </conditionalFormatting>
  <conditionalFormatting sqref="G106:J106 C106:E106">
    <cfRule type="top10" dxfId="853" priority="232" bottom="1" rank="2"/>
    <cfRule type="top10" dxfId="852" priority="231" bottom="1" rank="1"/>
  </conditionalFormatting>
  <conditionalFormatting sqref="G107:J107 C107:E107">
    <cfRule type="top10" dxfId="851" priority="234" bottom="1" rank="2"/>
    <cfRule type="top10" dxfId="850" priority="233" bottom="1" rank="1"/>
  </conditionalFormatting>
  <conditionalFormatting sqref="G108:J108 C108:E108">
    <cfRule type="top10" dxfId="849" priority="236" bottom="1" rank="2"/>
    <cfRule type="top10" dxfId="848" priority="235" bottom="1" rank="1"/>
  </conditionalFormatting>
  <conditionalFormatting sqref="G109:J109 C109:E109">
    <cfRule type="top10" dxfId="847" priority="238" bottom="1" rank="2"/>
    <cfRule type="top10" dxfId="846" priority="237" bottom="1" rank="1"/>
  </conditionalFormatting>
  <conditionalFormatting sqref="G110:J110 D110:E110">
    <cfRule type="top10" dxfId="845" priority="239" bottom="1" rank="1"/>
    <cfRule type="top10" dxfId="844" priority="240" bottom="1" rank="2"/>
  </conditionalFormatting>
  <conditionalFormatting sqref="H8:H10 K8:K70 K81:K143">
    <cfRule type="expression" dxfId="843" priority="245">
      <formula>RANK(H8,$C8:$J8,1)=1</formula>
    </cfRule>
  </conditionalFormatting>
  <conditionalFormatting sqref="H11">
    <cfRule type="top10" dxfId="842" priority="60" bottom="1" rank="2"/>
    <cfRule type="top10" dxfId="841" priority="59" bottom="1" rank="1"/>
  </conditionalFormatting>
  <conditionalFormatting sqref="H17">
    <cfRule type="top10" dxfId="840" priority="58" bottom="1" rank="2"/>
    <cfRule type="top10" dxfId="839" priority="57" bottom="1" rank="1"/>
  </conditionalFormatting>
  <conditionalFormatting sqref="H23">
    <cfRule type="top10" dxfId="838" priority="55" bottom="1" rank="1"/>
    <cfRule type="top10" dxfId="837" priority="56" bottom="1" rank="2"/>
  </conditionalFormatting>
  <conditionalFormatting sqref="H44">
    <cfRule type="top10" dxfId="836" priority="54" bottom="1" rank="2"/>
    <cfRule type="top10" dxfId="835" priority="53" bottom="1" rank="1"/>
  </conditionalFormatting>
  <conditionalFormatting sqref="H50">
    <cfRule type="top10" dxfId="834" priority="52" bottom="1" rank="2"/>
    <cfRule type="top10" dxfId="833" priority="51" bottom="1" rank="1"/>
  </conditionalFormatting>
  <conditionalFormatting sqref="H56">
    <cfRule type="top10" dxfId="832" priority="50" bottom="1" rank="2"/>
    <cfRule type="top10" dxfId="831" priority="49" bottom="1" rank="1"/>
  </conditionalFormatting>
  <conditionalFormatting sqref="H84">
    <cfRule type="top10" dxfId="830" priority="48" bottom="1" rank="2"/>
    <cfRule type="top10" dxfId="829" priority="47" bottom="1" rank="1"/>
  </conditionalFormatting>
  <conditionalFormatting sqref="H90">
    <cfRule type="top10" dxfId="828" priority="46" bottom="1" rank="2"/>
    <cfRule type="top10" dxfId="827" priority="45" bottom="1" rank="1"/>
  </conditionalFormatting>
  <conditionalFormatting sqref="H96">
    <cfRule type="top10" dxfId="826" priority="43" bottom="1" rank="1"/>
    <cfRule type="top10" dxfId="825" priority="44" bottom="1" rank="2"/>
  </conditionalFormatting>
  <conditionalFormatting sqref="H117">
    <cfRule type="top10" dxfId="824" priority="41" bottom="1" rank="1"/>
    <cfRule type="top10" dxfId="823" priority="42" bottom="1" rank="2"/>
  </conditionalFormatting>
  <conditionalFormatting sqref="H123">
    <cfRule type="top10" dxfId="822" priority="40" bottom="1" rank="2"/>
    <cfRule type="top10" dxfId="821" priority="39" bottom="1" rank="1"/>
  </conditionalFormatting>
  <conditionalFormatting sqref="H129">
    <cfRule type="top10" dxfId="820" priority="38" bottom="1" rank="2"/>
    <cfRule type="top10" dxfId="819" priority="37" bottom="1" rank="1"/>
  </conditionalFormatting>
  <conditionalFormatting sqref="I8:J8 G8 C8:E8">
    <cfRule type="top10" dxfId="818" priority="66" bottom="1" rank="2"/>
    <cfRule type="top10" dxfId="817" priority="65" bottom="1" rank="1"/>
  </conditionalFormatting>
  <conditionalFormatting sqref="I9:J9 G9 C9:E9">
    <cfRule type="top10" dxfId="816" priority="63" bottom="1" rank="1"/>
    <cfRule type="top10" dxfId="815" priority="64" bottom="1" rank="2"/>
  </conditionalFormatting>
  <conditionalFormatting sqref="I10:J10 G10 C10:E10">
    <cfRule type="top10" dxfId="814" priority="61" bottom="1" rank="1"/>
    <cfRule type="top10" dxfId="813" priority="62" bottom="1" rank="2"/>
  </conditionalFormatting>
  <conditionalFormatting sqref="I11:J11 G11 C11:E11">
    <cfRule type="top10" dxfId="812" priority="68" bottom="1" rank="2"/>
    <cfRule type="top10" dxfId="811" priority="67" bottom="1" rank="1"/>
  </conditionalFormatting>
  <conditionalFormatting sqref="I17:J17 G17 C17:E17">
    <cfRule type="top10" dxfId="810" priority="80" bottom="1" rank="2"/>
    <cfRule type="top10" dxfId="809" priority="79" bottom="1" rank="1"/>
  </conditionalFormatting>
  <conditionalFormatting sqref="I23:J23 G23 C23:E23">
    <cfRule type="top10" dxfId="808" priority="91" bottom="1" rank="1"/>
    <cfRule type="top10" dxfId="807" priority="92" bottom="1" rank="2"/>
  </conditionalFormatting>
  <conditionalFormatting sqref="I44:J44 G44 C44:E44">
    <cfRule type="top10" dxfId="806" priority="127" bottom="1" rank="1"/>
    <cfRule type="top10" dxfId="805" priority="128" bottom="1" rank="2"/>
  </conditionalFormatting>
  <conditionalFormatting sqref="I50:J50 G50 C50:E50">
    <cfRule type="top10" dxfId="804" priority="139" bottom="1" rank="1"/>
    <cfRule type="top10" dxfId="803" priority="140" bottom="1" rank="2"/>
  </conditionalFormatting>
  <conditionalFormatting sqref="I56:J56 G56 C56:E56">
    <cfRule type="top10" dxfId="802" priority="151" bottom="1" rank="1"/>
    <cfRule type="top10" dxfId="801" priority="152" bottom="1" rank="2"/>
  </conditionalFormatting>
  <conditionalFormatting sqref="I84:J84 G84 C84:E84">
    <cfRule type="top10" dxfId="800" priority="188" bottom="1" rank="2"/>
    <cfRule type="top10" dxfId="799" priority="187" bottom="1" rank="1"/>
  </conditionalFormatting>
  <conditionalFormatting sqref="I90:J90 G90 C90:E90">
    <cfRule type="top10" dxfId="798" priority="199" bottom="1" rank="1"/>
    <cfRule type="top10" dxfId="797" priority="200" bottom="1" rank="2"/>
  </conditionalFormatting>
  <conditionalFormatting sqref="I96:J96 G96 C96:E96">
    <cfRule type="top10" dxfId="796" priority="212" bottom="1" rank="2"/>
    <cfRule type="top10" dxfId="795" priority="211" bottom="1" rank="1"/>
  </conditionalFormatting>
  <conditionalFormatting sqref="K8:K70">
    <cfRule type="expression" dxfId="794" priority="246">
      <formula>RANK(K8,$C8:$J8,1)=2</formula>
    </cfRule>
  </conditionalFormatting>
  <printOptions horizontalCentered="1" verticalCentered="1"/>
  <pageMargins left="0" right="0" top="0" bottom="0" header="0" footer="0"/>
  <pageSetup paperSize="9" scale="35" orientation="portrait" r:id="rId1"/>
  <headerFooter>
    <oddFooter>&amp;L_x000D_&amp;1#&amp;"Calibri"&amp;8&amp;K008000 Public</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FD93-5BA8-4589-89C2-1F5AF2AE6C60}">
  <sheetPr codeName="Sheet11">
    <pageSetUpPr fitToPage="1"/>
  </sheetPr>
  <dimension ref="A1:O127"/>
  <sheetViews>
    <sheetView showGridLines="0" topLeftCell="A2" zoomScale="75" zoomScaleNormal="75" zoomScaleSheetLayoutView="100" workbookViewId="0">
      <selection activeCell="E95" sqref="E95"/>
    </sheetView>
  </sheetViews>
  <sheetFormatPr defaultColWidth="22.54296875" defaultRowHeight="14.5" x14ac:dyDescent="0.35"/>
  <cols>
    <col min="1" max="1" width="13.453125" style="157" customWidth="1"/>
    <col min="2" max="2" width="18.6328125" style="158" customWidth="1"/>
    <col min="3" max="3" width="24.08984375" style="124" customWidth="1"/>
    <col min="4" max="4" width="24.08984375" style="124" hidden="1" customWidth="1"/>
    <col min="5" max="5" width="22.6328125" style="124" customWidth="1"/>
    <col min="6" max="6" width="22.6328125" style="124" hidden="1" customWidth="1"/>
    <col min="7" max="7" width="22.6328125" style="124" customWidth="1"/>
    <col min="8" max="8" width="22.6328125" style="124" hidden="1" customWidth="1"/>
    <col min="9" max="9" width="22.6328125" style="124" customWidth="1"/>
    <col min="10" max="10" width="22.6328125" style="124" hidden="1" customWidth="1"/>
    <col min="11" max="11" width="18.6328125" style="124" customWidth="1"/>
    <col min="12" max="12" width="57.453125" customWidth="1"/>
    <col min="13" max="16384" width="22.54296875" style="124"/>
  </cols>
  <sheetData>
    <row r="1" spans="1:12" ht="21" hidden="1" customHeight="1" x14ac:dyDescent="0.35">
      <c r="A1" s="122"/>
      <c r="B1" s="122"/>
      <c r="C1" s="440" t="s">
        <v>389</v>
      </c>
      <c r="D1" s="441" t="s">
        <v>388</v>
      </c>
      <c r="E1" s="442"/>
      <c r="F1" s="441" t="s">
        <v>375</v>
      </c>
      <c r="G1" s="440" t="s">
        <v>389</v>
      </c>
      <c r="H1" s="441" t="s">
        <v>388</v>
      </c>
      <c r="I1" s="442"/>
      <c r="J1" s="441" t="s">
        <v>375</v>
      </c>
    </row>
    <row r="2" spans="1:12" ht="15.5" x14ac:dyDescent="0.35">
      <c r="A2" s="284" t="s">
        <v>127</v>
      </c>
      <c r="B2" s="284"/>
      <c r="C2" s="125"/>
      <c r="D2" s="125"/>
      <c r="E2" s="46"/>
      <c r="F2" s="46"/>
      <c r="G2" s="97"/>
      <c r="H2" s="97"/>
      <c r="I2" s="46" t="s">
        <v>128</v>
      </c>
      <c r="J2" s="46"/>
      <c r="K2" s="46"/>
    </row>
    <row r="3" spans="1:12" ht="15.5" x14ac:dyDescent="0.35">
      <c r="A3" s="590" t="s">
        <v>129</v>
      </c>
      <c r="B3" s="590"/>
      <c r="C3" s="99">
        <v>1000000</v>
      </c>
      <c r="D3" s="99">
        <v>1000000</v>
      </c>
      <c r="E3" s="46"/>
      <c r="F3" s="46"/>
      <c r="G3" s="46"/>
      <c r="H3" s="46"/>
      <c r="I3" s="46"/>
      <c r="J3" s="46"/>
    </row>
    <row r="4" spans="1:12" ht="16" thickBot="1" x14ac:dyDescent="0.4">
      <c r="A4" s="591" t="s">
        <v>364</v>
      </c>
      <c r="B4" s="591"/>
      <c r="C4" s="127"/>
      <c r="D4" s="127"/>
      <c r="E4" s="127"/>
      <c r="F4" s="127"/>
      <c r="G4" s="127"/>
      <c r="H4" s="127"/>
      <c r="I4" s="127"/>
      <c r="J4" s="127"/>
    </row>
    <row r="5" spans="1:12" ht="16" thickBot="1" x14ac:dyDescent="0.4">
      <c r="A5" s="606"/>
      <c r="B5" s="606"/>
      <c r="C5" s="602" t="s">
        <v>368</v>
      </c>
      <c r="D5" s="603"/>
      <c r="E5" s="603"/>
      <c r="F5" s="632"/>
      <c r="G5" s="633" t="s">
        <v>369</v>
      </c>
      <c r="H5" s="633"/>
      <c r="I5" s="633"/>
      <c r="J5" s="634"/>
    </row>
    <row r="6" spans="1:12" s="35" customFormat="1" ht="44" thickBot="1" x14ac:dyDescent="0.4">
      <c r="A6" s="592"/>
      <c r="B6" s="615"/>
      <c r="C6" s="128" t="s">
        <v>361</v>
      </c>
      <c r="D6" s="128" t="s">
        <v>361</v>
      </c>
      <c r="E6" s="128" t="s">
        <v>354</v>
      </c>
      <c r="F6" s="128" t="s">
        <v>354</v>
      </c>
      <c r="G6" s="365" t="s">
        <v>361</v>
      </c>
      <c r="H6" s="365" t="s">
        <v>361</v>
      </c>
      <c r="I6" s="365" t="s">
        <v>354</v>
      </c>
      <c r="J6" s="285" t="s">
        <v>354</v>
      </c>
      <c r="L6" s="459" t="s">
        <v>131</v>
      </c>
    </row>
    <row r="7" spans="1:12" ht="14.5" customHeight="1" x14ac:dyDescent="0.35">
      <c r="A7" s="594" t="s">
        <v>213</v>
      </c>
      <c r="B7" s="613"/>
      <c r="C7" s="130" t="s">
        <v>365</v>
      </c>
      <c r="D7" s="130" t="s">
        <v>365</v>
      </c>
      <c r="E7" s="130" t="s">
        <v>352</v>
      </c>
      <c r="F7" s="130" t="s">
        <v>352</v>
      </c>
      <c r="G7" s="362" t="s">
        <v>365</v>
      </c>
      <c r="H7" s="362" t="s">
        <v>365</v>
      </c>
      <c r="I7" s="362" t="s">
        <v>352</v>
      </c>
      <c r="J7" s="286" t="s">
        <v>352</v>
      </c>
      <c r="L7" s="529" t="s">
        <v>409</v>
      </c>
    </row>
    <row r="8" spans="1:12" x14ac:dyDescent="0.35">
      <c r="A8" s="393" t="s">
        <v>176</v>
      </c>
      <c r="B8" s="394" t="s">
        <v>281</v>
      </c>
      <c r="C8" s="337" t="s">
        <v>141</v>
      </c>
      <c r="D8" s="337" t="s">
        <v>141</v>
      </c>
      <c r="E8" s="337" t="s">
        <v>141</v>
      </c>
      <c r="F8" s="337" t="s">
        <v>141</v>
      </c>
      <c r="G8" s="363" t="s">
        <v>141</v>
      </c>
      <c r="H8" s="363" t="s">
        <v>141</v>
      </c>
      <c r="I8" s="363" t="s">
        <v>141</v>
      </c>
      <c r="J8" s="291" t="s">
        <v>141</v>
      </c>
      <c r="L8" s="530"/>
    </row>
    <row r="9" spans="1:12" x14ac:dyDescent="0.35">
      <c r="A9" s="587" t="s">
        <v>238</v>
      </c>
      <c r="B9" s="14" t="s">
        <v>362</v>
      </c>
      <c r="C9" s="112">
        <f>19218.8+592-60</f>
        <v>19750.8</v>
      </c>
      <c r="D9" s="112">
        <f>19218.8+592</f>
        <v>19810.8</v>
      </c>
      <c r="E9" s="112" t="s">
        <v>111</v>
      </c>
      <c r="F9" s="112" t="s">
        <v>111</v>
      </c>
      <c r="G9" s="112">
        <f>H9-(D9-C9)</f>
        <v>98994</v>
      </c>
      <c r="H9" s="112">
        <f>D9*5</f>
        <v>99054</v>
      </c>
      <c r="I9" s="112" t="s">
        <v>111</v>
      </c>
      <c r="J9" s="201" t="s">
        <v>111</v>
      </c>
      <c r="K9" s="110"/>
      <c r="L9" s="530"/>
    </row>
    <row r="10" spans="1:12" x14ac:dyDescent="0.35">
      <c r="A10" s="587"/>
      <c r="B10" s="20" t="s">
        <v>363</v>
      </c>
      <c r="C10" s="112">
        <f>D10-60</f>
        <v>11389.85</v>
      </c>
      <c r="D10" s="112">
        <f>11087.85+362</f>
        <v>11449.85</v>
      </c>
      <c r="E10" s="112" t="s">
        <v>111</v>
      </c>
      <c r="F10" s="112" t="s">
        <v>111</v>
      </c>
      <c r="G10" s="112">
        <f>H10-(D10-C10)</f>
        <v>114438.5</v>
      </c>
      <c r="H10" s="112">
        <f>D10*10</f>
        <v>114498.5</v>
      </c>
      <c r="I10" s="112" t="s">
        <v>111</v>
      </c>
      <c r="J10" s="201" t="s">
        <v>111</v>
      </c>
      <c r="K10" s="110"/>
      <c r="L10" s="530"/>
    </row>
    <row r="11" spans="1:12" x14ac:dyDescent="0.35">
      <c r="A11" s="587"/>
      <c r="B11" s="20" t="s">
        <v>241</v>
      </c>
      <c r="C11" s="112">
        <f>D11-60</f>
        <v>3824</v>
      </c>
      <c r="D11" s="112">
        <f>3761+123</f>
        <v>3884</v>
      </c>
      <c r="E11" s="112">
        <f>F11/0.8*0.85</f>
        <v>4603.546875</v>
      </c>
      <c r="F11" s="201">
        <v>4332.75</v>
      </c>
      <c r="G11" s="112">
        <f>H11-(D11-C11)</f>
        <v>135880</v>
      </c>
      <c r="H11" s="112">
        <f>D11*35</f>
        <v>135940</v>
      </c>
      <c r="I11" s="112">
        <f>J11-(F11-E11)</f>
        <v>151917.046875</v>
      </c>
      <c r="J11" s="201">
        <f>F11*35</f>
        <v>151646.25</v>
      </c>
      <c r="K11" s="110"/>
      <c r="L11" s="530"/>
    </row>
    <row r="12" spans="1:12" x14ac:dyDescent="0.35">
      <c r="A12" s="587"/>
      <c r="B12" s="20" t="s">
        <v>370</v>
      </c>
      <c r="C12" s="112">
        <f>D12-60</f>
        <v>3581.3</v>
      </c>
      <c r="D12" s="112">
        <f>3527.3+114</f>
        <v>3641.3</v>
      </c>
      <c r="E12" s="112" t="s">
        <v>111</v>
      </c>
      <c r="F12" s="112" t="s">
        <v>111</v>
      </c>
      <c r="G12" s="112">
        <f>H12-(D12-C12)</f>
        <v>163798.5</v>
      </c>
      <c r="H12" s="112">
        <f>D12*45</f>
        <v>163858.5</v>
      </c>
      <c r="I12" s="112" t="s">
        <v>111</v>
      </c>
      <c r="J12" s="201" t="s">
        <v>111</v>
      </c>
      <c r="K12" s="110"/>
      <c r="L12" s="530"/>
    </row>
    <row r="13" spans="1:12" x14ac:dyDescent="0.35">
      <c r="A13" s="587"/>
      <c r="B13" s="20" t="s">
        <v>243</v>
      </c>
      <c r="C13" s="112" t="s">
        <v>111</v>
      </c>
      <c r="D13" s="112" t="s">
        <v>111</v>
      </c>
      <c r="E13" s="112">
        <f>F13/0.8*0.85</f>
        <v>2539.109375</v>
      </c>
      <c r="F13" s="112">
        <v>2389.75</v>
      </c>
      <c r="G13" s="112" t="s">
        <v>111</v>
      </c>
      <c r="H13" s="112" t="s">
        <v>111</v>
      </c>
      <c r="I13" s="112">
        <f>J13-(F13-E13)</f>
        <v>165042.109375</v>
      </c>
      <c r="J13" s="201">
        <f>F13*69</f>
        <v>164892.75</v>
      </c>
      <c r="K13" s="110"/>
      <c r="L13" s="530"/>
    </row>
    <row r="14" spans="1:12" x14ac:dyDescent="0.35">
      <c r="A14" s="587" t="s">
        <v>245</v>
      </c>
      <c r="B14" s="14" t="s">
        <v>362</v>
      </c>
      <c r="C14" s="112">
        <f>25500.6+785-60</f>
        <v>26225.599999999999</v>
      </c>
      <c r="D14" s="112">
        <f>25500.6+785</f>
        <v>26285.599999999999</v>
      </c>
      <c r="E14" s="112" t="s">
        <v>111</v>
      </c>
      <c r="F14" s="112" t="s">
        <v>111</v>
      </c>
      <c r="G14" s="112">
        <f>H14-(D14-C14)</f>
        <v>131368</v>
      </c>
      <c r="H14" s="112">
        <f>D14*5</f>
        <v>131428</v>
      </c>
      <c r="I14" s="112" t="s">
        <v>111</v>
      </c>
      <c r="J14" s="201" t="s">
        <v>111</v>
      </c>
      <c r="K14" s="110"/>
      <c r="L14" s="530"/>
    </row>
    <row r="15" spans="1:12" x14ac:dyDescent="0.35">
      <c r="A15" s="587"/>
      <c r="B15" s="20" t="s">
        <v>363</v>
      </c>
      <c r="C15" s="112">
        <f>D15-60</f>
        <v>14958.9</v>
      </c>
      <c r="D15" s="112">
        <f>14548.9+470</f>
        <v>15018.9</v>
      </c>
      <c r="E15" s="112" t="s">
        <v>111</v>
      </c>
      <c r="F15" s="112" t="s">
        <v>111</v>
      </c>
      <c r="G15" s="112">
        <f>H15-(D15-C15)</f>
        <v>150129</v>
      </c>
      <c r="H15" s="112">
        <f>D15*10</f>
        <v>150189</v>
      </c>
      <c r="I15" s="112" t="s">
        <v>111</v>
      </c>
      <c r="J15" s="201" t="s">
        <v>111</v>
      </c>
      <c r="K15" s="110"/>
      <c r="L15" s="530"/>
    </row>
    <row r="16" spans="1:12" x14ac:dyDescent="0.35">
      <c r="A16" s="587"/>
      <c r="B16" s="20" t="s">
        <v>246</v>
      </c>
      <c r="C16" s="112">
        <f>D16-60</f>
        <v>5928.45</v>
      </c>
      <c r="D16" s="112">
        <f>5802.45+186</f>
        <v>5988.45</v>
      </c>
      <c r="E16" s="112">
        <f>F16/0.8*0.85</f>
        <v>6755.5343749999993</v>
      </c>
      <c r="F16" s="201">
        <v>6358.15</v>
      </c>
      <c r="G16" s="112">
        <f>H16-(D16-C16)</f>
        <v>179593.5</v>
      </c>
      <c r="H16" s="112">
        <f>D16*30</f>
        <v>179653.5</v>
      </c>
      <c r="I16" s="112">
        <f>J16-(F16-E16)</f>
        <v>191141.88437499999</v>
      </c>
      <c r="J16" s="201">
        <f>F16*30</f>
        <v>190744.5</v>
      </c>
      <c r="K16" s="110"/>
      <c r="L16" s="530"/>
    </row>
    <row r="17" spans="1:12" x14ac:dyDescent="0.35">
      <c r="A17" s="587"/>
      <c r="B17" s="20" t="s">
        <v>371</v>
      </c>
      <c r="C17" s="112">
        <f>D17-60</f>
        <v>4969.25</v>
      </c>
      <c r="D17" s="112">
        <f>4873.25+156</f>
        <v>5029.25</v>
      </c>
      <c r="E17" s="112" t="s">
        <v>111</v>
      </c>
      <c r="F17" s="112" t="s">
        <v>111</v>
      </c>
      <c r="G17" s="112">
        <f>H17-(D17-C17)</f>
        <v>201110</v>
      </c>
      <c r="H17" s="112">
        <f>D17*40</f>
        <v>201170</v>
      </c>
      <c r="I17" s="112" t="s">
        <v>111</v>
      </c>
      <c r="J17" s="201" t="s">
        <v>111</v>
      </c>
      <c r="K17" s="110"/>
      <c r="L17" s="530"/>
    </row>
    <row r="18" spans="1:12" x14ac:dyDescent="0.35">
      <c r="A18" s="587"/>
      <c r="B18" s="20" t="s">
        <v>248</v>
      </c>
      <c r="C18" s="112" t="s">
        <v>111</v>
      </c>
      <c r="D18" s="112" t="s">
        <v>111</v>
      </c>
      <c r="E18" s="112">
        <f>F18/0.8*0.85</f>
        <v>3476.6593749999997</v>
      </c>
      <c r="F18" s="112">
        <v>3272.15</v>
      </c>
      <c r="G18" s="112" t="s">
        <v>111</v>
      </c>
      <c r="H18" s="112" t="s">
        <v>111</v>
      </c>
      <c r="I18" s="112">
        <f>J18-(F18-E18)</f>
        <v>209622.109375</v>
      </c>
      <c r="J18" s="201">
        <f>F18*64</f>
        <v>209417.60000000001</v>
      </c>
      <c r="K18" s="110"/>
      <c r="L18" s="530"/>
    </row>
    <row r="19" spans="1:12" x14ac:dyDescent="0.35">
      <c r="A19" s="587" t="s">
        <v>250</v>
      </c>
      <c r="B19" s="14" t="s">
        <v>362</v>
      </c>
      <c r="C19" s="112">
        <f>31786+979-60</f>
        <v>32705</v>
      </c>
      <c r="D19" s="112">
        <f>31786+979</f>
        <v>32765</v>
      </c>
      <c r="E19" s="112" t="s">
        <v>111</v>
      </c>
      <c r="F19" s="112" t="s">
        <v>111</v>
      </c>
      <c r="G19" s="112">
        <f>H19-(D19-C19)</f>
        <v>163765</v>
      </c>
      <c r="H19" s="112">
        <f>D19*5</f>
        <v>163825</v>
      </c>
      <c r="I19" s="112" t="s">
        <v>111</v>
      </c>
      <c r="J19" s="201" t="s">
        <v>111</v>
      </c>
      <c r="K19" s="110"/>
      <c r="L19" s="530"/>
    </row>
    <row r="20" spans="1:12" x14ac:dyDescent="0.35">
      <c r="A20" s="587"/>
      <c r="B20" s="20" t="s">
        <v>363</v>
      </c>
      <c r="C20" s="112">
        <f>D20-60</f>
        <v>18530.8</v>
      </c>
      <c r="D20" s="112">
        <f>18011.8+579</f>
        <v>18590.8</v>
      </c>
      <c r="E20" s="112" t="s">
        <v>111</v>
      </c>
      <c r="F20" s="112" t="s">
        <v>111</v>
      </c>
      <c r="G20" s="112">
        <f>H20-(D20-C20)</f>
        <v>185848</v>
      </c>
      <c r="H20" s="112">
        <f>D20*10</f>
        <v>185908</v>
      </c>
      <c r="I20" s="112" t="s">
        <v>111</v>
      </c>
      <c r="J20" s="201" t="s">
        <v>111</v>
      </c>
      <c r="K20" s="110"/>
      <c r="L20" s="530"/>
    </row>
    <row r="21" spans="1:12" x14ac:dyDescent="0.35">
      <c r="A21" s="587"/>
      <c r="B21" s="20" t="s">
        <v>251</v>
      </c>
      <c r="C21" s="112">
        <f>D21-60</f>
        <v>8035.7</v>
      </c>
      <c r="D21" s="112">
        <f>7846.7+249</f>
        <v>8095.7</v>
      </c>
      <c r="E21" s="112">
        <f>F21/0.8*0.85</f>
        <v>9599.421875</v>
      </c>
      <c r="F21" s="201">
        <v>9034.75</v>
      </c>
      <c r="G21" s="112">
        <f>H21-(D21-C21)</f>
        <v>202332.5</v>
      </c>
      <c r="H21" s="112">
        <f>D21*25</f>
        <v>202392.5</v>
      </c>
      <c r="I21" s="112">
        <f>J21-(F21-E21)</f>
        <v>226433.421875</v>
      </c>
      <c r="J21" s="201">
        <f>F21*25</f>
        <v>225868.75</v>
      </c>
      <c r="K21" s="110"/>
      <c r="L21" s="530"/>
    </row>
    <row r="22" spans="1:12" x14ac:dyDescent="0.35">
      <c r="A22" s="587"/>
      <c r="B22" s="20" t="s">
        <v>372</v>
      </c>
      <c r="C22" s="112">
        <f>D22-60</f>
        <v>6355.45</v>
      </c>
      <c r="D22" s="112">
        <f>6216.45+199</f>
        <v>6415.45</v>
      </c>
      <c r="E22" s="112" t="s">
        <v>111</v>
      </c>
      <c r="F22" s="112" t="s">
        <v>111</v>
      </c>
      <c r="G22" s="112">
        <f>H22-(D22-C22)</f>
        <v>224480.75</v>
      </c>
      <c r="H22" s="112">
        <f>D22*35</f>
        <v>224540.75</v>
      </c>
      <c r="I22" s="112" t="s">
        <v>111</v>
      </c>
      <c r="J22" s="201" t="s">
        <v>111</v>
      </c>
      <c r="K22" s="110"/>
      <c r="L22" s="530"/>
    </row>
    <row r="23" spans="1:12" ht="15" thickBot="1" x14ac:dyDescent="0.4">
      <c r="A23" s="587"/>
      <c r="B23" s="20" t="s">
        <v>253</v>
      </c>
      <c r="C23" s="112" t="s">
        <v>111</v>
      </c>
      <c r="D23" s="112" t="s">
        <v>111</v>
      </c>
      <c r="E23" s="112">
        <f>F23/0.8*0.85</f>
        <v>4455.4343749999998</v>
      </c>
      <c r="F23" s="112">
        <v>4193.3500000000004</v>
      </c>
      <c r="G23" s="112" t="s">
        <v>111</v>
      </c>
      <c r="H23" s="112" t="s">
        <v>111</v>
      </c>
      <c r="I23" s="112">
        <f>J23-(F23-E23)</f>
        <v>247669.73437500003</v>
      </c>
      <c r="J23" s="201">
        <f>F23*59</f>
        <v>247407.65000000002</v>
      </c>
      <c r="K23" s="110"/>
      <c r="L23" s="531"/>
    </row>
    <row r="24" spans="1:12" x14ac:dyDescent="0.35">
      <c r="A24" s="587" t="s">
        <v>255</v>
      </c>
      <c r="B24" s="14" t="s">
        <v>362</v>
      </c>
      <c r="C24" s="112">
        <f>42157.2+1245-60</f>
        <v>43342.2</v>
      </c>
      <c r="D24" s="112">
        <f>42157.2+1245</f>
        <v>43402.2</v>
      </c>
      <c r="E24" s="112" t="s">
        <v>111</v>
      </c>
      <c r="F24" s="112" t="s">
        <v>111</v>
      </c>
      <c r="G24" s="112">
        <f>H24-(D24-C24)</f>
        <v>216951</v>
      </c>
      <c r="H24" s="112">
        <f>D24*5</f>
        <v>217011</v>
      </c>
      <c r="I24" s="112" t="s">
        <v>111</v>
      </c>
      <c r="J24" s="201" t="s">
        <v>111</v>
      </c>
      <c r="K24" s="110"/>
      <c r="L24" s="465"/>
    </row>
    <row r="25" spans="1:12" x14ac:dyDescent="0.35">
      <c r="A25" s="587"/>
      <c r="B25" s="20" t="s">
        <v>363</v>
      </c>
      <c r="C25" s="112">
        <f>24599.9+761-60</f>
        <v>25300.9</v>
      </c>
      <c r="D25" s="112">
        <f>24599.9+761</f>
        <v>25360.9</v>
      </c>
      <c r="E25" s="112" t="s">
        <v>111</v>
      </c>
      <c r="F25" s="112" t="s">
        <v>111</v>
      </c>
      <c r="G25" s="112">
        <f>H25-(D25-C25)</f>
        <v>253549</v>
      </c>
      <c r="H25" s="112">
        <f>D25*10</f>
        <v>253609</v>
      </c>
      <c r="I25" s="112" t="s">
        <v>111</v>
      </c>
      <c r="J25" s="201" t="s">
        <v>111</v>
      </c>
      <c r="K25" s="110"/>
      <c r="L25" s="465"/>
    </row>
    <row r="26" spans="1:12" x14ac:dyDescent="0.35">
      <c r="A26" s="587"/>
      <c r="B26" s="20" t="s">
        <v>256</v>
      </c>
      <c r="C26" s="112">
        <f>13685+433-60</f>
        <v>14058</v>
      </c>
      <c r="D26" s="112">
        <f>13685+433</f>
        <v>14118</v>
      </c>
      <c r="E26" s="112">
        <f>F26/0.8*0.85</f>
        <v>15567.059374999999</v>
      </c>
      <c r="F26" s="201">
        <v>14651.35</v>
      </c>
      <c r="G26" s="112">
        <f>H26-(D26-C26)</f>
        <v>282300</v>
      </c>
      <c r="H26" s="112">
        <f>D26*20</f>
        <v>282360</v>
      </c>
      <c r="I26" s="112">
        <f>J26-(F26-E26)</f>
        <v>293942.70937499998</v>
      </c>
      <c r="J26" s="201">
        <f>F26*20</f>
        <v>293027</v>
      </c>
      <c r="K26" s="110"/>
      <c r="L26" s="465"/>
    </row>
    <row r="27" spans="1:12" x14ac:dyDescent="0.35">
      <c r="A27" s="587"/>
      <c r="B27" s="20" t="s">
        <v>374</v>
      </c>
      <c r="C27" s="112">
        <f>9812.95-60</f>
        <v>9752.9500000000007</v>
      </c>
      <c r="D27" s="112">
        <v>9812.9500000000007</v>
      </c>
      <c r="E27" s="112" t="s">
        <v>111</v>
      </c>
      <c r="F27" s="112" t="s">
        <v>111</v>
      </c>
      <c r="G27" s="112">
        <f>H27-(D27-C27)</f>
        <v>294328.5</v>
      </c>
      <c r="H27" s="112">
        <f>D27*30</f>
        <v>294388.5</v>
      </c>
      <c r="I27" s="112" t="s">
        <v>111</v>
      </c>
      <c r="J27" s="201" t="s">
        <v>111</v>
      </c>
      <c r="K27" s="110"/>
      <c r="L27" s="465"/>
    </row>
    <row r="28" spans="1:12" x14ac:dyDescent="0.35">
      <c r="A28" s="587"/>
      <c r="B28" s="20" t="s">
        <v>258</v>
      </c>
      <c r="C28" s="112" t="s">
        <v>111</v>
      </c>
      <c r="D28" s="112" t="s">
        <v>111</v>
      </c>
      <c r="E28" s="112">
        <f>F28/0.8*0.85</f>
        <v>6393.59375</v>
      </c>
      <c r="F28" s="112">
        <v>6017.5</v>
      </c>
      <c r="G28" s="112" t="s">
        <v>111</v>
      </c>
      <c r="H28" s="112" t="s">
        <v>111</v>
      </c>
      <c r="I28" s="112">
        <f>J28-(F28-E28)</f>
        <v>325321.09375</v>
      </c>
      <c r="J28" s="201">
        <f>F28*54</f>
        <v>324945</v>
      </c>
      <c r="K28" s="110"/>
      <c r="L28" s="465"/>
    </row>
    <row r="29" spans="1:12" x14ac:dyDescent="0.35">
      <c r="A29" s="587" t="s">
        <v>260</v>
      </c>
      <c r="B29" s="14" t="s">
        <v>362</v>
      </c>
      <c r="C29" s="112">
        <f>53580.8+1513-60</f>
        <v>55033.8</v>
      </c>
      <c r="D29" s="112">
        <f>53580.8+1513</f>
        <v>55093.8</v>
      </c>
      <c r="E29" s="112" t="s">
        <v>111</v>
      </c>
      <c r="F29" s="112" t="s">
        <v>111</v>
      </c>
      <c r="G29" s="112">
        <f>H29-(D29-C29)</f>
        <v>275409</v>
      </c>
      <c r="H29" s="112">
        <f>D29*5</f>
        <v>275469</v>
      </c>
      <c r="I29" s="112" t="s">
        <v>111</v>
      </c>
      <c r="J29" s="201" t="s">
        <v>111</v>
      </c>
      <c r="K29" s="110"/>
      <c r="L29" s="465"/>
    </row>
    <row r="30" spans="1:12" x14ac:dyDescent="0.35">
      <c r="A30" s="587"/>
      <c r="B30" s="20" t="s">
        <v>363</v>
      </c>
      <c r="C30" s="112">
        <f>31813.6+946-60</f>
        <v>32699.599999999999</v>
      </c>
      <c r="D30" s="112">
        <f>31813.6+946</f>
        <v>32759.599999999999</v>
      </c>
      <c r="E30" s="112" t="s">
        <v>111</v>
      </c>
      <c r="F30" s="112" t="s">
        <v>111</v>
      </c>
      <c r="G30" s="112">
        <f>H30-(D30-C30)</f>
        <v>327536</v>
      </c>
      <c r="H30" s="112">
        <f>D30*10</f>
        <v>327596</v>
      </c>
      <c r="I30" s="112" t="s">
        <v>111</v>
      </c>
      <c r="J30" s="201" t="s">
        <v>111</v>
      </c>
      <c r="K30" s="110"/>
      <c r="L30" s="465"/>
    </row>
    <row r="31" spans="1:12" x14ac:dyDescent="0.35">
      <c r="A31" s="587"/>
      <c r="B31" s="20" t="s">
        <v>261</v>
      </c>
      <c r="C31" s="112">
        <f>22164.65+631-60</f>
        <v>22735.65</v>
      </c>
      <c r="D31" s="112">
        <f>22164.65+631</f>
        <v>22795.65</v>
      </c>
      <c r="E31" s="112">
        <f>F31/0.8*0.85</f>
        <v>25934.243749999998</v>
      </c>
      <c r="F31" s="201">
        <v>24408.7</v>
      </c>
      <c r="G31" s="112">
        <f>H31-(D31-C31)</f>
        <v>341874.75</v>
      </c>
      <c r="H31" s="112">
        <f>D31*15</f>
        <v>341934.75</v>
      </c>
      <c r="I31" s="112">
        <f>J31-(F31-E31)</f>
        <v>367656.04375000001</v>
      </c>
      <c r="J31" s="201">
        <f>F31*15</f>
        <v>366130.5</v>
      </c>
      <c r="K31" s="110"/>
      <c r="L31" s="465"/>
    </row>
    <row r="32" spans="1:12" x14ac:dyDescent="0.35">
      <c r="A32" s="587"/>
      <c r="B32" s="20" t="s">
        <v>373</v>
      </c>
      <c r="C32" s="112">
        <f>13613.25+379-60</f>
        <v>13932.25</v>
      </c>
      <c r="D32" s="112">
        <f>13613.25+379</f>
        <v>13992.25</v>
      </c>
      <c r="E32" s="112" t="s">
        <v>111</v>
      </c>
      <c r="F32" s="112" t="s">
        <v>111</v>
      </c>
      <c r="G32" s="112">
        <f>H32-(D32-C32)</f>
        <v>349746.25</v>
      </c>
      <c r="H32" s="112">
        <f>D32*25</f>
        <v>349806.25</v>
      </c>
      <c r="I32" s="112" t="s">
        <v>111</v>
      </c>
      <c r="J32" s="201" t="s">
        <v>111</v>
      </c>
      <c r="K32" s="110"/>
      <c r="L32" s="465"/>
    </row>
    <row r="33" spans="1:12" ht="15" thickBot="1" x14ac:dyDescent="0.4">
      <c r="A33" s="607"/>
      <c r="B33" s="423" t="s">
        <v>263</v>
      </c>
      <c r="C33" s="140" t="s">
        <v>111</v>
      </c>
      <c r="D33" s="140" t="s">
        <v>111</v>
      </c>
      <c r="E33" s="140">
        <f>F33/0.8*0.85</f>
        <v>8935.9968749999989</v>
      </c>
      <c r="F33" s="140">
        <v>8410.35</v>
      </c>
      <c r="G33" s="140" t="s">
        <v>111</v>
      </c>
      <c r="H33" s="140" t="s">
        <v>111</v>
      </c>
      <c r="I33" s="140">
        <f>J33-(F33-E33)</f>
        <v>412632.796875</v>
      </c>
      <c r="J33" s="203">
        <f>F33*49</f>
        <v>412107.15</v>
      </c>
      <c r="K33" s="110"/>
      <c r="L33" s="465"/>
    </row>
    <row r="34" spans="1:12" ht="29" x14ac:dyDescent="0.35">
      <c r="A34" s="608" t="s">
        <v>221</v>
      </c>
      <c r="B34" s="618"/>
      <c r="C34" s="339" t="s">
        <v>366</v>
      </c>
      <c r="D34" s="339" t="s">
        <v>366</v>
      </c>
      <c r="E34" s="428" t="s">
        <v>111</v>
      </c>
      <c r="F34" s="428" t="s">
        <v>111</v>
      </c>
      <c r="G34" s="287" t="s">
        <v>366</v>
      </c>
      <c r="H34" s="287" t="s">
        <v>366</v>
      </c>
      <c r="I34" s="368" t="s">
        <v>111</v>
      </c>
      <c r="J34" s="288" t="s">
        <v>111</v>
      </c>
      <c r="K34" s="110"/>
      <c r="L34" s="465"/>
    </row>
    <row r="35" spans="1:12" x14ac:dyDescent="0.35">
      <c r="A35" s="588"/>
      <c r="B35" s="619"/>
      <c r="C35" s="274" t="s">
        <v>154</v>
      </c>
      <c r="D35" s="274" t="s">
        <v>154</v>
      </c>
      <c r="E35" s="274" t="s">
        <v>111</v>
      </c>
      <c r="F35" s="274" t="s">
        <v>111</v>
      </c>
      <c r="G35" s="289" t="s">
        <v>154</v>
      </c>
      <c r="H35" s="289" t="s">
        <v>154</v>
      </c>
      <c r="I35" s="289" t="s">
        <v>111</v>
      </c>
      <c r="J35" s="290" t="s">
        <v>111</v>
      </c>
      <c r="K35" s="110"/>
      <c r="L35" s="465"/>
    </row>
    <row r="36" spans="1:12" x14ac:dyDescent="0.35">
      <c r="A36" s="429" t="s">
        <v>176</v>
      </c>
      <c r="B36" s="437" t="s">
        <v>281</v>
      </c>
      <c r="C36" s="425" t="s">
        <v>141</v>
      </c>
      <c r="D36" s="425" t="s">
        <v>141</v>
      </c>
      <c r="E36" s="426" t="s">
        <v>111</v>
      </c>
      <c r="F36" s="426" t="s">
        <v>111</v>
      </c>
      <c r="G36" s="438" t="s">
        <v>141</v>
      </c>
      <c r="H36" s="438" t="s">
        <v>141</v>
      </c>
      <c r="I36" s="427" t="s">
        <v>111</v>
      </c>
      <c r="J36" s="430" t="s">
        <v>111</v>
      </c>
      <c r="K36" s="110"/>
      <c r="L36" s="465"/>
    </row>
    <row r="37" spans="1:12" x14ac:dyDescent="0.35">
      <c r="A37" s="585" t="s">
        <v>238</v>
      </c>
      <c r="B37" s="14" t="s">
        <v>362</v>
      </c>
      <c r="C37" s="112">
        <f>C9+3458.25-60</f>
        <v>23149.05</v>
      </c>
      <c r="D37" s="112">
        <f>D9+3458.25</f>
        <v>23269.05</v>
      </c>
      <c r="E37" s="112" t="s">
        <v>111</v>
      </c>
      <c r="F37" s="112" t="s">
        <v>111</v>
      </c>
      <c r="G37" s="112">
        <f>H37-(D37-C37)</f>
        <v>218245.35</v>
      </c>
      <c r="H37" s="112">
        <f>H9+1729.15*69</f>
        <v>218365.35</v>
      </c>
      <c r="I37" s="112" t="s">
        <v>111</v>
      </c>
      <c r="J37" s="201" t="s">
        <v>111</v>
      </c>
      <c r="K37" s="110"/>
      <c r="L37" s="465"/>
    </row>
    <row r="38" spans="1:12" x14ac:dyDescent="0.35">
      <c r="A38" s="585"/>
      <c r="B38" s="20" t="s">
        <v>363</v>
      </c>
      <c r="C38" s="112">
        <f>D38-60</f>
        <v>14848.1</v>
      </c>
      <c r="D38" s="112">
        <f>D10+3458.25</f>
        <v>14908.1</v>
      </c>
      <c r="E38" s="112" t="s">
        <v>111</v>
      </c>
      <c r="F38" s="112" t="s">
        <v>111</v>
      </c>
      <c r="G38" s="112">
        <f>H38-(D38-C38)</f>
        <v>233749.85</v>
      </c>
      <c r="H38" s="112">
        <f>H10+1729.15*69</f>
        <v>233809.85</v>
      </c>
      <c r="I38" s="112" t="s">
        <v>111</v>
      </c>
      <c r="J38" s="201" t="s">
        <v>111</v>
      </c>
      <c r="K38" s="110"/>
      <c r="L38" s="465"/>
    </row>
    <row r="39" spans="1:12" x14ac:dyDescent="0.35">
      <c r="A39" s="585"/>
      <c r="B39" s="20" t="s">
        <v>241</v>
      </c>
      <c r="C39" s="112">
        <f>D39-60</f>
        <v>7282.25</v>
      </c>
      <c r="D39" s="112">
        <f t="shared" ref="D39:D40" si="0">D11+3458.25</f>
        <v>7342.25</v>
      </c>
      <c r="E39" s="112" t="s">
        <v>111</v>
      </c>
      <c r="F39" s="112" t="s">
        <v>111</v>
      </c>
      <c r="G39" s="112">
        <f>H39-(D39-C39)</f>
        <v>255191.35</v>
      </c>
      <c r="H39" s="112">
        <f>H11+1729.15*69</f>
        <v>255251.35</v>
      </c>
      <c r="I39" s="112" t="s">
        <v>111</v>
      </c>
      <c r="J39" s="201" t="s">
        <v>111</v>
      </c>
      <c r="K39" s="110"/>
      <c r="L39" s="465"/>
    </row>
    <row r="40" spans="1:12" x14ac:dyDescent="0.35">
      <c r="A40" s="585"/>
      <c r="B40" s="20" t="s">
        <v>370</v>
      </c>
      <c r="C40" s="112">
        <f>D40-60</f>
        <v>7039.55</v>
      </c>
      <c r="D40" s="112">
        <f t="shared" si="0"/>
        <v>7099.55</v>
      </c>
      <c r="E40" s="112" t="s">
        <v>111</v>
      </c>
      <c r="F40" s="112" t="s">
        <v>111</v>
      </c>
      <c r="G40" s="112">
        <f>H40-(D40-C40)</f>
        <v>390415.25</v>
      </c>
      <c r="H40" s="112">
        <f>D40*55</f>
        <v>390475.25</v>
      </c>
      <c r="I40" s="112" t="s">
        <v>111</v>
      </c>
      <c r="J40" s="201" t="s">
        <v>111</v>
      </c>
      <c r="K40" s="110"/>
      <c r="L40" s="465"/>
    </row>
    <row r="41" spans="1:12" x14ac:dyDescent="0.35">
      <c r="A41" s="585"/>
      <c r="B41" s="20" t="s">
        <v>243</v>
      </c>
      <c r="C41" s="112" t="s">
        <v>111</v>
      </c>
      <c r="D41" s="112" t="s">
        <v>111</v>
      </c>
      <c r="E41" s="112" t="s">
        <v>111</v>
      </c>
      <c r="F41" s="112" t="s">
        <v>111</v>
      </c>
      <c r="G41" s="112" t="s">
        <v>111</v>
      </c>
      <c r="H41" s="112" t="s">
        <v>111</v>
      </c>
      <c r="I41" s="112" t="s">
        <v>111</v>
      </c>
      <c r="J41" s="201" t="s">
        <v>111</v>
      </c>
      <c r="K41" s="110"/>
      <c r="L41" s="465"/>
    </row>
    <row r="42" spans="1:12" x14ac:dyDescent="0.35">
      <c r="A42" s="585" t="s">
        <v>245</v>
      </c>
      <c r="B42" s="14" t="s">
        <v>362</v>
      </c>
      <c r="C42" s="112">
        <f>C14+4554-60</f>
        <v>30719.599999999999</v>
      </c>
      <c r="D42" s="112">
        <f>D14+4554</f>
        <v>30839.599999999999</v>
      </c>
      <c r="E42" s="112" t="s">
        <v>111</v>
      </c>
      <c r="F42" s="112" t="s">
        <v>111</v>
      </c>
      <c r="G42" s="112">
        <f>H42-(D42-C42)</f>
        <v>277036</v>
      </c>
      <c r="H42" s="112">
        <f>H14+2277*64</f>
        <v>277156</v>
      </c>
      <c r="I42" s="112" t="s">
        <v>111</v>
      </c>
      <c r="J42" s="201" t="s">
        <v>111</v>
      </c>
      <c r="K42" s="110"/>
      <c r="L42" s="465"/>
    </row>
    <row r="43" spans="1:12" x14ac:dyDescent="0.35">
      <c r="A43" s="585"/>
      <c r="B43" s="20" t="s">
        <v>363</v>
      </c>
      <c r="C43" s="112">
        <f>D43-60</f>
        <v>19512.900000000001</v>
      </c>
      <c r="D43" s="112">
        <f t="shared" ref="D43:D44" si="1">D15+4554</f>
        <v>19572.900000000001</v>
      </c>
      <c r="E43" s="112" t="s">
        <v>111</v>
      </c>
      <c r="F43" s="112" t="s">
        <v>111</v>
      </c>
      <c r="G43" s="112">
        <f>H43-(D43-C43)</f>
        <v>295857</v>
      </c>
      <c r="H43" s="112">
        <f>H15+2277*64</f>
        <v>295917</v>
      </c>
      <c r="I43" s="112" t="s">
        <v>111</v>
      </c>
      <c r="J43" s="201" t="s">
        <v>111</v>
      </c>
      <c r="K43" s="110"/>
      <c r="L43" s="465"/>
    </row>
    <row r="44" spans="1:12" x14ac:dyDescent="0.35">
      <c r="A44" s="585"/>
      <c r="B44" s="20" t="s">
        <v>246</v>
      </c>
      <c r="C44" s="112">
        <f>D44-60</f>
        <v>10482.450000000001</v>
      </c>
      <c r="D44" s="112">
        <f t="shared" si="1"/>
        <v>10542.45</v>
      </c>
      <c r="E44" s="112" t="s">
        <v>111</v>
      </c>
      <c r="F44" s="112" t="s">
        <v>111</v>
      </c>
      <c r="G44" s="112">
        <f>H44-(D44-C44)</f>
        <v>325321.5</v>
      </c>
      <c r="H44" s="112">
        <f>H16+2277*64</f>
        <v>325381.5</v>
      </c>
      <c r="I44" s="112" t="s">
        <v>111</v>
      </c>
      <c r="J44" s="201" t="s">
        <v>111</v>
      </c>
      <c r="K44" s="110"/>
      <c r="L44" s="465"/>
    </row>
    <row r="45" spans="1:12" x14ac:dyDescent="0.35">
      <c r="A45" s="585"/>
      <c r="B45" s="20" t="s">
        <v>371</v>
      </c>
      <c r="C45" s="112">
        <f>D45-60</f>
        <v>9523.25</v>
      </c>
      <c r="D45" s="112">
        <f>D17+4554</f>
        <v>9583.25</v>
      </c>
      <c r="E45" s="112" t="s">
        <v>111</v>
      </c>
      <c r="F45" s="112" t="s">
        <v>111</v>
      </c>
      <c r="G45" s="112">
        <f>H45-(D45-C45)</f>
        <v>346838</v>
      </c>
      <c r="H45" s="112">
        <f>H17+2277*64</f>
        <v>346898</v>
      </c>
      <c r="I45" s="112" t="s">
        <v>111</v>
      </c>
      <c r="J45" s="201" t="s">
        <v>111</v>
      </c>
      <c r="K45" s="110"/>
      <c r="L45" s="465"/>
    </row>
    <row r="46" spans="1:12" x14ac:dyDescent="0.35">
      <c r="A46" s="585"/>
      <c r="B46" s="20" t="s">
        <v>248</v>
      </c>
      <c r="C46" s="112" t="s">
        <v>111</v>
      </c>
      <c r="D46" s="112" t="s">
        <v>111</v>
      </c>
      <c r="E46" s="112" t="s">
        <v>111</v>
      </c>
      <c r="F46" s="112" t="s">
        <v>111</v>
      </c>
      <c r="G46" s="112" t="s">
        <v>111</v>
      </c>
      <c r="H46" s="112" t="s">
        <v>111</v>
      </c>
      <c r="I46" s="112" t="s">
        <v>111</v>
      </c>
      <c r="J46" s="201" t="s">
        <v>111</v>
      </c>
      <c r="K46" s="110"/>
      <c r="L46" s="465"/>
    </row>
    <row r="47" spans="1:12" x14ac:dyDescent="0.35">
      <c r="A47" s="585" t="s">
        <v>250</v>
      </c>
      <c r="B47" s="14" t="s">
        <v>362</v>
      </c>
      <c r="C47" s="112">
        <f>C19+6036.5-60</f>
        <v>38681.5</v>
      </c>
      <c r="D47" s="112">
        <f>D19+6036.5</f>
        <v>38801.5</v>
      </c>
      <c r="E47" s="112" t="s">
        <v>111</v>
      </c>
      <c r="F47" s="112" t="s">
        <v>111</v>
      </c>
      <c r="G47" s="112">
        <f>H47-(D47-C47)</f>
        <v>341781.75</v>
      </c>
      <c r="H47" s="112">
        <f t="shared" ref="H47:H49" si="2">H19+3018.25*59</f>
        <v>341901.75</v>
      </c>
      <c r="I47" s="112" t="s">
        <v>111</v>
      </c>
      <c r="J47" s="201" t="s">
        <v>111</v>
      </c>
      <c r="K47" s="110"/>
      <c r="L47" s="465"/>
    </row>
    <row r="48" spans="1:12" x14ac:dyDescent="0.35">
      <c r="A48" s="585"/>
      <c r="B48" s="20" t="s">
        <v>363</v>
      </c>
      <c r="C48" s="112">
        <f>D48-60</f>
        <v>24567.3</v>
      </c>
      <c r="D48" s="112">
        <f>D20+6036.5</f>
        <v>24627.3</v>
      </c>
      <c r="E48" s="112" t="s">
        <v>111</v>
      </c>
      <c r="F48" s="112" t="s">
        <v>111</v>
      </c>
      <c r="G48" s="112">
        <f>H48-(D48-C48)</f>
        <v>363924.75</v>
      </c>
      <c r="H48" s="112">
        <f t="shared" si="2"/>
        <v>363984.75</v>
      </c>
      <c r="I48" s="112" t="s">
        <v>111</v>
      </c>
      <c r="J48" s="201" t="s">
        <v>111</v>
      </c>
      <c r="K48" s="110"/>
      <c r="L48" s="465"/>
    </row>
    <row r="49" spans="1:12" x14ac:dyDescent="0.35">
      <c r="A49" s="585"/>
      <c r="B49" s="20" t="s">
        <v>251</v>
      </c>
      <c r="C49" s="112">
        <f>D49-60</f>
        <v>14072.2</v>
      </c>
      <c r="D49" s="112">
        <f t="shared" ref="D49:D50" si="3">D21+6036.5</f>
        <v>14132.2</v>
      </c>
      <c r="E49" s="112" t="s">
        <v>111</v>
      </c>
      <c r="F49" s="112" t="s">
        <v>111</v>
      </c>
      <c r="G49" s="112">
        <f>H49-(D49-C49)</f>
        <v>380409.25</v>
      </c>
      <c r="H49" s="112">
        <f t="shared" si="2"/>
        <v>380469.25</v>
      </c>
      <c r="I49" s="112" t="s">
        <v>111</v>
      </c>
      <c r="J49" s="201" t="s">
        <v>111</v>
      </c>
      <c r="K49" s="110"/>
      <c r="L49" s="465"/>
    </row>
    <row r="50" spans="1:12" x14ac:dyDescent="0.35">
      <c r="A50" s="585"/>
      <c r="B50" s="20" t="s">
        <v>372</v>
      </c>
      <c r="C50" s="112">
        <f>D50-60</f>
        <v>12391.95</v>
      </c>
      <c r="D50" s="112">
        <f t="shared" si="3"/>
        <v>12451.95</v>
      </c>
      <c r="E50" s="112" t="s">
        <v>111</v>
      </c>
      <c r="F50" s="112" t="s">
        <v>111</v>
      </c>
      <c r="G50" s="112">
        <f>H50-(D50-C50)</f>
        <v>402557.5</v>
      </c>
      <c r="H50" s="112">
        <f>H22+3018.25*59</f>
        <v>402617.5</v>
      </c>
      <c r="I50" s="112" t="s">
        <v>111</v>
      </c>
      <c r="J50" s="201" t="s">
        <v>111</v>
      </c>
      <c r="K50" s="110"/>
      <c r="L50" s="465"/>
    </row>
    <row r="51" spans="1:12" x14ac:dyDescent="0.35">
      <c r="A51" s="585"/>
      <c r="B51" s="20" t="s">
        <v>253</v>
      </c>
      <c r="C51" s="112" t="s">
        <v>111</v>
      </c>
      <c r="D51" s="112" t="s">
        <v>111</v>
      </c>
      <c r="E51" s="112" t="s">
        <v>111</v>
      </c>
      <c r="F51" s="112" t="s">
        <v>111</v>
      </c>
      <c r="G51" s="112" t="s">
        <v>111</v>
      </c>
      <c r="H51" s="112" t="s">
        <v>111</v>
      </c>
      <c r="I51" s="112" t="s">
        <v>111</v>
      </c>
      <c r="J51" s="201" t="s">
        <v>111</v>
      </c>
      <c r="K51" s="110"/>
      <c r="L51" s="465"/>
    </row>
    <row r="52" spans="1:12" x14ac:dyDescent="0.35">
      <c r="A52" s="585" t="s">
        <v>255</v>
      </c>
      <c r="B52" s="14" t="s">
        <v>362</v>
      </c>
      <c r="C52" s="112">
        <f>C24+8058.55-60</f>
        <v>51340.75</v>
      </c>
      <c r="D52" s="112">
        <f>D24+8058.55</f>
        <v>51460.75</v>
      </c>
      <c r="E52" s="112" t="s">
        <v>111</v>
      </c>
      <c r="F52" s="112" t="s">
        <v>111</v>
      </c>
      <c r="G52" s="112">
        <f>H52-(D52-C52)</f>
        <v>434473.2</v>
      </c>
      <c r="H52" s="112">
        <f>H24+4029.3*54</f>
        <v>434593.2</v>
      </c>
      <c r="I52" s="112" t="s">
        <v>111</v>
      </c>
      <c r="J52" s="201" t="s">
        <v>111</v>
      </c>
      <c r="K52" s="110"/>
      <c r="L52" s="465"/>
    </row>
    <row r="53" spans="1:12" x14ac:dyDescent="0.35">
      <c r="A53" s="585"/>
      <c r="B53" s="20" t="s">
        <v>363</v>
      </c>
      <c r="C53" s="112">
        <f>C25+8058.55-60</f>
        <v>33299.450000000004</v>
      </c>
      <c r="D53" s="112">
        <f>D25+8058.55</f>
        <v>33419.450000000004</v>
      </c>
      <c r="E53" s="112" t="s">
        <v>111</v>
      </c>
      <c r="F53" s="112" t="s">
        <v>111</v>
      </c>
      <c r="G53" s="112">
        <f>H53-(D53-C53)</f>
        <v>471071.2</v>
      </c>
      <c r="H53" s="112">
        <f t="shared" ref="H53:H55" si="4">H25+4029.3*54</f>
        <v>471191.2</v>
      </c>
      <c r="I53" s="112" t="s">
        <v>111</v>
      </c>
      <c r="J53" s="201" t="s">
        <v>111</v>
      </c>
      <c r="K53" s="110"/>
      <c r="L53" s="465"/>
    </row>
    <row r="54" spans="1:12" x14ac:dyDescent="0.35">
      <c r="A54" s="585"/>
      <c r="B54" s="20" t="s">
        <v>256</v>
      </c>
      <c r="C54" s="112">
        <f>C26+8058.55-60</f>
        <v>22056.55</v>
      </c>
      <c r="D54" s="112">
        <f t="shared" ref="D54:D55" si="5">D26+8058.55</f>
        <v>22176.55</v>
      </c>
      <c r="E54" s="112" t="s">
        <v>111</v>
      </c>
      <c r="F54" s="112" t="s">
        <v>111</v>
      </c>
      <c r="G54" s="112">
        <f>H54-(D54-C54)</f>
        <v>499822.2</v>
      </c>
      <c r="H54" s="112">
        <f t="shared" si="4"/>
        <v>499942.2</v>
      </c>
      <c r="I54" s="112" t="s">
        <v>111</v>
      </c>
      <c r="J54" s="201" t="s">
        <v>111</v>
      </c>
      <c r="K54" s="110"/>
      <c r="L54" s="465"/>
    </row>
    <row r="55" spans="1:12" x14ac:dyDescent="0.35">
      <c r="A55" s="585"/>
      <c r="B55" s="20" t="s">
        <v>374</v>
      </c>
      <c r="C55" s="112">
        <f>C27+8058.55-60</f>
        <v>17751.5</v>
      </c>
      <c r="D55" s="112">
        <f t="shared" si="5"/>
        <v>17871.5</v>
      </c>
      <c r="E55" s="112" t="s">
        <v>111</v>
      </c>
      <c r="F55" s="112" t="s">
        <v>111</v>
      </c>
      <c r="G55" s="112">
        <f>H55-(D55-C55)</f>
        <v>511850.7</v>
      </c>
      <c r="H55" s="112">
        <f t="shared" si="4"/>
        <v>511970.7</v>
      </c>
      <c r="I55" s="112" t="s">
        <v>111</v>
      </c>
      <c r="J55" s="201" t="s">
        <v>111</v>
      </c>
      <c r="K55" s="110"/>
      <c r="L55" s="465"/>
    </row>
    <row r="56" spans="1:12" x14ac:dyDescent="0.35">
      <c r="A56" s="585"/>
      <c r="B56" s="20" t="s">
        <v>258</v>
      </c>
      <c r="C56" s="112" t="s">
        <v>111</v>
      </c>
      <c r="D56" s="112" t="s">
        <v>111</v>
      </c>
      <c r="E56" s="112" t="s">
        <v>111</v>
      </c>
      <c r="F56" s="112" t="s">
        <v>111</v>
      </c>
      <c r="G56" s="112" t="s">
        <v>111</v>
      </c>
      <c r="H56" s="112" t="s">
        <v>111</v>
      </c>
      <c r="I56" s="112" t="s">
        <v>111</v>
      </c>
      <c r="J56" s="201" t="s">
        <v>111</v>
      </c>
      <c r="K56" s="110"/>
      <c r="L56" s="465"/>
    </row>
    <row r="57" spans="1:12" x14ac:dyDescent="0.35">
      <c r="A57" s="585" t="s">
        <v>260</v>
      </c>
      <c r="B57" s="14" t="s">
        <v>362</v>
      </c>
      <c r="C57" s="112">
        <f>C29+10827.75-60</f>
        <v>65801.55</v>
      </c>
      <c r="D57" s="112">
        <f>D29+10827.75</f>
        <v>65921.55</v>
      </c>
      <c r="E57" s="112" t="s">
        <v>111</v>
      </c>
      <c r="F57" s="112" t="s">
        <v>111</v>
      </c>
      <c r="G57" s="112">
        <f>H57-(D57-C57)</f>
        <v>540630.1</v>
      </c>
      <c r="H57" s="112">
        <f>H29+5413.9*49</f>
        <v>540750.1</v>
      </c>
      <c r="I57" s="112" t="s">
        <v>111</v>
      </c>
      <c r="J57" s="201" t="s">
        <v>111</v>
      </c>
      <c r="K57" s="110"/>
      <c r="L57" s="465"/>
    </row>
    <row r="58" spans="1:12" x14ac:dyDescent="0.35">
      <c r="A58" s="585"/>
      <c r="B58" s="20" t="s">
        <v>363</v>
      </c>
      <c r="C58" s="112">
        <f>C30+10827.75-60</f>
        <v>43467.35</v>
      </c>
      <c r="D58" s="112">
        <f>D30+10827.75</f>
        <v>43587.35</v>
      </c>
      <c r="E58" s="112" t="s">
        <v>111</v>
      </c>
      <c r="F58" s="112" t="s">
        <v>111</v>
      </c>
      <c r="G58" s="112">
        <f>H58-(D58-C58)</f>
        <v>592757.1</v>
      </c>
      <c r="H58" s="112">
        <f>H30+5413.9*49</f>
        <v>592877.1</v>
      </c>
      <c r="I58" s="112" t="s">
        <v>111</v>
      </c>
      <c r="J58" s="201" t="s">
        <v>111</v>
      </c>
      <c r="K58" s="110"/>
      <c r="L58" s="465"/>
    </row>
    <row r="59" spans="1:12" x14ac:dyDescent="0.35">
      <c r="A59" s="585"/>
      <c r="B59" s="20" t="s">
        <v>261</v>
      </c>
      <c r="C59" s="112">
        <f>C31+10827.75-60</f>
        <v>33503.4</v>
      </c>
      <c r="D59" s="112">
        <f t="shared" ref="D59:D60" si="6">D31+10827.75</f>
        <v>33623.4</v>
      </c>
      <c r="E59" s="112" t="s">
        <v>111</v>
      </c>
      <c r="F59" s="112" t="s">
        <v>111</v>
      </c>
      <c r="G59" s="112">
        <f>H59-(D59-C59)</f>
        <v>607095.85</v>
      </c>
      <c r="H59" s="112">
        <f>H31+5413.9*49</f>
        <v>607215.85</v>
      </c>
      <c r="I59" s="112" t="s">
        <v>111</v>
      </c>
      <c r="J59" s="201" t="s">
        <v>111</v>
      </c>
      <c r="K59" s="110"/>
      <c r="L59" s="465"/>
    </row>
    <row r="60" spans="1:12" x14ac:dyDescent="0.35">
      <c r="A60" s="585"/>
      <c r="B60" s="20" t="s">
        <v>373</v>
      </c>
      <c r="C60" s="112">
        <f>C32+10827.75-60</f>
        <v>24700</v>
      </c>
      <c r="D60" s="112">
        <f t="shared" si="6"/>
        <v>24820</v>
      </c>
      <c r="E60" s="112" t="s">
        <v>111</v>
      </c>
      <c r="F60" s="112" t="s">
        <v>111</v>
      </c>
      <c r="G60" s="112">
        <f>H60-(D60-C60)</f>
        <v>614967.35</v>
      </c>
      <c r="H60" s="112">
        <f>H32+5413.9*49</f>
        <v>615087.35</v>
      </c>
      <c r="I60" s="112" t="s">
        <v>111</v>
      </c>
      <c r="J60" s="201" t="s">
        <v>111</v>
      </c>
      <c r="K60" s="110"/>
      <c r="L60" s="465"/>
    </row>
    <row r="61" spans="1:12" ht="15" thickBot="1" x14ac:dyDescent="0.4">
      <c r="A61" s="586"/>
      <c r="B61" s="366" t="s">
        <v>263</v>
      </c>
      <c r="C61" s="118" t="s">
        <v>111</v>
      </c>
      <c r="D61" s="118" t="s">
        <v>111</v>
      </c>
      <c r="E61" s="118" t="s">
        <v>111</v>
      </c>
      <c r="F61" s="118" t="s">
        <v>111</v>
      </c>
      <c r="G61" s="118" t="s">
        <v>111</v>
      </c>
      <c r="H61" s="118" t="s">
        <v>111</v>
      </c>
      <c r="I61" s="118" t="s">
        <v>111</v>
      </c>
      <c r="J61" s="205" t="s">
        <v>111</v>
      </c>
      <c r="K61" s="110"/>
      <c r="L61" s="465"/>
    </row>
    <row r="63" spans="1:12" ht="15.5" x14ac:dyDescent="0.35">
      <c r="A63" s="284" t="s">
        <v>160</v>
      </c>
      <c r="B63" s="284"/>
      <c r="C63" s="125"/>
      <c r="D63" s="125"/>
      <c r="G63" s="97"/>
      <c r="H63" s="97"/>
      <c r="I63" s="46" t="s">
        <v>128</v>
      </c>
      <c r="J63" s="46"/>
    </row>
    <row r="64" spans="1:12" ht="15.5" x14ac:dyDescent="0.35">
      <c r="A64" s="590" t="s">
        <v>129</v>
      </c>
      <c r="B64" s="590"/>
      <c r="C64" s="99">
        <v>1000000</v>
      </c>
      <c r="D64" s="99">
        <v>1000000</v>
      </c>
      <c r="G64" s="46"/>
      <c r="H64" s="46"/>
      <c r="I64" s="46"/>
      <c r="J64" s="46"/>
      <c r="K64" s="46"/>
    </row>
    <row r="65" spans="1:15" ht="16" thickBot="1" x14ac:dyDescent="0.4">
      <c r="A65" s="591" t="s">
        <v>364</v>
      </c>
      <c r="B65" s="591"/>
      <c r="C65" s="127"/>
      <c r="D65" s="127"/>
      <c r="E65" s="127"/>
      <c r="F65" s="127"/>
      <c r="G65" s="127"/>
      <c r="H65" s="127"/>
      <c r="I65" s="127"/>
      <c r="J65" s="127"/>
    </row>
    <row r="66" spans="1:15" ht="16" thickBot="1" x14ac:dyDescent="0.4">
      <c r="A66" s="606"/>
      <c r="B66" s="606"/>
      <c r="C66" s="602" t="s">
        <v>368</v>
      </c>
      <c r="D66" s="603"/>
      <c r="E66" s="603"/>
      <c r="F66" s="632"/>
      <c r="G66" s="633" t="s">
        <v>369</v>
      </c>
      <c r="H66" s="633"/>
      <c r="I66" s="633"/>
      <c r="J66" s="634"/>
    </row>
    <row r="67" spans="1:15" ht="43.5" x14ac:dyDescent="0.35">
      <c r="A67" s="592"/>
      <c r="B67" s="615"/>
      <c r="C67" s="128" t="s">
        <v>361</v>
      </c>
      <c r="D67" s="128" t="s">
        <v>361</v>
      </c>
      <c r="E67" s="128" t="s">
        <v>354</v>
      </c>
      <c r="F67" s="128" t="s">
        <v>354</v>
      </c>
      <c r="G67" s="365" t="s">
        <v>361</v>
      </c>
      <c r="H67" s="365" t="s">
        <v>361</v>
      </c>
      <c r="I67" s="365" t="s">
        <v>354</v>
      </c>
      <c r="J67" s="285" t="s">
        <v>354</v>
      </c>
    </row>
    <row r="68" spans="1:15" x14ac:dyDescent="0.35">
      <c r="A68" s="594" t="s">
        <v>213</v>
      </c>
      <c r="B68" s="613"/>
      <c r="C68" s="130" t="s">
        <v>365</v>
      </c>
      <c r="D68" s="130" t="s">
        <v>365</v>
      </c>
      <c r="E68" s="130" t="s">
        <v>352</v>
      </c>
      <c r="F68" s="130" t="s">
        <v>352</v>
      </c>
      <c r="G68" s="362" t="s">
        <v>365</v>
      </c>
      <c r="H68" s="362" t="s">
        <v>365</v>
      </c>
      <c r="I68" s="362" t="s">
        <v>352</v>
      </c>
      <c r="J68" s="286" t="s">
        <v>352</v>
      </c>
    </row>
    <row r="69" spans="1:15" ht="30" customHeight="1" x14ac:dyDescent="0.35">
      <c r="A69" s="309" t="s">
        <v>176</v>
      </c>
      <c r="B69" s="395" t="s">
        <v>281</v>
      </c>
      <c r="C69" s="337" t="s">
        <v>141</v>
      </c>
      <c r="D69" s="337" t="s">
        <v>141</v>
      </c>
      <c r="E69" s="337" t="s">
        <v>141</v>
      </c>
      <c r="F69" s="337" t="s">
        <v>141</v>
      </c>
      <c r="G69" s="363" t="s">
        <v>141</v>
      </c>
      <c r="H69" s="363" t="s">
        <v>141</v>
      </c>
      <c r="I69" s="363" t="s">
        <v>141</v>
      </c>
      <c r="J69" s="291" t="s">
        <v>141</v>
      </c>
    </row>
    <row r="70" spans="1:15" x14ac:dyDescent="0.35">
      <c r="A70" s="587" t="s">
        <v>238</v>
      </c>
      <c r="B70" s="14" t="s">
        <v>362</v>
      </c>
      <c r="C70" s="112">
        <f>15836.9+497-60</f>
        <v>16273.9</v>
      </c>
      <c r="D70" s="112">
        <f>15836.9+497</f>
        <v>16333.9</v>
      </c>
      <c r="E70" s="112" t="s">
        <v>111</v>
      </c>
      <c r="F70" s="112" t="s">
        <v>111</v>
      </c>
      <c r="G70" s="112">
        <f>H70-(D70-C70)</f>
        <v>81609.5</v>
      </c>
      <c r="H70" s="112">
        <f>D70*5</f>
        <v>81669.5</v>
      </c>
      <c r="I70" s="112" t="s">
        <v>111</v>
      </c>
      <c r="J70" s="201" t="s">
        <v>111</v>
      </c>
      <c r="K70" s="110"/>
    </row>
    <row r="71" spans="1:15" x14ac:dyDescent="0.35">
      <c r="A71" s="587"/>
      <c r="B71" s="20" t="s">
        <v>363</v>
      </c>
      <c r="C71" s="112">
        <f>D71-60</f>
        <v>9381.4500000000007</v>
      </c>
      <c r="D71" s="112">
        <f>9137.45+304</f>
        <v>9441.4500000000007</v>
      </c>
      <c r="E71" s="112" t="s">
        <v>111</v>
      </c>
      <c r="F71" s="112" t="s">
        <v>111</v>
      </c>
      <c r="G71" s="112">
        <f>H71-(D71-C71)</f>
        <v>94354.5</v>
      </c>
      <c r="H71" s="112">
        <f>D71*10</f>
        <v>94414.5</v>
      </c>
      <c r="I71" s="112" t="s">
        <v>111</v>
      </c>
      <c r="J71" s="201" t="s">
        <v>111</v>
      </c>
      <c r="K71" s="110"/>
    </row>
    <row r="72" spans="1:15" customFormat="1" x14ac:dyDescent="0.35">
      <c r="A72" s="587"/>
      <c r="B72" s="20" t="s">
        <v>241</v>
      </c>
      <c r="C72" s="112">
        <f>D72-60</f>
        <v>3332.65</v>
      </c>
      <c r="D72" s="112">
        <f>3281.65+111</f>
        <v>3392.65</v>
      </c>
      <c r="E72" s="112">
        <f>F72/0.8*0.85</f>
        <v>3855.4937499999992</v>
      </c>
      <c r="F72" s="201">
        <v>3628.7</v>
      </c>
      <c r="G72" s="112">
        <f>H72-(D72-C72)</f>
        <v>118682.75</v>
      </c>
      <c r="H72" s="112">
        <f>D72*35</f>
        <v>118742.75</v>
      </c>
      <c r="I72" s="112">
        <f>J72-(F72-E72)</f>
        <v>127231.29375</v>
      </c>
      <c r="J72" s="201">
        <f>F72*35</f>
        <v>127004.5</v>
      </c>
      <c r="K72" s="110"/>
      <c r="M72" s="124"/>
      <c r="N72" s="124"/>
      <c r="O72" s="124"/>
    </row>
    <row r="73" spans="1:15" customFormat="1" x14ac:dyDescent="0.35">
      <c r="A73" s="587"/>
      <c r="B73" s="20" t="s">
        <v>370</v>
      </c>
      <c r="C73" s="112">
        <f>D73-60</f>
        <v>2942.3</v>
      </c>
      <c r="D73" s="112">
        <f>2906.3+96</f>
        <v>3002.3</v>
      </c>
      <c r="E73" s="112" t="s">
        <v>111</v>
      </c>
      <c r="F73" s="112" t="s">
        <v>111</v>
      </c>
      <c r="G73" s="112">
        <f>H73-(D73-C73)</f>
        <v>135043.5</v>
      </c>
      <c r="H73" s="112">
        <f>D73*45</f>
        <v>135103.5</v>
      </c>
      <c r="I73" s="112" t="s">
        <v>111</v>
      </c>
      <c r="J73" s="201" t="s">
        <v>111</v>
      </c>
      <c r="K73" s="110"/>
      <c r="M73" s="124"/>
      <c r="N73" s="124"/>
      <c r="O73" s="124"/>
    </row>
    <row r="74" spans="1:15" customFormat="1" x14ac:dyDescent="0.35">
      <c r="A74" s="587"/>
      <c r="B74" s="20" t="s">
        <v>243</v>
      </c>
      <c r="C74" s="112" t="s">
        <v>111</v>
      </c>
      <c r="D74" s="112" t="s">
        <v>111</v>
      </c>
      <c r="E74" s="112">
        <f>F74/0.8*0.85</f>
        <v>2143.7531249999997</v>
      </c>
      <c r="F74" s="112">
        <v>2017.65</v>
      </c>
      <c r="G74" s="112" t="s">
        <v>111</v>
      </c>
      <c r="H74" s="112" t="s">
        <v>111</v>
      </c>
      <c r="I74" s="112">
        <f>J74-(F74-E74)</f>
        <v>139343.953125</v>
      </c>
      <c r="J74" s="201">
        <f>F74*69</f>
        <v>139217.85</v>
      </c>
      <c r="K74" s="110"/>
      <c r="M74" s="124"/>
      <c r="N74" s="124"/>
      <c r="O74" s="124"/>
    </row>
    <row r="75" spans="1:15" customFormat="1" x14ac:dyDescent="0.35">
      <c r="A75" s="587" t="s">
        <v>245</v>
      </c>
      <c r="B75" s="14" t="s">
        <v>362</v>
      </c>
      <c r="C75" s="112">
        <f>22023+655-60</f>
        <v>22618</v>
      </c>
      <c r="D75" s="112">
        <f>22023+655</f>
        <v>22678</v>
      </c>
      <c r="E75" s="112" t="s">
        <v>111</v>
      </c>
      <c r="F75" s="112" t="s">
        <v>111</v>
      </c>
      <c r="G75" s="112">
        <f>H75-(D75-C75)</f>
        <v>113330</v>
      </c>
      <c r="H75" s="112">
        <f>D75*5</f>
        <v>113390</v>
      </c>
      <c r="I75" s="112" t="s">
        <v>111</v>
      </c>
      <c r="J75" s="201" t="s">
        <v>111</v>
      </c>
      <c r="K75" s="110"/>
      <c r="M75" s="124"/>
      <c r="N75" s="124"/>
      <c r="O75" s="124"/>
    </row>
    <row r="76" spans="1:15" customFormat="1" x14ac:dyDescent="0.35">
      <c r="A76" s="587"/>
      <c r="B76" s="20" t="s">
        <v>363</v>
      </c>
      <c r="C76" s="112">
        <f>D76-60</f>
        <v>12893.85</v>
      </c>
      <c r="D76" s="112">
        <f>12559.85+394</f>
        <v>12953.85</v>
      </c>
      <c r="E76" s="112" t="s">
        <v>111</v>
      </c>
      <c r="F76" s="112" t="s">
        <v>111</v>
      </c>
      <c r="G76" s="112">
        <f>H76-(D76-C76)</f>
        <v>129478.5</v>
      </c>
      <c r="H76" s="112">
        <f>D76*10</f>
        <v>129538.5</v>
      </c>
      <c r="I76" s="112" t="s">
        <v>111</v>
      </c>
      <c r="J76" s="201" t="s">
        <v>111</v>
      </c>
      <c r="K76" s="110"/>
      <c r="M76" s="124"/>
      <c r="N76" s="124"/>
      <c r="O76" s="124"/>
    </row>
    <row r="77" spans="1:15" customFormat="1" x14ac:dyDescent="0.35">
      <c r="A77" s="587"/>
      <c r="B77" s="20" t="s">
        <v>246</v>
      </c>
      <c r="C77" s="112">
        <f>D77-60</f>
        <v>5224.3999999999996</v>
      </c>
      <c r="D77" s="112">
        <f>5124.4+160</f>
        <v>5284.4</v>
      </c>
      <c r="E77" s="112">
        <f>F77/0.8*0.85</f>
        <v>5604.6343749999987</v>
      </c>
      <c r="F77" s="201">
        <v>5274.95</v>
      </c>
      <c r="G77" s="112">
        <f>H77-(D77-C77)</f>
        <v>158472</v>
      </c>
      <c r="H77" s="112">
        <f>D77*30</f>
        <v>158532</v>
      </c>
      <c r="I77" s="112">
        <f>J77-(F77-E77)</f>
        <v>158578.18437500001</v>
      </c>
      <c r="J77" s="201">
        <f>F77*30</f>
        <v>158248.5</v>
      </c>
      <c r="K77" s="110"/>
      <c r="M77" s="124"/>
      <c r="N77" s="124"/>
      <c r="O77" s="124"/>
    </row>
    <row r="78" spans="1:15" customFormat="1" x14ac:dyDescent="0.35">
      <c r="A78" s="587"/>
      <c r="B78" s="20" t="s">
        <v>371</v>
      </c>
      <c r="C78" s="112">
        <f>D78-60</f>
        <v>4253.25</v>
      </c>
      <c r="D78" s="112">
        <f>4183.25+130</f>
        <v>4313.25</v>
      </c>
      <c r="E78" s="112" t="s">
        <v>111</v>
      </c>
      <c r="F78" s="112" t="s">
        <v>111</v>
      </c>
      <c r="G78" s="112">
        <f>H78-(D78-C78)</f>
        <v>172470</v>
      </c>
      <c r="H78" s="112">
        <f>D78*40</f>
        <v>172530</v>
      </c>
      <c r="I78" s="112" t="s">
        <v>111</v>
      </c>
      <c r="J78" s="201" t="s">
        <v>111</v>
      </c>
      <c r="K78" s="110"/>
      <c r="M78" s="124"/>
      <c r="N78" s="124"/>
      <c r="O78" s="124"/>
    </row>
    <row r="79" spans="1:15" customFormat="1" x14ac:dyDescent="0.35">
      <c r="A79" s="587"/>
      <c r="B79" s="20" t="s">
        <v>248</v>
      </c>
      <c r="C79" s="112" t="s">
        <v>111</v>
      </c>
      <c r="D79" s="112" t="s">
        <v>111</v>
      </c>
      <c r="E79" s="112">
        <f>F79/0.8*0.85</f>
        <v>2940.203125</v>
      </c>
      <c r="F79" s="112">
        <v>2767.25</v>
      </c>
      <c r="G79" s="112" t="s">
        <v>111</v>
      </c>
      <c r="H79" s="112" t="s">
        <v>111</v>
      </c>
      <c r="I79" s="112">
        <f>J79-(F79-E79)</f>
        <v>177276.953125</v>
      </c>
      <c r="J79" s="201">
        <f>F79*64</f>
        <v>177104</v>
      </c>
      <c r="K79" s="110"/>
      <c r="M79" s="124"/>
      <c r="N79" s="124"/>
      <c r="O79" s="124"/>
    </row>
    <row r="80" spans="1:15" customFormat="1" x14ac:dyDescent="0.35">
      <c r="A80" s="587" t="s">
        <v>250</v>
      </c>
      <c r="B80" s="14" t="s">
        <v>362</v>
      </c>
      <c r="C80" s="112">
        <f>28206.3+812-60</f>
        <v>28958.3</v>
      </c>
      <c r="D80" s="112">
        <f>28206.3+812</f>
        <v>29018.3</v>
      </c>
      <c r="E80" s="112" t="s">
        <v>111</v>
      </c>
      <c r="F80" s="112" t="s">
        <v>111</v>
      </c>
      <c r="G80" s="112">
        <f>H80-(D80-C80)</f>
        <v>145031.5</v>
      </c>
      <c r="H80" s="112">
        <f>D80*5</f>
        <v>145091.5</v>
      </c>
      <c r="I80" s="112" t="s">
        <v>111</v>
      </c>
      <c r="J80" s="201" t="s">
        <v>111</v>
      </c>
      <c r="K80" s="110"/>
      <c r="M80" s="124"/>
      <c r="N80" s="124"/>
      <c r="O80" s="124"/>
    </row>
    <row r="81" spans="1:15" customFormat="1" x14ac:dyDescent="0.35">
      <c r="A81" s="587"/>
      <c r="B81" s="20" t="s">
        <v>363</v>
      </c>
      <c r="C81" s="112">
        <f>D81-60</f>
        <v>16403.2</v>
      </c>
      <c r="D81" s="112">
        <f>15983.2+480</f>
        <v>16463.2</v>
      </c>
      <c r="E81" s="112" t="s">
        <v>111</v>
      </c>
      <c r="F81" s="112" t="s">
        <v>111</v>
      </c>
      <c r="G81" s="112">
        <f>H81-(D81-C81)</f>
        <v>164572</v>
      </c>
      <c r="H81" s="112">
        <f>D81*10</f>
        <v>164632</v>
      </c>
      <c r="I81" s="112" t="s">
        <v>111</v>
      </c>
      <c r="J81" s="201" t="s">
        <v>111</v>
      </c>
      <c r="K81" s="110"/>
      <c r="M81" s="124"/>
      <c r="N81" s="124"/>
      <c r="O81" s="124"/>
    </row>
    <row r="82" spans="1:15" customFormat="1" x14ac:dyDescent="0.35">
      <c r="A82" s="587"/>
      <c r="B82" s="20" t="s">
        <v>251</v>
      </c>
      <c r="C82" s="112">
        <f>D82-60</f>
        <v>7110.5</v>
      </c>
      <c r="D82" s="112">
        <f>6963.5+207</f>
        <v>7170.5</v>
      </c>
      <c r="E82" s="112">
        <f>F82/0.8*0.85</f>
        <v>8389.0749999999989</v>
      </c>
      <c r="F82" s="201">
        <v>7895.6</v>
      </c>
      <c r="G82" s="112">
        <f>H82-(D82-C82)</f>
        <v>179202.5</v>
      </c>
      <c r="H82" s="112">
        <f>D82*25</f>
        <v>179262.5</v>
      </c>
      <c r="I82" s="112">
        <f>J82-(F82-E82)</f>
        <v>197883.47500000001</v>
      </c>
      <c r="J82" s="201">
        <f>F82*25</f>
        <v>197390</v>
      </c>
      <c r="K82" s="110"/>
      <c r="M82" s="124"/>
      <c r="N82" s="124"/>
      <c r="O82" s="124"/>
    </row>
    <row r="83" spans="1:15" customFormat="1" x14ac:dyDescent="0.35">
      <c r="A83" s="587"/>
      <c r="B83" s="20" t="s">
        <v>372</v>
      </c>
      <c r="C83" s="112">
        <f>D83-60</f>
        <v>5562.3</v>
      </c>
      <c r="D83" s="112">
        <f>5459.3+163</f>
        <v>5622.3</v>
      </c>
      <c r="E83" s="112" t="s">
        <v>111</v>
      </c>
      <c r="F83" s="112" t="s">
        <v>111</v>
      </c>
      <c r="G83" s="112">
        <f>H83-(D83-C83)</f>
        <v>196720.5</v>
      </c>
      <c r="H83" s="112">
        <f>D83*35</f>
        <v>196780.5</v>
      </c>
      <c r="I83" s="112" t="s">
        <v>111</v>
      </c>
      <c r="J83" s="201" t="s">
        <v>111</v>
      </c>
      <c r="K83" s="110"/>
      <c r="M83" s="124"/>
      <c r="N83" s="124"/>
      <c r="O83" s="124"/>
    </row>
    <row r="84" spans="1:15" customFormat="1" x14ac:dyDescent="0.35">
      <c r="A84" s="587"/>
      <c r="B84" s="20" t="s">
        <v>253</v>
      </c>
      <c r="C84" s="112" t="s">
        <v>111</v>
      </c>
      <c r="D84" s="112" t="s">
        <v>111</v>
      </c>
      <c r="E84" s="112">
        <f>F84/0.8*0.85</f>
        <v>3986.0749999999998</v>
      </c>
      <c r="F84" s="112">
        <v>3751.6</v>
      </c>
      <c r="G84" s="112" t="s">
        <v>111</v>
      </c>
      <c r="H84" s="112" t="s">
        <v>111</v>
      </c>
      <c r="I84" s="112">
        <f>J84-(F84-E84)</f>
        <v>221578.875</v>
      </c>
      <c r="J84" s="201">
        <f>F84*59</f>
        <v>221344.4</v>
      </c>
      <c r="K84" s="110"/>
      <c r="M84" s="124"/>
      <c r="N84" s="124"/>
      <c r="O84" s="124"/>
    </row>
    <row r="85" spans="1:15" customFormat="1" x14ac:dyDescent="0.35">
      <c r="A85" s="587" t="s">
        <v>255</v>
      </c>
      <c r="B85" s="14" t="s">
        <v>362</v>
      </c>
      <c r="C85" s="112">
        <f>35820.2+955-60</f>
        <v>36715.199999999997</v>
      </c>
      <c r="D85" s="112">
        <f>35820.2+955</f>
        <v>36775.199999999997</v>
      </c>
      <c r="E85" s="112" t="s">
        <v>111</v>
      </c>
      <c r="F85" s="112" t="s">
        <v>111</v>
      </c>
      <c r="G85" s="112">
        <f>H85-(D85-C85)</f>
        <v>183816</v>
      </c>
      <c r="H85" s="112">
        <f>D85*5</f>
        <v>183876</v>
      </c>
      <c r="I85" s="112" t="s">
        <v>111</v>
      </c>
      <c r="J85" s="201" t="s">
        <v>111</v>
      </c>
      <c r="K85" s="110"/>
      <c r="M85" s="124"/>
      <c r="N85" s="124"/>
      <c r="O85" s="124"/>
    </row>
    <row r="86" spans="1:15" customFormat="1" x14ac:dyDescent="0.35">
      <c r="A86" s="587"/>
      <c r="B86" s="20" t="s">
        <v>363</v>
      </c>
      <c r="C86" s="112">
        <f>20885.85+581-60</f>
        <v>21406.85</v>
      </c>
      <c r="D86" s="112">
        <f>20885.85+581</f>
        <v>21466.85</v>
      </c>
      <c r="E86" s="112" t="s">
        <v>111</v>
      </c>
      <c r="F86" s="112" t="s">
        <v>111</v>
      </c>
      <c r="G86" s="112">
        <f>H86-(D86-C86)</f>
        <v>214608.5</v>
      </c>
      <c r="H86" s="112">
        <f>D86*10</f>
        <v>214668.5</v>
      </c>
      <c r="I86" s="112" t="s">
        <v>111</v>
      </c>
      <c r="J86" s="201" t="s">
        <v>111</v>
      </c>
      <c r="K86" s="110"/>
      <c r="M86" s="124"/>
      <c r="N86" s="124"/>
      <c r="O86" s="124"/>
    </row>
    <row r="87" spans="1:15" customFormat="1" x14ac:dyDescent="0.35">
      <c r="A87" s="587"/>
      <c r="B87" s="20" t="s">
        <v>256</v>
      </c>
      <c r="C87" s="112">
        <f>11424.6+329-60</f>
        <v>11693.6</v>
      </c>
      <c r="D87" s="112">
        <f>11424.6+329</f>
        <v>11753.6</v>
      </c>
      <c r="E87" s="112">
        <f>F87/0.8*0.85</f>
        <v>13033.421875</v>
      </c>
      <c r="F87" s="201">
        <v>12266.75</v>
      </c>
      <c r="G87" s="112">
        <f>H87-(D87-C87)</f>
        <v>235012</v>
      </c>
      <c r="H87" s="112">
        <f>D87*20</f>
        <v>235072</v>
      </c>
      <c r="I87" s="112">
        <f>J87-(F87-E87)</f>
        <v>246101.671875</v>
      </c>
      <c r="J87" s="201">
        <f>F87*20</f>
        <v>245335</v>
      </c>
      <c r="K87" s="110"/>
      <c r="M87" s="124"/>
      <c r="N87" s="124"/>
      <c r="O87" s="124"/>
    </row>
    <row r="88" spans="1:15" customFormat="1" x14ac:dyDescent="0.35">
      <c r="A88" s="587"/>
      <c r="B88" s="20" t="s">
        <v>374</v>
      </c>
      <c r="C88" s="112">
        <f>8037.15+219-60</f>
        <v>8196.15</v>
      </c>
      <c r="D88" s="112">
        <f>8037.15+219</f>
        <v>8256.15</v>
      </c>
      <c r="E88" s="112" t="s">
        <v>111</v>
      </c>
      <c r="F88" s="112" t="s">
        <v>111</v>
      </c>
      <c r="G88" s="112">
        <f>H88-(D88-C88)</f>
        <v>247624.5</v>
      </c>
      <c r="H88" s="112">
        <f>D88*30</f>
        <v>247684.5</v>
      </c>
      <c r="I88" s="112" t="s">
        <v>111</v>
      </c>
      <c r="J88" s="201" t="s">
        <v>111</v>
      </c>
      <c r="K88" s="110"/>
      <c r="M88" s="124"/>
      <c r="N88" s="124"/>
      <c r="O88" s="124"/>
    </row>
    <row r="89" spans="1:15" customFormat="1" x14ac:dyDescent="0.35">
      <c r="A89" s="587"/>
      <c r="B89" s="20" t="s">
        <v>258</v>
      </c>
      <c r="C89" s="112" t="s">
        <v>111</v>
      </c>
      <c r="D89" s="112" t="s">
        <v>111</v>
      </c>
      <c r="E89" s="112">
        <f>F89/0.8*0.85</f>
        <v>5511.3468749999993</v>
      </c>
      <c r="F89" s="112">
        <v>5187.1499999999996</v>
      </c>
      <c r="G89" s="112" t="s">
        <v>111</v>
      </c>
      <c r="H89" s="112" t="s">
        <v>111</v>
      </c>
      <c r="I89" s="112">
        <f>J89-(F89-E89)</f>
        <v>280430.296875</v>
      </c>
      <c r="J89" s="201">
        <f>F89*54</f>
        <v>280106.09999999998</v>
      </c>
      <c r="K89" s="110"/>
      <c r="M89" s="124"/>
      <c r="N89" s="124"/>
      <c r="O89" s="124"/>
    </row>
    <row r="90" spans="1:15" customFormat="1" x14ac:dyDescent="0.35">
      <c r="A90" s="587" t="s">
        <v>260</v>
      </c>
      <c r="B90" s="14" t="s">
        <v>362</v>
      </c>
      <c r="C90" s="112">
        <f>44301.7+1097-60</f>
        <v>45338.7</v>
      </c>
      <c r="D90" s="112">
        <f>44301.7+1097</f>
        <v>45398.7</v>
      </c>
      <c r="E90" s="112" t="s">
        <v>111</v>
      </c>
      <c r="F90" s="112" t="s">
        <v>111</v>
      </c>
      <c r="G90" s="112">
        <f>H90-(D90-C90)</f>
        <v>226933.5</v>
      </c>
      <c r="H90" s="112">
        <f>D90*5</f>
        <v>226993.5</v>
      </c>
      <c r="I90" s="112" t="s">
        <v>111</v>
      </c>
      <c r="J90" s="201" t="s">
        <v>111</v>
      </c>
      <c r="K90" s="110"/>
      <c r="M90" s="124"/>
      <c r="N90" s="124"/>
      <c r="O90" s="124"/>
    </row>
    <row r="91" spans="1:15" customFormat="1" x14ac:dyDescent="0.35">
      <c r="A91" s="587"/>
      <c r="B91" s="20" t="s">
        <v>363</v>
      </c>
      <c r="C91" s="112">
        <f>26304.65+686-60</f>
        <v>26930.65</v>
      </c>
      <c r="D91" s="112">
        <f>26304.65+686</f>
        <v>26990.65</v>
      </c>
      <c r="E91" s="112" t="s">
        <v>111</v>
      </c>
      <c r="F91" s="112" t="s">
        <v>111</v>
      </c>
      <c r="G91" s="112">
        <f>H91-(D91-C91)</f>
        <v>269846.5</v>
      </c>
      <c r="H91" s="112">
        <f>D91*10</f>
        <v>269906.5</v>
      </c>
      <c r="I91" s="112" t="s">
        <v>111</v>
      </c>
      <c r="J91" s="201" t="s">
        <v>111</v>
      </c>
      <c r="K91" s="110"/>
      <c r="M91" s="124"/>
      <c r="N91" s="124"/>
      <c r="O91" s="124"/>
    </row>
    <row r="92" spans="1:15" customFormat="1" x14ac:dyDescent="0.35">
      <c r="A92" s="587"/>
      <c r="B92" s="20" t="s">
        <v>261</v>
      </c>
      <c r="C92" s="112">
        <f>19079.9+458-60</f>
        <v>19477.900000000001</v>
      </c>
      <c r="D92" s="112">
        <f>19079.9+458</f>
        <v>19537.900000000001</v>
      </c>
      <c r="E92" s="112">
        <f>F92/0.8*0.85</f>
        <v>22314.465624999997</v>
      </c>
      <c r="F92" s="201">
        <v>21001.85</v>
      </c>
      <c r="G92" s="112">
        <f>H92-(D92-C92)</f>
        <v>293008.5</v>
      </c>
      <c r="H92" s="112">
        <f>D92*15</f>
        <v>293068.5</v>
      </c>
      <c r="I92" s="112">
        <f>J92-(F92-E92)</f>
        <v>316340.36562499998</v>
      </c>
      <c r="J92" s="201">
        <f>F92*15</f>
        <v>315027.75</v>
      </c>
      <c r="K92" s="110"/>
      <c r="M92" s="124"/>
      <c r="N92" s="124"/>
      <c r="O92" s="124"/>
    </row>
    <row r="93" spans="1:15" customFormat="1" x14ac:dyDescent="0.35">
      <c r="A93" s="587"/>
      <c r="B93" s="20" t="s">
        <v>373</v>
      </c>
      <c r="C93" s="112">
        <f>11581+275-60</f>
        <v>11796</v>
      </c>
      <c r="D93" s="112">
        <f>11581+275</f>
        <v>11856</v>
      </c>
      <c r="E93" s="112" t="s">
        <v>111</v>
      </c>
      <c r="F93" s="112" t="s">
        <v>111</v>
      </c>
      <c r="G93" s="112">
        <f>H93-(D93-C93)</f>
        <v>414900</v>
      </c>
      <c r="H93" s="112">
        <f>D93*35</f>
        <v>414960</v>
      </c>
      <c r="I93" s="112" t="s">
        <v>111</v>
      </c>
      <c r="J93" s="201" t="s">
        <v>111</v>
      </c>
      <c r="K93" s="110"/>
      <c r="M93" s="124"/>
      <c r="N93" s="124"/>
      <c r="O93" s="124"/>
    </row>
    <row r="94" spans="1:15" customFormat="1" ht="15" thickBot="1" x14ac:dyDescent="0.4">
      <c r="A94" s="612"/>
      <c r="B94" s="366" t="s">
        <v>263</v>
      </c>
      <c r="C94" s="118" t="s">
        <v>111</v>
      </c>
      <c r="D94" s="118" t="s">
        <v>111</v>
      </c>
      <c r="E94" s="118">
        <f>F94/0.8*0.85</f>
        <v>7664.078125</v>
      </c>
      <c r="F94" s="118">
        <v>7213.25</v>
      </c>
      <c r="G94" s="118" t="s">
        <v>111</v>
      </c>
      <c r="H94" s="118" t="s">
        <v>111</v>
      </c>
      <c r="I94" s="118">
        <f>J94-(F94-E94)</f>
        <v>353900.078125</v>
      </c>
      <c r="J94" s="205">
        <f>F94*49</f>
        <v>353449.25</v>
      </c>
      <c r="K94" s="110"/>
      <c r="M94" s="124"/>
      <c r="N94" s="124"/>
      <c r="O94" s="124"/>
    </row>
    <row r="95" spans="1:15" customFormat="1" ht="29" x14ac:dyDescent="0.35">
      <c r="A95" s="621" t="s">
        <v>221</v>
      </c>
      <c r="B95" s="622"/>
      <c r="C95" s="348" t="s">
        <v>367</v>
      </c>
      <c r="D95" s="348" t="s">
        <v>367</v>
      </c>
      <c r="E95" s="364" t="s">
        <v>111</v>
      </c>
      <c r="F95" s="364" t="s">
        <v>111</v>
      </c>
      <c r="G95" s="439" t="s">
        <v>367</v>
      </c>
      <c r="H95" s="439" t="s">
        <v>367</v>
      </c>
      <c r="I95" s="424" t="s">
        <v>111</v>
      </c>
      <c r="J95" s="301" t="s">
        <v>111</v>
      </c>
      <c r="K95" s="110"/>
      <c r="M95" s="124"/>
      <c r="N95" s="124"/>
      <c r="O95" s="124"/>
    </row>
    <row r="96" spans="1:15" customFormat="1" x14ac:dyDescent="0.35">
      <c r="A96" s="588"/>
      <c r="B96" s="619"/>
      <c r="C96" s="274" t="s">
        <v>154</v>
      </c>
      <c r="D96" s="274" t="s">
        <v>154</v>
      </c>
      <c r="E96" s="274" t="s">
        <v>111</v>
      </c>
      <c r="F96" s="274" t="s">
        <v>111</v>
      </c>
      <c r="G96" s="289" t="s">
        <v>154</v>
      </c>
      <c r="H96" s="289" t="s">
        <v>154</v>
      </c>
      <c r="I96" s="289" t="s">
        <v>111</v>
      </c>
      <c r="J96" s="290" t="s">
        <v>111</v>
      </c>
      <c r="K96" s="110"/>
      <c r="M96" s="124"/>
      <c r="N96" s="124"/>
      <c r="O96" s="124"/>
    </row>
    <row r="97" spans="1:15" customFormat="1" x14ac:dyDescent="0.35">
      <c r="A97" s="429" t="s">
        <v>176</v>
      </c>
      <c r="B97" s="437" t="s">
        <v>281</v>
      </c>
      <c r="C97" s="425" t="s">
        <v>141</v>
      </c>
      <c r="D97" s="425" t="s">
        <v>141</v>
      </c>
      <c r="E97" s="426" t="s">
        <v>111</v>
      </c>
      <c r="F97" s="426" t="s">
        <v>111</v>
      </c>
      <c r="G97" s="438" t="s">
        <v>141</v>
      </c>
      <c r="H97" s="438" t="s">
        <v>141</v>
      </c>
      <c r="I97" s="427" t="s">
        <v>111</v>
      </c>
      <c r="J97" s="430" t="s">
        <v>111</v>
      </c>
      <c r="K97" s="110"/>
      <c r="M97" s="124"/>
      <c r="N97" s="124"/>
      <c r="O97" s="124"/>
    </row>
    <row r="98" spans="1:15" customFormat="1" x14ac:dyDescent="0.35">
      <c r="A98" s="585" t="s">
        <v>238</v>
      </c>
      <c r="B98" s="14" t="s">
        <v>362</v>
      </c>
      <c r="C98" s="112">
        <f>C70+2655-60</f>
        <v>18868.900000000001</v>
      </c>
      <c r="D98" s="112">
        <f>D70+2655</f>
        <v>18988.900000000001</v>
      </c>
      <c r="E98" s="112" t="s">
        <v>111</v>
      </c>
      <c r="F98" s="112" t="s">
        <v>111</v>
      </c>
      <c r="G98" s="112">
        <f>H98-(D98-C98)</f>
        <v>173147</v>
      </c>
      <c r="H98" s="112">
        <f>H70+1327.5*69</f>
        <v>173267</v>
      </c>
      <c r="I98" s="112" t="s">
        <v>111</v>
      </c>
      <c r="J98" s="201" t="s">
        <v>111</v>
      </c>
      <c r="K98" s="110"/>
      <c r="M98" s="124"/>
      <c r="N98" s="124"/>
      <c r="O98" s="124"/>
    </row>
    <row r="99" spans="1:15" customFormat="1" x14ac:dyDescent="0.35">
      <c r="A99" s="585"/>
      <c r="B99" s="20" t="s">
        <v>363</v>
      </c>
      <c r="C99" s="112">
        <f>D99-60</f>
        <v>12036.45</v>
      </c>
      <c r="D99" s="112">
        <f>D71+2655</f>
        <v>12096.45</v>
      </c>
      <c r="E99" s="112" t="s">
        <v>111</v>
      </c>
      <c r="F99" s="112" t="s">
        <v>111</v>
      </c>
      <c r="G99" s="112">
        <f>H99-(D99-C99)</f>
        <v>185952</v>
      </c>
      <c r="H99" s="112">
        <f>H71+1327.5*69</f>
        <v>186012</v>
      </c>
      <c r="I99" s="112" t="s">
        <v>111</v>
      </c>
      <c r="J99" s="201" t="s">
        <v>111</v>
      </c>
      <c r="K99" s="110"/>
      <c r="M99" s="124"/>
      <c r="N99" s="124"/>
      <c r="O99" s="124"/>
    </row>
    <row r="100" spans="1:15" customFormat="1" x14ac:dyDescent="0.35">
      <c r="A100" s="585"/>
      <c r="B100" s="20" t="s">
        <v>241</v>
      </c>
      <c r="C100" s="112">
        <f>D100-60</f>
        <v>5987.65</v>
      </c>
      <c r="D100" s="112">
        <f t="shared" ref="D100:D101" si="7">D72+2655</f>
        <v>6047.65</v>
      </c>
      <c r="E100" s="112" t="s">
        <v>111</v>
      </c>
      <c r="F100" s="112" t="s">
        <v>111</v>
      </c>
      <c r="G100" s="112">
        <f>H100-(D100-C100)</f>
        <v>210280.25</v>
      </c>
      <c r="H100" s="112">
        <f>H72+1327.5*69</f>
        <v>210340.25</v>
      </c>
      <c r="I100" s="112" t="s">
        <v>111</v>
      </c>
      <c r="J100" s="201" t="s">
        <v>111</v>
      </c>
      <c r="K100" s="110"/>
      <c r="M100" s="124"/>
      <c r="N100" s="124"/>
      <c r="O100" s="124"/>
    </row>
    <row r="101" spans="1:15" customFormat="1" x14ac:dyDescent="0.35">
      <c r="A101" s="585"/>
      <c r="B101" s="20" t="s">
        <v>370</v>
      </c>
      <c r="C101" s="112">
        <f>D101-60</f>
        <v>5597.3</v>
      </c>
      <c r="D101" s="112">
        <f t="shared" si="7"/>
        <v>5657.3</v>
      </c>
      <c r="E101" s="112" t="s">
        <v>111</v>
      </c>
      <c r="F101" s="112" t="s">
        <v>111</v>
      </c>
      <c r="G101" s="112">
        <f>H101-(D101-C101)</f>
        <v>226641</v>
      </c>
      <c r="H101" s="112">
        <f>H73+1327.5*69</f>
        <v>226701</v>
      </c>
      <c r="I101" s="112" t="s">
        <v>111</v>
      </c>
      <c r="J101" s="201" t="s">
        <v>111</v>
      </c>
      <c r="K101" s="110"/>
      <c r="M101" s="124"/>
      <c r="N101" s="124"/>
      <c r="O101" s="124"/>
    </row>
    <row r="102" spans="1:15" customFormat="1" x14ac:dyDescent="0.35">
      <c r="A102" s="585"/>
      <c r="B102" s="20" t="s">
        <v>243</v>
      </c>
      <c r="C102" s="112" t="s">
        <v>111</v>
      </c>
      <c r="D102" s="112" t="s">
        <v>111</v>
      </c>
      <c r="E102" s="112" t="s">
        <v>111</v>
      </c>
      <c r="F102" s="112" t="s">
        <v>111</v>
      </c>
      <c r="G102" s="112" t="s">
        <v>111</v>
      </c>
      <c r="H102" s="112" t="s">
        <v>111</v>
      </c>
      <c r="I102" s="112" t="s">
        <v>111</v>
      </c>
      <c r="J102" s="201" t="s">
        <v>111</v>
      </c>
      <c r="K102" s="110"/>
      <c r="M102" s="124"/>
      <c r="N102" s="124"/>
      <c r="O102" s="124"/>
    </row>
    <row r="103" spans="1:15" customFormat="1" x14ac:dyDescent="0.35">
      <c r="A103" s="585" t="s">
        <v>245</v>
      </c>
      <c r="B103" s="14" t="s">
        <v>362</v>
      </c>
      <c r="C103" s="112">
        <f>C75+3219.7-60</f>
        <v>25777.7</v>
      </c>
      <c r="D103" s="112">
        <f>D75+3219.7</f>
        <v>25897.7</v>
      </c>
      <c r="E103" s="112" t="s">
        <v>111</v>
      </c>
      <c r="F103" s="112" t="s">
        <v>111</v>
      </c>
      <c r="G103" s="112">
        <f>H103-(D103-C103)</f>
        <v>216300.4</v>
      </c>
      <c r="H103" s="112">
        <f>H75+1609.85*64</f>
        <v>216420.4</v>
      </c>
      <c r="I103" s="112" t="s">
        <v>111</v>
      </c>
      <c r="J103" s="201" t="s">
        <v>111</v>
      </c>
      <c r="K103" s="110"/>
      <c r="M103" s="124"/>
      <c r="N103" s="124"/>
      <c r="O103" s="124"/>
    </row>
    <row r="104" spans="1:15" customFormat="1" x14ac:dyDescent="0.35">
      <c r="A104" s="585"/>
      <c r="B104" s="20" t="s">
        <v>363</v>
      </c>
      <c r="C104" s="112">
        <f>D104-60</f>
        <v>16113.55</v>
      </c>
      <c r="D104" s="112">
        <f>D76+3219.7</f>
        <v>16173.55</v>
      </c>
      <c r="E104" s="112" t="s">
        <v>111</v>
      </c>
      <c r="F104" s="112" t="s">
        <v>111</v>
      </c>
      <c r="G104" s="112">
        <f>H104-(D104-C104)</f>
        <v>232508.9</v>
      </c>
      <c r="H104" s="112">
        <f t="shared" ref="H104:H106" si="8">H76+1609.85*64</f>
        <v>232568.9</v>
      </c>
      <c r="I104" s="112" t="s">
        <v>111</v>
      </c>
      <c r="J104" s="201" t="s">
        <v>111</v>
      </c>
      <c r="K104" s="110"/>
      <c r="M104" s="124"/>
      <c r="N104" s="124"/>
      <c r="O104" s="124"/>
    </row>
    <row r="105" spans="1:15" customFormat="1" x14ac:dyDescent="0.35">
      <c r="A105" s="585"/>
      <c r="B105" s="20" t="s">
        <v>246</v>
      </c>
      <c r="C105" s="112">
        <f>D105-60</f>
        <v>8444.0999999999985</v>
      </c>
      <c r="D105" s="112">
        <f t="shared" ref="D105:D106" si="9">D77+3219.7</f>
        <v>8504.0999999999985</v>
      </c>
      <c r="E105" s="112" t="s">
        <v>111</v>
      </c>
      <c r="F105" s="112" t="s">
        <v>111</v>
      </c>
      <c r="G105" s="112">
        <f>H105-(D105-C105)</f>
        <v>261502.4</v>
      </c>
      <c r="H105" s="112">
        <f t="shared" si="8"/>
        <v>261562.4</v>
      </c>
      <c r="I105" s="112" t="s">
        <v>111</v>
      </c>
      <c r="J105" s="201" t="s">
        <v>111</v>
      </c>
      <c r="K105" s="110"/>
      <c r="M105" s="124"/>
      <c r="N105" s="124"/>
      <c r="O105" s="124"/>
    </row>
    <row r="106" spans="1:15" customFormat="1" x14ac:dyDescent="0.35">
      <c r="A106" s="585"/>
      <c r="B106" s="20" t="s">
        <v>371</v>
      </c>
      <c r="C106" s="112">
        <f>D106-60</f>
        <v>7472.95</v>
      </c>
      <c r="D106" s="112">
        <f t="shared" si="9"/>
        <v>7532.95</v>
      </c>
      <c r="E106" s="112" t="s">
        <v>111</v>
      </c>
      <c r="F106" s="112" t="s">
        <v>111</v>
      </c>
      <c r="G106" s="112">
        <f>H106-(D106-C106)</f>
        <v>275500.40000000002</v>
      </c>
      <c r="H106" s="112">
        <f t="shared" si="8"/>
        <v>275560.40000000002</v>
      </c>
      <c r="I106" s="112" t="s">
        <v>111</v>
      </c>
      <c r="J106" s="201" t="s">
        <v>111</v>
      </c>
      <c r="K106" s="110"/>
      <c r="M106" s="124"/>
      <c r="N106" s="124"/>
      <c r="O106" s="124"/>
    </row>
    <row r="107" spans="1:15" customFormat="1" x14ac:dyDescent="0.35">
      <c r="A107" s="585"/>
      <c r="B107" s="20" t="s">
        <v>248</v>
      </c>
      <c r="C107" s="112" t="s">
        <v>111</v>
      </c>
      <c r="D107" s="112" t="s">
        <v>111</v>
      </c>
      <c r="E107" s="112" t="s">
        <v>111</v>
      </c>
      <c r="F107" s="112" t="s">
        <v>111</v>
      </c>
      <c r="G107" s="112" t="s">
        <v>111</v>
      </c>
      <c r="H107" s="112" t="s">
        <v>111</v>
      </c>
      <c r="I107" s="112" t="s">
        <v>111</v>
      </c>
      <c r="J107" s="201" t="s">
        <v>111</v>
      </c>
      <c r="K107" s="110"/>
      <c r="M107" s="124"/>
      <c r="N107" s="124"/>
      <c r="O107" s="124"/>
    </row>
    <row r="108" spans="1:15" customFormat="1" x14ac:dyDescent="0.35">
      <c r="A108" s="585" t="s">
        <v>250</v>
      </c>
      <c r="B108" s="14" t="s">
        <v>362</v>
      </c>
      <c r="C108" s="112">
        <f>C80+4025.45-60</f>
        <v>32923.75</v>
      </c>
      <c r="D108" s="112">
        <f>D80+4025.45</f>
        <v>33043.75</v>
      </c>
      <c r="E108" s="112" t="s">
        <v>111</v>
      </c>
      <c r="F108" s="112" t="s">
        <v>111</v>
      </c>
      <c r="G108" s="112">
        <f>H108-(D108-C108)</f>
        <v>263723.75</v>
      </c>
      <c r="H108" s="112">
        <f>H80+2012.75*59</f>
        <v>263843.75</v>
      </c>
      <c r="I108" s="112" t="s">
        <v>111</v>
      </c>
      <c r="J108" s="201" t="s">
        <v>111</v>
      </c>
      <c r="K108" s="110"/>
      <c r="M108" s="124"/>
      <c r="N108" s="124"/>
      <c r="O108" s="124"/>
    </row>
    <row r="109" spans="1:15" customFormat="1" x14ac:dyDescent="0.35">
      <c r="A109" s="585"/>
      <c r="B109" s="20" t="s">
        <v>363</v>
      </c>
      <c r="C109" s="112">
        <f>D109-60</f>
        <v>20428.650000000001</v>
      </c>
      <c r="D109" s="112">
        <f>D81+4025.45</f>
        <v>20488.650000000001</v>
      </c>
      <c r="E109" s="112" t="s">
        <v>111</v>
      </c>
      <c r="F109" s="112" t="s">
        <v>111</v>
      </c>
      <c r="G109" s="112">
        <f>H109-(D109-C109)</f>
        <v>283324.25</v>
      </c>
      <c r="H109" s="112">
        <f t="shared" ref="H109:H111" si="10">H81+2012.75*59</f>
        <v>283384.25</v>
      </c>
      <c r="I109" s="112" t="s">
        <v>111</v>
      </c>
      <c r="J109" s="201" t="s">
        <v>111</v>
      </c>
      <c r="K109" s="110"/>
      <c r="M109" s="124"/>
      <c r="N109" s="124"/>
      <c r="O109" s="124"/>
    </row>
    <row r="110" spans="1:15" customFormat="1" x14ac:dyDescent="0.35">
      <c r="A110" s="585"/>
      <c r="B110" s="20" t="s">
        <v>251</v>
      </c>
      <c r="C110" s="112">
        <f>D110-60</f>
        <v>11135.95</v>
      </c>
      <c r="D110" s="112">
        <f t="shared" ref="D110:D111" si="11">D82+4025.45</f>
        <v>11195.95</v>
      </c>
      <c r="E110" s="112" t="s">
        <v>111</v>
      </c>
      <c r="F110" s="112" t="s">
        <v>111</v>
      </c>
      <c r="G110" s="112">
        <f>H110-(D110-C110)</f>
        <v>297954.75</v>
      </c>
      <c r="H110" s="112">
        <f t="shared" si="10"/>
        <v>298014.75</v>
      </c>
      <c r="I110" s="112" t="s">
        <v>111</v>
      </c>
      <c r="J110" s="201" t="s">
        <v>111</v>
      </c>
      <c r="K110" s="110"/>
      <c r="M110" s="124"/>
      <c r="N110" s="124"/>
      <c r="O110" s="124"/>
    </row>
    <row r="111" spans="1:15" customFormat="1" x14ac:dyDescent="0.35">
      <c r="A111" s="585"/>
      <c r="B111" s="20" t="s">
        <v>372</v>
      </c>
      <c r="C111" s="112">
        <f>D111-60</f>
        <v>9587.75</v>
      </c>
      <c r="D111" s="112">
        <f t="shared" si="11"/>
        <v>9647.75</v>
      </c>
      <c r="E111" s="112" t="s">
        <v>111</v>
      </c>
      <c r="F111" s="112" t="s">
        <v>111</v>
      </c>
      <c r="G111" s="112">
        <f>H111-(D111-C111)</f>
        <v>315472.75</v>
      </c>
      <c r="H111" s="112">
        <f t="shared" si="10"/>
        <v>315532.75</v>
      </c>
      <c r="I111" s="112" t="s">
        <v>111</v>
      </c>
      <c r="J111" s="201" t="s">
        <v>111</v>
      </c>
      <c r="K111" s="110"/>
      <c r="M111" s="124"/>
      <c r="N111" s="124"/>
      <c r="O111" s="124"/>
    </row>
    <row r="112" spans="1:15" customFormat="1" x14ac:dyDescent="0.35">
      <c r="A112" s="585"/>
      <c r="B112" s="20" t="s">
        <v>253</v>
      </c>
      <c r="C112" s="112" t="s">
        <v>111</v>
      </c>
      <c r="D112" s="112" t="s">
        <v>111</v>
      </c>
      <c r="E112" s="112" t="s">
        <v>111</v>
      </c>
      <c r="F112" s="112" t="s">
        <v>111</v>
      </c>
      <c r="G112" s="112" t="s">
        <v>111</v>
      </c>
      <c r="H112" s="112" t="s">
        <v>111</v>
      </c>
      <c r="I112" s="112" t="s">
        <v>111</v>
      </c>
      <c r="J112" s="201" t="s">
        <v>111</v>
      </c>
      <c r="K112" s="110"/>
      <c r="M112" s="124"/>
      <c r="N112" s="124"/>
      <c r="O112" s="124"/>
    </row>
    <row r="113" spans="1:15" customFormat="1" x14ac:dyDescent="0.35">
      <c r="A113" s="585" t="s">
        <v>255</v>
      </c>
      <c r="B113" s="14" t="s">
        <v>362</v>
      </c>
      <c r="C113" s="112">
        <f>C85+5024.65-60</f>
        <v>41679.85</v>
      </c>
      <c r="D113" s="112">
        <f>D85+5024.65</f>
        <v>41799.85</v>
      </c>
      <c r="E113" s="112" t="s">
        <v>111</v>
      </c>
      <c r="F113" s="112" t="s">
        <v>111</v>
      </c>
      <c r="G113" s="112">
        <f>H113-(D113-C113)</f>
        <v>319422.90000000002</v>
      </c>
      <c r="H113" s="112">
        <f>H85+2512.35*54</f>
        <v>319542.90000000002</v>
      </c>
      <c r="I113" s="112" t="s">
        <v>111</v>
      </c>
      <c r="J113" s="201" t="s">
        <v>111</v>
      </c>
      <c r="K113" s="110"/>
      <c r="M113" s="124"/>
      <c r="N113" s="124"/>
      <c r="O113" s="124"/>
    </row>
    <row r="114" spans="1:15" customFormat="1" x14ac:dyDescent="0.35">
      <c r="A114" s="585"/>
      <c r="B114" s="20" t="s">
        <v>363</v>
      </c>
      <c r="C114" s="112">
        <f>C86+5024.65-60</f>
        <v>26371.5</v>
      </c>
      <c r="D114" s="112">
        <f>D86+5024.65</f>
        <v>26491.5</v>
      </c>
      <c r="E114" s="112" t="s">
        <v>111</v>
      </c>
      <c r="F114" s="112" t="s">
        <v>111</v>
      </c>
      <c r="G114" s="112">
        <f>H114-(D114-C114)</f>
        <v>350215.4</v>
      </c>
      <c r="H114" s="112">
        <f t="shared" ref="H114:H116" si="12">H86+2512.35*54</f>
        <v>350335.4</v>
      </c>
      <c r="I114" s="112" t="s">
        <v>111</v>
      </c>
      <c r="J114" s="201" t="s">
        <v>111</v>
      </c>
      <c r="K114" s="110"/>
      <c r="M114" s="124"/>
      <c r="N114" s="124"/>
      <c r="O114" s="124"/>
    </row>
    <row r="115" spans="1:15" customFormat="1" x14ac:dyDescent="0.35">
      <c r="A115" s="585"/>
      <c r="B115" s="20" t="s">
        <v>256</v>
      </c>
      <c r="C115" s="112">
        <f>C87+5024.65-60</f>
        <v>16658.25</v>
      </c>
      <c r="D115" s="112">
        <f t="shared" ref="D115:D116" si="13">D87+5024.65</f>
        <v>16778.25</v>
      </c>
      <c r="E115" s="112" t="s">
        <v>111</v>
      </c>
      <c r="F115" s="112" t="s">
        <v>111</v>
      </c>
      <c r="G115" s="112">
        <f>H115-(D115-C115)</f>
        <v>370618.9</v>
      </c>
      <c r="H115" s="112">
        <f t="shared" si="12"/>
        <v>370738.9</v>
      </c>
      <c r="I115" s="112" t="s">
        <v>111</v>
      </c>
      <c r="J115" s="201" t="s">
        <v>111</v>
      </c>
      <c r="K115" s="110"/>
      <c r="M115" s="124"/>
      <c r="N115" s="124"/>
      <c r="O115" s="124"/>
    </row>
    <row r="116" spans="1:15" customFormat="1" x14ac:dyDescent="0.35">
      <c r="A116" s="585"/>
      <c r="B116" s="20" t="s">
        <v>374</v>
      </c>
      <c r="C116" s="112">
        <f>C88+5024.65-60</f>
        <v>13160.8</v>
      </c>
      <c r="D116" s="112">
        <f t="shared" si="13"/>
        <v>13280.8</v>
      </c>
      <c r="E116" s="112" t="s">
        <v>111</v>
      </c>
      <c r="F116" s="112" t="s">
        <v>111</v>
      </c>
      <c r="G116" s="112">
        <f>H116-(D116-C116)</f>
        <v>383231.4</v>
      </c>
      <c r="H116" s="112">
        <f t="shared" si="12"/>
        <v>383351.4</v>
      </c>
      <c r="I116" s="112" t="s">
        <v>111</v>
      </c>
      <c r="J116" s="201" t="s">
        <v>111</v>
      </c>
      <c r="K116" s="110"/>
      <c r="M116" s="124"/>
      <c r="N116" s="124"/>
      <c r="O116" s="124"/>
    </row>
    <row r="117" spans="1:15" customFormat="1" x14ac:dyDescent="0.35">
      <c r="A117" s="585"/>
      <c r="B117" s="20" t="s">
        <v>258</v>
      </c>
      <c r="C117" s="112" t="s">
        <v>111</v>
      </c>
      <c r="D117" s="112" t="s">
        <v>111</v>
      </c>
      <c r="E117" s="112" t="s">
        <v>111</v>
      </c>
      <c r="F117" s="112" t="s">
        <v>111</v>
      </c>
      <c r="G117" s="112" t="s">
        <v>111</v>
      </c>
      <c r="H117" s="112" t="s">
        <v>111</v>
      </c>
      <c r="I117" s="112" t="s">
        <v>111</v>
      </c>
      <c r="J117" s="201" t="s">
        <v>111</v>
      </c>
      <c r="K117" s="110"/>
      <c r="M117" s="124"/>
      <c r="N117" s="124"/>
      <c r="O117" s="124"/>
    </row>
    <row r="118" spans="1:15" customFormat="1" x14ac:dyDescent="0.35">
      <c r="A118" s="585" t="s">
        <v>260</v>
      </c>
      <c r="B118" s="14" t="s">
        <v>362</v>
      </c>
      <c r="C118" s="112">
        <f>C90+6105.1-60</f>
        <v>51383.799999999996</v>
      </c>
      <c r="D118" s="112">
        <f>D90+6105.1</f>
        <v>51503.799999999996</v>
      </c>
      <c r="E118" s="112" t="s">
        <v>111</v>
      </c>
      <c r="F118" s="112" t="s">
        <v>111</v>
      </c>
      <c r="G118" s="112">
        <f>H118-(D118-C118)</f>
        <v>376448.45</v>
      </c>
      <c r="H118" s="112">
        <f>H90+3052.55*49</f>
        <v>376568.45</v>
      </c>
      <c r="I118" s="112" t="s">
        <v>111</v>
      </c>
      <c r="J118" s="201" t="s">
        <v>111</v>
      </c>
      <c r="K118" s="110"/>
      <c r="M118" s="124"/>
      <c r="N118" s="124"/>
      <c r="O118" s="124"/>
    </row>
    <row r="119" spans="1:15" customFormat="1" x14ac:dyDescent="0.35">
      <c r="A119" s="585"/>
      <c r="B119" s="20" t="s">
        <v>363</v>
      </c>
      <c r="C119" s="112">
        <f>C91+6105.1-60</f>
        <v>32975.75</v>
      </c>
      <c r="D119" s="112">
        <f>D91+6105.1</f>
        <v>33095.75</v>
      </c>
      <c r="E119" s="112" t="s">
        <v>111</v>
      </c>
      <c r="F119" s="112" t="s">
        <v>111</v>
      </c>
      <c r="G119" s="112">
        <f>H119-(D119-C119)</f>
        <v>419361.45</v>
      </c>
      <c r="H119" s="112">
        <f t="shared" ref="H119:H121" si="14">H91+3052.55*49</f>
        <v>419481.45</v>
      </c>
      <c r="I119" s="112" t="s">
        <v>111</v>
      </c>
      <c r="J119" s="201" t="s">
        <v>111</v>
      </c>
      <c r="K119" s="110"/>
      <c r="M119" s="124"/>
      <c r="N119" s="124"/>
      <c r="O119" s="124"/>
    </row>
    <row r="120" spans="1:15" customFormat="1" x14ac:dyDescent="0.35">
      <c r="A120" s="585"/>
      <c r="B120" s="20" t="s">
        <v>261</v>
      </c>
      <c r="C120" s="112">
        <f>C92+6105.1-60</f>
        <v>25523</v>
      </c>
      <c r="D120" s="112">
        <f t="shared" ref="D120:D121" si="15">D92+6105.1</f>
        <v>25643</v>
      </c>
      <c r="E120" s="112" t="s">
        <v>111</v>
      </c>
      <c r="F120" s="112" t="s">
        <v>111</v>
      </c>
      <c r="G120" s="112">
        <f>H120-(D120-C120)</f>
        <v>442523.45</v>
      </c>
      <c r="H120" s="112">
        <f t="shared" si="14"/>
        <v>442643.45</v>
      </c>
      <c r="I120" s="112" t="s">
        <v>111</v>
      </c>
      <c r="J120" s="201" t="s">
        <v>111</v>
      </c>
      <c r="K120" s="110"/>
      <c r="M120" s="124"/>
      <c r="N120" s="124"/>
      <c r="O120" s="124"/>
    </row>
    <row r="121" spans="1:15" customFormat="1" x14ac:dyDescent="0.35">
      <c r="A121" s="585"/>
      <c r="B121" s="20" t="s">
        <v>373</v>
      </c>
      <c r="C121" s="112">
        <f>C93+6105.1-60</f>
        <v>17841.099999999999</v>
      </c>
      <c r="D121" s="112">
        <f t="shared" si="15"/>
        <v>17961.099999999999</v>
      </c>
      <c r="E121" s="112" t="s">
        <v>111</v>
      </c>
      <c r="F121" s="112" t="s">
        <v>111</v>
      </c>
      <c r="G121" s="112">
        <f>H121-(D121-C121)</f>
        <v>564414.94999999995</v>
      </c>
      <c r="H121" s="112">
        <f t="shared" si="14"/>
        <v>564534.94999999995</v>
      </c>
      <c r="I121" s="112" t="s">
        <v>111</v>
      </c>
      <c r="J121" s="201" t="s">
        <v>111</v>
      </c>
      <c r="K121" s="110"/>
      <c r="M121" s="124"/>
      <c r="N121" s="124"/>
      <c r="O121" s="124"/>
    </row>
    <row r="122" spans="1:15" customFormat="1" ht="15" thickBot="1" x14ac:dyDescent="0.4">
      <c r="A122" s="586"/>
      <c r="B122" s="366" t="s">
        <v>263</v>
      </c>
      <c r="C122" s="118" t="s">
        <v>111</v>
      </c>
      <c r="D122" s="118" t="s">
        <v>111</v>
      </c>
      <c r="E122" s="118" t="s">
        <v>111</v>
      </c>
      <c r="F122" s="118" t="s">
        <v>111</v>
      </c>
      <c r="G122" s="118" t="s">
        <v>111</v>
      </c>
      <c r="H122" s="118" t="s">
        <v>111</v>
      </c>
      <c r="I122" s="118" t="s">
        <v>111</v>
      </c>
      <c r="J122" s="205" t="s">
        <v>111</v>
      </c>
      <c r="K122" s="110"/>
      <c r="M122" s="124"/>
      <c r="N122" s="124"/>
      <c r="O122" s="124"/>
    </row>
    <row r="126" spans="1:15" x14ac:dyDescent="0.35">
      <c r="B126" s="124"/>
    </row>
    <row r="127" spans="1:15" x14ac:dyDescent="0.35">
      <c r="B127" s="124"/>
    </row>
  </sheetData>
  <sheetProtection algorithmName="SHA-512" hashValue="S/p0b32OXzaumfIWWkbojgKXIXfeRrcB0fXeoRw9TTfJcB3k/GU0mHhP6i1F3SG2z2+rhpSkk4CAh3wA1yo8Wg==" saltValue="fkd4r7sYMrlrKg3xoekGCw==" spinCount="100000" sheet="1" objects="1" scenarios="1"/>
  <mergeCells count="37">
    <mergeCell ref="C5:F5"/>
    <mergeCell ref="G5:J5"/>
    <mergeCell ref="A66:B66"/>
    <mergeCell ref="C66:F66"/>
    <mergeCell ref="G66:J66"/>
    <mergeCell ref="A64:B64"/>
    <mergeCell ref="A65:B65"/>
    <mergeCell ref="A42:A46"/>
    <mergeCell ref="A47:A51"/>
    <mergeCell ref="A52:A56"/>
    <mergeCell ref="A57:A61"/>
    <mergeCell ref="L7:L23"/>
    <mergeCell ref="A37:A41"/>
    <mergeCell ref="A19:A23"/>
    <mergeCell ref="A24:A28"/>
    <mergeCell ref="A29:A33"/>
    <mergeCell ref="A34:B35"/>
    <mergeCell ref="A3:B3"/>
    <mergeCell ref="A4:B4"/>
    <mergeCell ref="A6:B6"/>
    <mergeCell ref="A7:B7"/>
    <mergeCell ref="A14:A18"/>
    <mergeCell ref="A5:B5"/>
    <mergeCell ref="A9:A13"/>
    <mergeCell ref="A95:B96"/>
    <mergeCell ref="A67:B67"/>
    <mergeCell ref="A68:B68"/>
    <mergeCell ref="A70:A74"/>
    <mergeCell ref="A75:A79"/>
    <mergeCell ref="A80:A84"/>
    <mergeCell ref="A85:A89"/>
    <mergeCell ref="A90:A94"/>
    <mergeCell ref="A98:A102"/>
    <mergeCell ref="A103:A107"/>
    <mergeCell ref="A108:A112"/>
    <mergeCell ref="A113:A117"/>
    <mergeCell ref="A118:A122"/>
  </mergeCells>
  <conditionalFormatting sqref="C11:F11">
    <cfRule type="top10" dxfId="793" priority="1" bottom="1" rank="1"/>
  </conditionalFormatting>
  <conditionalFormatting sqref="C16:F16">
    <cfRule type="top10" dxfId="792" priority="2" bottom="1" rank="1"/>
  </conditionalFormatting>
  <conditionalFormatting sqref="C21:F21">
    <cfRule type="top10" dxfId="791" priority="3" bottom="1" rank="1"/>
  </conditionalFormatting>
  <conditionalFormatting sqref="C26:F26">
    <cfRule type="top10" dxfId="790" priority="4" bottom="1" rank="1"/>
  </conditionalFormatting>
  <conditionalFormatting sqref="C31:F31">
    <cfRule type="top10" dxfId="789" priority="5" bottom="1" rank="1"/>
  </conditionalFormatting>
  <conditionalFormatting sqref="C72:F72">
    <cfRule type="top10" dxfId="788" priority="6" bottom="1" rank="1"/>
  </conditionalFormatting>
  <conditionalFormatting sqref="C77:F77">
    <cfRule type="top10" dxfId="787" priority="7" bottom="1" rank="1"/>
  </conditionalFormatting>
  <conditionalFormatting sqref="C82:F82">
    <cfRule type="top10" dxfId="786" priority="8" bottom="1" rank="1"/>
  </conditionalFormatting>
  <conditionalFormatting sqref="C87:F87">
    <cfRule type="top10" dxfId="785" priority="9" bottom="1" rank="1"/>
  </conditionalFormatting>
  <conditionalFormatting sqref="C92:F92">
    <cfRule type="top10" dxfId="784" priority="10" bottom="1" rank="1"/>
  </conditionalFormatting>
  <conditionalFormatting sqref="G11:J11">
    <cfRule type="top10" dxfId="783" priority="34" bottom="1" rank="1"/>
  </conditionalFormatting>
  <conditionalFormatting sqref="G16:J16">
    <cfRule type="top10" dxfId="782" priority="19" bottom="1" rank="1"/>
  </conditionalFormatting>
  <conditionalFormatting sqref="G21:J21">
    <cfRule type="top10" dxfId="781" priority="18" bottom="1" rank="1"/>
  </conditionalFormatting>
  <conditionalFormatting sqref="G26:J26">
    <cfRule type="top10" dxfId="780" priority="17" bottom="1" rank="1"/>
  </conditionalFormatting>
  <conditionalFormatting sqref="G31:J31">
    <cfRule type="top10" dxfId="779" priority="16" bottom="1" rank="1"/>
  </conditionalFormatting>
  <conditionalFormatting sqref="G72:J72">
    <cfRule type="top10" dxfId="778" priority="15" bottom="1" rank="1"/>
  </conditionalFormatting>
  <conditionalFormatting sqref="G77:J77">
    <cfRule type="top10" dxfId="777" priority="14" bottom="1" rank="1"/>
  </conditionalFormatting>
  <conditionalFormatting sqref="G82:J82">
    <cfRule type="top10" dxfId="776" priority="13" bottom="1" rank="1"/>
  </conditionalFormatting>
  <conditionalFormatting sqref="G87:J87">
    <cfRule type="top10" dxfId="775" priority="12" bottom="1" rank="1"/>
  </conditionalFormatting>
  <conditionalFormatting sqref="G92:J92">
    <cfRule type="top10" dxfId="774" priority="11" bottom="1" rank="1"/>
  </conditionalFormatting>
  <printOptions horizontalCentered="1" verticalCentered="1"/>
  <pageMargins left="0" right="0" top="0" bottom="0" header="0" footer="0"/>
  <pageSetup paperSize="8" scale="34" orientation="portrait" r:id="rId1"/>
  <headerFooter>
    <oddFooter>&amp;L_x000D_&amp;1#&amp;"Calibri"&amp;8&amp;K008000 Public</oddFooter>
  </headerFooter>
  <rowBreaks count="1" manualBreakCount="1">
    <brk id="61" max="8"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484B1-47D5-4DF0-8233-BA0174103955}">
  <sheetPr codeName="Sheet12">
    <pageSetUpPr fitToPage="1"/>
  </sheetPr>
  <dimension ref="A1:P141"/>
  <sheetViews>
    <sheetView showGridLines="0" topLeftCell="A64" zoomScale="75" zoomScaleNormal="75" zoomScaleSheetLayoutView="70" workbookViewId="0">
      <selection activeCell="I21" sqref="I21"/>
    </sheetView>
  </sheetViews>
  <sheetFormatPr defaultColWidth="22.54296875" defaultRowHeight="14.5" x14ac:dyDescent="0.35"/>
  <cols>
    <col min="1" max="1" width="12.453125" style="157" customWidth="1"/>
    <col min="2" max="2" width="18.453125" style="158" customWidth="1"/>
    <col min="3" max="3" width="24.54296875" style="124" hidden="1" customWidth="1"/>
    <col min="4" max="4" width="24.54296875" style="124" customWidth="1"/>
    <col min="5" max="5" width="16" style="124" customWidth="1"/>
    <col min="6" max="6" width="19" style="124" hidden="1" customWidth="1"/>
    <col min="7" max="7" width="19" style="124" customWidth="1"/>
    <col min="8" max="10" width="16" style="124" customWidth="1"/>
    <col min="11" max="11" width="16" style="124" hidden="1" customWidth="1"/>
    <col min="12" max="12" width="16" style="124" customWidth="1"/>
    <col min="13" max="13" width="18.453125" style="124" customWidth="1"/>
    <col min="14" max="14" width="8.81640625" style="124" customWidth="1"/>
    <col min="15" max="15" width="81.1796875" customWidth="1"/>
    <col min="16" max="16384" width="22.54296875" style="124"/>
  </cols>
  <sheetData>
    <row r="1" spans="1:15" ht="21" hidden="1" customHeight="1" x14ac:dyDescent="0.35">
      <c r="A1" s="122"/>
      <c r="B1" s="122"/>
      <c r="C1" s="122" t="s">
        <v>375</v>
      </c>
      <c r="D1" s="389" t="s">
        <v>378</v>
      </c>
      <c r="E1" s="122"/>
      <c r="F1" s="122"/>
      <c r="G1" s="122"/>
      <c r="H1" s="122"/>
      <c r="I1" s="122"/>
      <c r="J1" s="122"/>
      <c r="K1" s="122"/>
      <c r="L1" s="122"/>
      <c r="M1" s="122"/>
      <c r="N1" s="122"/>
    </row>
    <row r="2" spans="1:15" ht="15.5" x14ac:dyDescent="0.35">
      <c r="A2" s="610" t="s">
        <v>127</v>
      </c>
      <c r="B2" s="610"/>
      <c r="C2" s="125"/>
      <c r="D2" s="125"/>
      <c r="E2"/>
      <c r="F2"/>
      <c r="G2"/>
      <c r="H2"/>
      <c r="I2"/>
      <c r="J2" s="207"/>
      <c r="K2" t="s">
        <v>128</v>
      </c>
      <c r="L2" s="46" t="s">
        <v>128</v>
      </c>
      <c r="M2" s="562"/>
      <c r="N2" s="562"/>
      <c r="O2" s="562"/>
    </row>
    <row r="3" spans="1:15" x14ac:dyDescent="0.35">
      <c r="A3" s="635" t="s">
        <v>129</v>
      </c>
      <c r="B3" s="635"/>
      <c r="C3" s="209">
        <v>2000000</v>
      </c>
      <c r="D3" s="209">
        <v>2000000</v>
      </c>
      <c r="E3" s="126"/>
      <c r="F3" s="126"/>
      <c r="G3" s="126"/>
      <c r="H3" s="126"/>
      <c r="I3" s="126"/>
      <c r="J3" s="210"/>
      <c r="K3" t="s">
        <v>211</v>
      </c>
      <c r="L3" s="562" t="s">
        <v>211</v>
      </c>
      <c r="M3" s="562"/>
      <c r="N3" s="562"/>
      <c r="O3" s="124"/>
    </row>
    <row r="4" spans="1:15" ht="15" thickBot="1" x14ac:dyDescent="0.4">
      <c r="A4" s="614"/>
      <c r="B4" s="614"/>
      <c r="C4" s="127"/>
      <c r="D4" s="127"/>
      <c r="E4" s="127"/>
      <c r="F4" s="127"/>
      <c r="G4" s="127"/>
      <c r="H4" s="127"/>
      <c r="I4" s="127"/>
      <c r="J4"/>
      <c r="K4"/>
      <c r="L4"/>
      <c r="M4"/>
      <c r="N4"/>
    </row>
    <row r="5" spans="1:15" s="35" customFormat="1" ht="48" customHeight="1" thickBot="1" x14ac:dyDescent="0.4">
      <c r="A5" s="592"/>
      <c r="B5" s="615"/>
      <c r="C5" s="328" t="s">
        <v>385</v>
      </c>
      <c r="D5" s="328" t="s">
        <v>385</v>
      </c>
      <c r="E5" s="128" t="s">
        <v>228</v>
      </c>
      <c r="F5" s="128" t="s">
        <v>354</v>
      </c>
      <c r="G5" s="128" t="s">
        <v>354</v>
      </c>
      <c r="H5" s="128" t="s">
        <v>229</v>
      </c>
      <c r="I5" s="128" t="s">
        <v>230</v>
      </c>
      <c r="J5" s="128" t="s">
        <v>231</v>
      </c>
      <c r="K5" s="128" t="s">
        <v>232</v>
      </c>
      <c r="L5" s="128" t="s">
        <v>334</v>
      </c>
      <c r="M5" s="129" t="s">
        <v>233</v>
      </c>
      <c r="O5" s="434" t="s">
        <v>131</v>
      </c>
    </row>
    <row r="6" spans="1:15" ht="30" customHeight="1" x14ac:dyDescent="0.35">
      <c r="A6" s="594" t="s">
        <v>213</v>
      </c>
      <c r="B6" s="613"/>
      <c r="C6" s="130" t="s">
        <v>311</v>
      </c>
      <c r="D6" s="130" t="s">
        <v>311</v>
      </c>
      <c r="E6" s="130" t="s">
        <v>235</v>
      </c>
      <c r="F6" s="130" t="s">
        <v>353</v>
      </c>
      <c r="G6" s="130" t="s">
        <v>353</v>
      </c>
      <c r="H6" s="130" t="s">
        <v>234</v>
      </c>
      <c r="I6" s="130" t="s">
        <v>236</v>
      </c>
      <c r="J6" s="159" t="s">
        <v>234</v>
      </c>
      <c r="K6" s="130" t="s">
        <v>237</v>
      </c>
      <c r="L6" s="130" t="s">
        <v>237</v>
      </c>
      <c r="M6" s="131" t="s">
        <v>234</v>
      </c>
      <c r="O6" s="529" t="s">
        <v>412</v>
      </c>
    </row>
    <row r="7" spans="1:15" ht="15.75" customHeight="1" thickBot="1" x14ac:dyDescent="0.4">
      <c r="A7" s="309" t="s">
        <v>176</v>
      </c>
      <c r="B7" s="133" t="s">
        <v>140</v>
      </c>
      <c r="C7" s="134" t="s">
        <v>141</v>
      </c>
      <c r="D7" s="134" t="s">
        <v>141</v>
      </c>
      <c r="E7" s="134" t="s">
        <v>142</v>
      </c>
      <c r="F7" s="134" t="s">
        <v>141</v>
      </c>
      <c r="G7" s="134" t="s">
        <v>141</v>
      </c>
      <c r="H7" s="136" t="s">
        <v>141</v>
      </c>
      <c r="I7" s="136" t="s">
        <v>141</v>
      </c>
      <c r="J7" s="136" t="s">
        <v>142</v>
      </c>
      <c r="K7" s="136" t="s">
        <v>142</v>
      </c>
      <c r="L7" s="136" t="s">
        <v>142</v>
      </c>
      <c r="M7" s="135" t="s">
        <v>141</v>
      </c>
      <c r="O7" s="530"/>
    </row>
    <row r="8" spans="1:15" x14ac:dyDescent="0.35">
      <c r="A8" s="611" t="s">
        <v>238</v>
      </c>
      <c r="B8" s="137" t="s">
        <v>239</v>
      </c>
      <c r="C8" s="107">
        <v>507.15</v>
      </c>
      <c r="D8" s="358">
        <f>507.15-60</f>
        <v>447.15</v>
      </c>
      <c r="E8" s="358">
        <v>1120</v>
      </c>
      <c r="F8" s="358" t="s">
        <v>111</v>
      </c>
      <c r="G8" s="358" t="s">
        <v>111</v>
      </c>
      <c r="H8" s="358">
        <v>513.45000000000005</v>
      </c>
      <c r="I8" s="358">
        <f>I41-1900</f>
        <v>740</v>
      </c>
      <c r="J8" s="108">
        <v>618.24</v>
      </c>
      <c r="K8" s="358" t="s">
        <v>111</v>
      </c>
      <c r="L8" s="358" t="s">
        <v>111</v>
      </c>
      <c r="M8" s="359">
        <v>449.40000000000003</v>
      </c>
      <c r="N8" s="110"/>
      <c r="O8" s="530"/>
    </row>
    <row r="9" spans="1:15" x14ac:dyDescent="0.35">
      <c r="A9" s="587"/>
      <c r="B9" s="20" t="s">
        <v>240</v>
      </c>
      <c r="C9" s="112">
        <v>525.75</v>
      </c>
      <c r="D9" s="342">
        <f>525.75-60</f>
        <v>465.75</v>
      </c>
      <c r="E9" s="342" t="s">
        <v>111</v>
      </c>
      <c r="F9" s="342" t="s">
        <v>111</v>
      </c>
      <c r="G9" s="342" t="s">
        <v>111</v>
      </c>
      <c r="H9" s="342">
        <v>513.45000000000005</v>
      </c>
      <c r="I9" s="342">
        <f>I42-1940</f>
        <v>780</v>
      </c>
      <c r="J9" s="113">
        <v>625.6</v>
      </c>
      <c r="K9" s="342">
        <v>528.45000000000005</v>
      </c>
      <c r="L9" s="342">
        <v>528.45000000000005</v>
      </c>
      <c r="M9" s="344">
        <v>450.80000000000007</v>
      </c>
      <c r="N9" s="110"/>
      <c r="O9" s="530"/>
    </row>
    <row r="10" spans="1:15" x14ac:dyDescent="0.35">
      <c r="A10" s="587"/>
      <c r="B10" s="20" t="s">
        <v>241</v>
      </c>
      <c r="C10" s="112">
        <v>938.75</v>
      </c>
      <c r="D10" s="342">
        <f>938.75-60</f>
        <v>878.75</v>
      </c>
      <c r="E10" s="342">
        <v>2160</v>
      </c>
      <c r="F10" s="342" t="s">
        <v>111</v>
      </c>
      <c r="G10" s="342" t="s">
        <v>111</v>
      </c>
      <c r="H10" s="342">
        <v>1035.9000000000001</v>
      </c>
      <c r="I10" s="342">
        <f>I43-3800</f>
        <v>1740</v>
      </c>
      <c r="J10" s="113">
        <v>1514.32</v>
      </c>
      <c r="K10" s="342">
        <v>1158.45</v>
      </c>
      <c r="L10" s="342">
        <v>1158.45</v>
      </c>
      <c r="M10" s="344">
        <v>759.59999999999991</v>
      </c>
      <c r="N10" s="110"/>
      <c r="O10" s="530"/>
    </row>
    <row r="11" spans="1:15" x14ac:dyDescent="0.35">
      <c r="A11" s="587"/>
      <c r="B11" s="20" t="s">
        <v>242</v>
      </c>
      <c r="C11" s="112">
        <v>1896.5</v>
      </c>
      <c r="D11" s="342">
        <f>C11-60</f>
        <v>1836.5</v>
      </c>
      <c r="E11" s="342" t="s">
        <v>111</v>
      </c>
      <c r="F11" s="342" t="s">
        <v>111</v>
      </c>
      <c r="G11" s="342" t="s">
        <v>111</v>
      </c>
      <c r="H11" s="342">
        <v>2961.6000000000004</v>
      </c>
      <c r="I11" s="342">
        <f>I44-6760</f>
        <v>4160</v>
      </c>
      <c r="J11" s="113" t="s">
        <v>111</v>
      </c>
      <c r="K11" s="342">
        <v>2886.8</v>
      </c>
      <c r="L11" s="342">
        <f>K11*0.85</f>
        <v>2453.7800000000002</v>
      </c>
      <c r="M11" s="344">
        <v>1846.8000000000002</v>
      </c>
      <c r="N11" s="110"/>
      <c r="O11" s="530"/>
    </row>
    <row r="12" spans="1:15" x14ac:dyDescent="0.35">
      <c r="A12" s="587"/>
      <c r="B12" s="20" t="s">
        <v>243</v>
      </c>
      <c r="C12" s="112">
        <v>5025.3500000000004</v>
      </c>
      <c r="D12" s="471">
        <f>C12-60</f>
        <v>4965.3500000000004</v>
      </c>
      <c r="E12" s="342" t="s">
        <v>111</v>
      </c>
      <c r="F12" s="342">
        <v>3824</v>
      </c>
      <c r="G12" s="472">
        <f>3824/0.8*0.85</f>
        <v>4063</v>
      </c>
      <c r="H12" s="342" t="s">
        <v>111</v>
      </c>
      <c r="I12" s="342" t="s">
        <v>111</v>
      </c>
      <c r="J12" s="113" t="s">
        <v>111</v>
      </c>
      <c r="K12" s="342" t="s">
        <v>111</v>
      </c>
      <c r="L12" s="342" t="s">
        <v>111</v>
      </c>
      <c r="M12" s="344" t="s">
        <v>111</v>
      </c>
      <c r="N12" s="110"/>
      <c r="O12" s="530"/>
    </row>
    <row r="13" spans="1:15" ht="15.75" customHeight="1" thickBot="1" x14ac:dyDescent="0.4">
      <c r="A13" s="612"/>
      <c r="B13" s="117" t="s">
        <v>244</v>
      </c>
      <c r="C13" s="140" t="s">
        <v>111</v>
      </c>
      <c r="D13" s="345" t="s">
        <v>111</v>
      </c>
      <c r="E13" s="345" t="s">
        <v>111</v>
      </c>
      <c r="F13" s="345" t="s">
        <v>111</v>
      </c>
      <c r="G13" s="345" t="s">
        <v>111</v>
      </c>
      <c r="H13" s="345" t="s">
        <v>111</v>
      </c>
      <c r="I13" s="345">
        <f>I46-7860</f>
        <v>6600</v>
      </c>
      <c r="J13" s="119" t="s">
        <v>111</v>
      </c>
      <c r="K13" s="345">
        <v>5233.6499999999996</v>
      </c>
      <c r="L13" s="345">
        <f>K13*0.85</f>
        <v>4448.6025</v>
      </c>
      <c r="M13" s="346" t="s">
        <v>111</v>
      </c>
      <c r="N13" s="110"/>
      <c r="O13" s="530"/>
    </row>
    <row r="14" spans="1:15" ht="15" customHeight="1" x14ac:dyDescent="0.35">
      <c r="A14" s="611" t="s">
        <v>245</v>
      </c>
      <c r="B14" s="138" t="s">
        <v>239</v>
      </c>
      <c r="C14" s="107">
        <v>576.29999999999995</v>
      </c>
      <c r="D14" s="358">
        <f>576.3-60</f>
        <v>516.29999999999995</v>
      </c>
      <c r="E14" s="358">
        <v>1320</v>
      </c>
      <c r="F14" s="358" t="s">
        <v>111</v>
      </c>
      <c r="G14" s="358" t="s">
        <v>111</v>
      </c>
      <c r="H14" s="358">
        <v>601.20000000000005</v>
      </c>
      <c r="I14" s="358">
        <f>I47-2140</f>
        <v>820</v>
      </c>
      <c r="J14" s="108">
        <v>829.84</v>
      </c>
      <c r="K14" s="358" t="s">
        <v>111</v>
      </c>
      <c r="L14" s="358" t="s">
        <v>111</v>
      </c>
      <c r="M14" s="359">
        <v>483</v>
      </c>
      <c r="N14" s="110"/>
      <c r="O14" s="530"/>
    </row>
    <row r="15" spans="1:15" x14ac:dyDescent="0.35">
      <c r="A15" s="587"/>
      <c r="B15" s="20" t="s">
        <v>240</v>
      </c>
      <c r="C15" s="112">
        <v>649.65</v>
      </c>
      <c r="D15" s="342">
        <f>649.65-60</f>
        <v>589.65</v>
      </c>
      <c r="E15" s="342" t="s">
        <v>111</v>
      </c>
      <c r="F15" s="342" t="s">
        <v>111</v>
      </c>
      <c r="G15" s="342" t="s">
        <v>111</v>
      </c>
      <c r="H15" s="342">
        <v>605.70000000000005</v>
      </c>
      <c r="I15" s="342">
        <f>I48-2500</f>
        <v>880</v>
      </c>
      <c r="J15" s="113">
        <v>829.84</v>
      </c>
      <c r="K15" s="342">
        <v>676.15</v>
      </c>
      <c r="L15" s="342">
        <v>676.15</v>
      </c>
      <c r="M15" s="344">
        <v>548.80000000000007</v>
      </c>
      <c r="N15" s="110"/>
      <c r="O15" s="530"/>
    </row>
    <row r="16" spans="1:15" x14ac:dyDescent="0.35">
      <c r="A16" s="587"/>
      <c r="B16" s="20" t="s">
        <v>246</v>
      </c>
      <c r="C16" s="112">
        <v>1198.5999999999999</v>
      </c>
      <c r="D16" s="342">
        <f>1198.6-60</f>
        <v>1138.5999999999999</v>
      </c>
      <c r="E16" s="342">
        <v>2600</v>
      </c>
      <c r="F16" s="342" t="s">
        <v>111</v>
      </c>
      <c r="G16" s="342" t="s">
        <v>111</v>
      </c>
      <c r="H16" s="342">
        <v>1276.6500000000001</v>
      </c>
      <c r="I16" s="342">
        <f>I49-4560</f>
        <v>1780</v>
      </c>
      <c r="J16" s="113">
        <v>1622.88</v>
      </c>
      <c r="K16" s="342">
        <v>1559.95</v>
      </c>
      <c r="L16" s="342">
        <f>K16*0.85</f>
        <v>1325.9575</v>
      </c>
      <c r="M16" s="344">
        <v>928.8</v>
      </c>
      <c r="N16" s="110"/>
      <c r="O16" s="530"/>
    </row>
    <row r="17" spans="1:16" x14ac:dyDescent="0.35">
      <c r="A17" s="587"/>
      <c r="B17" s="20" t="s">
        <v>247</v>
      </c>
      <c r="C17" s="112">
        <v>2540.35</v>
      </c>
      <c r="D17" s="342">
        <f>C17-60</f>
        <v>2480.35</v>
      </c>
      <c r="E17" s="342" t="s">
        <v>111</v>
      </c>
      <c r="F17" s="342" t="s">
        <v>111</v>
      </c>
      <c r="G17" s="342" t="s">
        <v>111</v>
      </c>
      <c r="H17" s="342">
        <v>3879.6000000000004</v>
      </c>
      <c r="I17" s="342">
        <f>I50-8440</f>
        <v>5040</v>
      </c>
      <c r="J17" s="113" t="s">
        <v>111</v>
      </c>
      <c r="K17" s="342">
        <v>3662.15</v>
      </c>
      <c r="L17" s="342">
        <f>K17*0.85</f>
        <v>3112.8274999999999</v>
      </c>
      <c r="M17" s="344">
        <v>2383.1999999999998</v>
      </c>
      <c r="N17" s="110"/>
      <c r="O17" s="530"/>
    </row>
    <row r="18" spans="1:16" x14ac:dyDescent="0.35">
      <c r="A18" s="587"/>
      <c r="B18" s="20" t="s">
        <v>248</v>
      </c>
      <c r="C18" s="112">
        <v>6422.55</v>
      </c>
      <c r="D18" s="472">
        <f>C18-60</f>
        <v>6362.55</v>
      </c>
      <c r="E18" s="342" t="s">
        <v>111</v>
      </c>
      <c r="F18" s="342">
        <v>6544</v>
      </c>
      <c r="G18" s="471">
        <f>6544/0.8*0.85</f>
        <v>6953</v>
      </c>
      <c r="H18" s="342" t="s">
        <v>111</v>
      </c>
      <c r="I18" s="342" t="s">
        <v>111</v>
      </c>
      <c r="J18" s="113" t="s">
        <v>111</v>
      </c>
      <c r="K18" s="342" t="s">
        <v>111</v>
      </c>
      <c r="L18" s="342" t="s">
        <v>111</v>
      </c>
      <c r="M18" s="344" t="s">
        <v>111</v>
      </c>
      <c r="N18" s="110"/>
      <c r="O18" s="530"/>
    </row>
    <row r="19" spans="1:16" ht="15" thickBot="1" x14ac:dyDescent="0.4">
      <c r="A19" s="612"/>
      <c r="B19" s="139" t="s">
        <v>249</v>
      </c>
      <c r="C19" s="112" t="s">
        <v>111</v>
      </c>
      <c r="D19" s="345" t="s">
        <v>111</v>
      </c>
      <c r="E19" s="345" t="s">
        <v>111</v>
      </c>
      <c r="F19" s="345" t="s">
        <v>111</v>
      </c>
      <c r="G19" s="345" t="s">
        <v>111</v>
      </c>
      <c r="H19" s="345" t="s">
        <v>111</v>
      </c>
      <c r="I19" s="345">
        <f>I52-10060</f>
        <v>8420</v>
      </c>
      <c r="J19" s="119" t="s">
        <v>111</v>
      </c>
      <c r="K19" s="345">
        <v>7005.85</v>
      </c>
      <c r="L19" s="345">
        <f>K19*0.85</f>
        <v>5954.9724999999999</v>
      </c>
      <c r="M19" s="346" t="s">
        <v>111</v>
      </c>
      <c r="N19" s="110"/>
      <c r="O19" s="530"/>
      <c r="P19" s="141"/>
    </row>
    <row r="20" spans="1:16" x14ac:dyDescent="0.35">
      <c r="A20" s="620" t="s">
        <v>250</v>
      </c>
      <c r="B20" s="137" t="s">
        <v>239</v>
      </c>
      <c r="C20" s="107">
        <v>772</v>
      </c>
      <c r="D20" s="358">
        <f>772-60</f>
        <v>712</v>
      </c>
      <c r="E20" s="358">
        <v>1840</v>
      </c>
      <c r="F20" s="358" t="s">
        <v>111</v>
      </c>
      <c r="G20" s="358" t="s">
        <v>111</v>
      </c>
      <c r="H20" s="358">
        <v>771.15000000000009</v>
      </c>
      <c r="I20" s="358">
        <f>I53-3180</f>
        <v>1100</v>
      </c>
      <c r="J20" s="108">
        <v>1039.6000000000001</v>
      </c>
      <c r="K20" s="358" t="s">
        <v>111</v>
      </c>
      <c r="L20" s="358" t="s">
        <v>111</v>
      </c>
      <c r="M20" s="359">
        <v>732.2</v>
      </c>
      <c r="N20" s="110"/>
      <c r="O20" s="530"/>
      <c r="P20" s="141"/>
    </row>
    <row r="21" spans="1:16" x14ac:dyDescent="0.35">
      <c r="A21" s="587"/>
      <c r="B21" s="20" t="s">
        <v>240</v>
      </c>
      <c r="C21" s="112">
        <v>910.6</v>
      </c>
      <c r="D21" s="342">
        <f>910.6-60</f>
        <v>850.6</v>
      </c>
      <c r="E21" s="342" t="s">
        <v>111</v>
      </c>
      <c r="F21" s="342" t="s">
        <v>111</v>
      </c>
      <c r="G21" s="342" t="s">
        <v>111</v>
      </c>
      <c r="H21" s="342">
        <v>871.5</v>
      </c>
      <c r="I21" s="342">
        <f>I54-3720</f>
        <v>1160</v>
      </c>
      <c r="J21" s="113">
        <v>1098.48</v>
      </c>
      <c r="K21" s="342">
        <v>969.2</v>
      </c>
      <c r="L21" s="342">
        <v>969.2</v>
      </c>
      <c r="M21" s="344">
        <v>795.2</v>
      </c>
      <c r="N21" s="110"/>
      <c r="O21" s="530"/>
    </row>
    <row r="22" spans="1:16" x14ac:dyDescent="0.35">
      <c r="A22" s="587"/>
      <c r="B22" s="20" t="s">
        <v>251</v>
      </c>
      <c r="C22" s="112">
        <v>1605.8</v>
      </c>
      <c r="D22" s="342">
        <f>1605.8-60</f>
        <v>1545.8</v>
      </c>
      <c r="E22" s="342">
        <v>3520</v>
      </c>
      <c r="F22" s="342" t="s">
        <v>111</v>
      </c>
      <c r="G22" s="342" t="s">
        <v>111</v>
      </c>
      <c r="H22" s="342">
        <v>1619.25</v>
      </c>
      <c r="I22" s="342">
        <f>I55-5880</f>
        <v>2360</v>
      </c>
      <c r="J22" s="113">
        <v>1963.28</v>
      </c>
      <c r="K22" s="342">
        <v>1979.9</v>
      </c>
      <c r="L22" s="342">
        <f>K22*0.85</f>
        <v>1682.915</v>
      </c>
      <c r="M22" s="344">
        <v>1185.5999999999999</v>
      </c>
      <c r="N22" s="110"/>
      <c r="O22" s="530"/>
    </row>
    <row r="23" spans="1:16" x14ac:dyDescent="0.35">
      <c r="A23" s="587"/>
      <c r="B23" s="20" t="s">
        <v>252</v>
      </c>
      <c r="C23" s="112">
        <v>3440</v>
      </c>
      <c r="D23" s="342">
        <f>C23-60</f>
        <v>3380</v>
      </c>
      <c r="E23" s="342" t="s">
        <v>111</v>
      </c>
      <c r="F23" s="342" t="s">
        <v>111</v>
      </c>
      <c r="G23" s="342" t="s">
        <v>111</v>
      </c>
      <c r="H23" s="342">
        <v>4888.0499999999993</v>
      </c>
      <c r="I23" s="342">
        <f>I56-10720</f>
        <v>6400</v>
      </c>
      <c r="J23" s="113" t="s">
        <v>111</v>
      </c>
      <c r="K23" s="342">
        <v>4666</v>
      </c>
      <c r="L23" s="342">
        <f>K23*0.85</f>
        <v>3966.1</v>
      </c>
      <c r="M23" s="344">
        <v>3091.2</v>
      </c>
      <c r="N23" s="110"/>
      <c r="O23" s="530"/>
    </row>
    <row r="24" spans="1:16" x14ac:dyDescent="0.35">
      <c r="A24" s="587"/>
      <c r="B24" s="20" t="s">
        <v>253</v>
      </c>
      <c r="C24" s="112">
        <v>8398.2000000000007</v>
      </c>
      <c r="D24" s="471">
        <f>C24-60</f>
        <v>8338.2000000000007</v>
      </c>
      <c r="E24" s="342" t="s">
        <v>111</v>
      </c>
      <c r="F24" s="342">
        <v>6709</v>
      </c>
      <c r="G24" s="472">
        <f>6709/0.8*0.85</f>
        <v>7128.3125</v>
      </c>
      <c r="H24" s="342" t="s">
        <v>111</v>
      </c>
      <c r="I24" s="342" t="s">
        <v>111</v>
      </c>
      <c r="J24" s="113" t="s">
        <v>111</v>
      </c>
      <c r="K24" s="342" t="s">
        <v>111</v>
      </c>
      <c r="L24" s="342" t="s">
        <v>111</v>
      </c>
      <c r="M24" s="344" t="s">
        <v>111</v>
      </c>
      <c r="N24" s="110"/>
      <c r="O24" s="530"/>
    </row>
    <row r="25" spans="1:16" ht="15" thickBot="1" x14ac:dyDescent="0.4">
      <c r="A25" s="612"/>
      <c r="B25" s="117" t="s">
        <v>254</v>
      </c>
      <c r="C25" s="140" t="s">
        <v>111</v>
      </c>
      <c r="D25" s="345" t="s">
        <v>111</v>
      </c>
      <c r="E25" s="345" t="s">
        <v>111</v>
      </c>
      <c r="F25" s="345" t="s">
        <v>111</v>
      </c>
      <c r="G25" s="345" t="s">
        <v>111</v>
      </c>
      <c r="H25" s="345" t="s">
        <v>111</v>
      </c>
      <c r="I25" s="345">
        <f>I58-11960</f>
        <v>10820</v>
      </c>
      <c r="J25" s="119" t="s">
        <v>111</v>
      </c>
      <c r="K25" s="345">
        <v>9505</v>
      </c>
      <c r="L25" s="345">
        <f>K25*0.85</f>
        <v>8079.25</v>
      </c>
      <c r="M25" s="346" t="s">
        <v>111</v>
      </c>
      <c r="N25" s="110"/>
      <c r="O25" s="530"/>
    </row>
    <row r="26" spans="1:16" x14ac:dyDescent="0.35">
      <c r="A26" s="620" t="s">
        <v>255</v>
      </c>
      <c r="B26" s="138" t="s">
        <v>239</v>
      </c>
      <c r="C26" s="107">
        <v>1133.45</v>
      </c>
      <c r="D26" s="358">
        <f>1133.45-60</f>
        <v>1073.45</v>
      </c>
      <c r="E26" s="358">
        <v>2880</v>
      </c>
      <c r="F26" s="358" t="s">
        <v>111</v>
      </c>
      <c r="G26" s="358" t="s">
        <v>111</v>
      </c>
      <c r="H26" s="358">
        <v>1241.625</v>
      </c>
      <c r="I26" s="358">
        <f>I59-5400</f>
        <v>1600</v>
      </c>
      <c r="J26" s="108">
        <v>1541.92</v>
      </c>
      <c r="K26" s="358" t="s">
        <v>111</v>
      </c>
      <c r="L26" s="358" t="s">
        <v>111</v>
      </c>
      <c r="M26" s="359">
        <v>967.40000000000009</v>
      </c>
      <c r="N26" s="110"/>
      <c r="O26" s="530"/>
    </row>
    <row r="27" spans="1:16" x14ac:dyDescent="0.35">
      <c r="A27" s="587"/>
      <c r="B27" s="20" t="s">
        <v>240</v>
      </c>
      <c r="C27" s="112">
        <v>1451.15</v>
      </c>
      <c r="D27" s="342">
        <f>1451.15-60</f>
        <v>1391.15</v>
      </c>
      <c r="E27" s="342" t="s">
        <v>111</v>
      </c>
      <c r="F27" s="342" t="s">
        <v>111</v>
      </c>
      <c r="G27" s="342" t="s">
        <v>111</v>
      </c>
      <c r="H27" s="342">
        <v>1472.6624999999999</v>
      </c>
      <c r="I27" s="342">
        <f>I60-5820</f>
        <v>1880</v>
      </c>
      <c r="J27" s="113">
        <v>1558.48</v>
      </c>
      <c r="K27" s="342">
        <v>1622.25</v>
      </c>
      <c r="L27" s="342">
        <f>K27*0.85</f>
        <v>1378.9124999999999</v>
      </c>
      <c r="M27" s="344">
        <v>1206.8</v>
      </c>
      <c r="N27" s="110"/>
      <c r="O27" s="530"/>
    </row>
    <row r="28" spans="1:16" x14ac:dyDescent="0.35">
      <c r="A28" s="587"/>
      <c r="B28" s="20" t="s">
        <v>256</v>
      </c>
      <c r="C28" s="112">
        <v>2090.1</v>
      </c>
      <c r="D28" s="342">
        <f>2090.1-60</f>
        <v>2030.1</v>
      </c>
      <c r="E28" s="342">
        <v>4620</v>
      </c>
      <c r="F28" s="342" t="s">
        <v>111</v>
      </c>
      <c r="G28" s="342" t="s">
        <v>111</v>
      </c>
      <c r="H28" s="342">
        <v>2083.1999999999998</v>
      </c>
      <c r="I28" s="342">
        <f>I61-7680</f>
        <v>2800</v>
      </c>
      <c r="J28" s="113">
        <v>2732.4</v>
      </c>
      <c r="K28" s="342">
        <v>2591.4</v>
      </c>
      <c r="L28" s="342">
        <f>K28*0.85</f>
        <v>2202.69</v>
      </c>
      <c r="M28" s="344">
        <v>1507.1999999999998</v>
      </c>
      <c r="N28" s="110"/>
      <c r="O28" s="530"/>
    </row>
    <row r="29" spans="1:16" x14ac:dyDescent="0.35">
      <c r="A29" s="587"/>
      <c r="B29" s="20" t="s">
        <v>257</v>
      </c>
      <c r="C29" s="112">
        <v>4711.05</v>
      </c>
      <c r="D29" s="342">
        <f>4711.05-60</f>
        <v>4651.05</v>
      </c>
      <c r="E29" s="342" t="s">
        <v>111</v>
      </c>
      <c r="F29" s="342" t="s">
        <v>111</v>
      </c>
      <c r="G29" s="342" t="s">
        <v>111</v>
      </c>
      <c r="H29" s="342">
        <v>6342.9000000000005</v>
      </c>
      <c r="I29" s="342">
        <f>I62-14380</f>
        <v>8600</v>
      </c>
      <c r="J29" s="113">
        <v>8287.36</v>
      </c>
      <c r="K29" s="342">
        <v>6246.65</v>
      </c>
      <c r="L29" s="342">
        <f>K29*0.85</f>
        <v>5309.6524999999992</v>
      </c>
      <c r="M29" s="344">
        <v>4124.3999999999996</v>
      </c>
      <c r="N29" s="110"/>
      <c r="O29" s="530"/>
    </row>
    <row r="30" spans="1:16" x14ac:dyDescent="0.35">
      <c r="A30" s="587"/>
      <c r="B30" s="20" t="s">
        <v>258</v>
      </c>
      <c r="C30" s="112">
        <v>11290.2</v>
      </c>
      <c r="D30" s="471">
        <f>11290.2-60</f>
        <v>11230.2</v>
      </c>
      <c r="E30" s="342" t="s">
        <v>111</v>
      </c>
      <c r="F30" s="342">
        <v>9628</v>
      </c>
      <c r="G30" s="472">
        <f>9628/0.8*0.85</f>
        <v>10229.75</v>
      </c>
      <c r="H30" s="342" t="s">
        <v>111</v>
      </c>
      <c r="I30" s="342" t="s">
        <v>111</v>
      </c>
      <c r="J30" s="113" t="s">
        <v>111</v>
      </c>
      <c r="K30" s="342" t="s">
        <v>111</v>
      </c>
      <c r="L30" s="342" t="s">
        <v>111</v>
      </c>
      <c r="M30" s="344" t="s">
        <v>111</v>
      </c>
      <c r="N30" s="110"/>
      <c r="O30" s="530"/>
    </row>
    <row r="31" spans="1:16" ht="15" thickBot="1" x14ac:dyDescent="0.4">
      <c r="A31" s="607"/>
      <c r="B31" s="139" t="s">
        <v>259</v>
      </c>
      <c r="C31" s="118" t="s">
        <v>111</v>
      </c>
      <c r="D31" s="345" t="s">
        <v>111</v>
      </c>
      <c r="E31" s="345" t="s">
        <v>111</v>
      </c>
      <c r="F31" s="345" t="s">
        <v>111</v>
      </c>
      <c r="G31" s="345" t="s">
        <v>111</v>
      </c>
      <c r="H31" s="345" t="s">
        <v>111</v>
      </c>
      <c r="I31" s="345">
        <f>I64-16700</f>
        <v>13980</v>
      </c>
      <c r="J31" s="119" t="s">
        <v>111</v>
      </c>
      <c r="K31" s="345">
        <v>13785.6</v>
      </c>
      <c r="L31" s="345">
        <f>K31*0.85</f>
        <v>11717.76</v>
      </c>
      <c r="M31" s="346" t="s">
        <v>111</v>
      </c>
      <c r="N31" s="110"/>
      <c r="O31" s="530"/>
    </row>
    <row r="32" spans="1:16" x14ac:dyDescent="0.35">
      <c r="A32" s="611" t="s">
        <v>260</v>
      </c>
      <c r="B32" s="137" t="s">
        <v>239</v>
      </c>
      <c r="C32" s="107">
        <v>1876.6</v>
      </c>
      <c r="D32" s="356">
        <f>1876.6-60</f>
        <v>1816.6</v>
      </c>
      <c r="E32" s="356">
        <v>5040</v>
      </c>
      <c r="F32" s="356" t="s">
        <v>111</v>
      </c>
      <c r="G32" s="356" t="s">
        <v>111</v>
      </c>
      <c r="H32" s="356">
        <v>2107.3500000000004</v>
      </c>
      <c r="I32" s="356">
        <f>I65-9280</f>
        <v>2560</v>
      </c>
      <c r="J32" s="143">
        <v>2375.44</v>
      </c>
      <c r="K32" s="356" t="s">
        <v>111</v>
      </c>
      <c r="L32" s="356" t="s">
        <v>111</v>
      </c>
      <c r="M32" s="357">
        <v>1670.2000000000003</v>
      </c>
      <c r="N32" s="110"/>
      <c r="O32" s="530"/>
    </row>
    <row r="33" spans="1:15" x14ac:dyDescent="0.35">
      <c r="A33" s="587"/>
      <c r="B33" s="20" t="s">
        <v>240</v>
      </c>
      <c r="C33" s="112">
        <v>2429.6</v>
      </c>
      <c r="D33" s="342">
        <f>2429.6-60</f>
        <v>2369.6</v>
      </c>
      <c r="E33" s="342" t="s">
        <v>111</v>
      </c>
      <c r="F33" s="342" t="s">
        <v>111</v>
      </c>
      <c r="G33" s="342" t="s">
        <v>111</v>
      </c>
      <c r="H33" s="342">
        <v>2303.1000000000004</v>
      </c>
      <c r="I33" s="342">
        <f>I66-9840</f>
        <v>3060</v>
      </c>
      <c r="J33" s="113">
        <v>2592.56</v>
      </c>
      <c r="K33" s="342">
        <v>2485.3000000000002</v>
      </c>
      <c r="L33" s="342">
        <f>K33*0.7</f>
        <v>1739.71</v>
      </c>
      <c r="M33" s="344">
        <v>2080.4</v>
      </c>
      <c r="N33" s="110"/>
      <c r="O33" s="530"/>
    </row>
    <row r="34" spans="1:15" x14ac:dyDescent="0.35">
      <c r="A34" s="587"/>
      <c r="B34" s="20" t="s">
        <v>261</v>
      </c>
      <c r="C34" s="112">
        <v>2896.1</v>
      </c>
      <c r="D34" s="342">
        <f>2896.1-60</f>
        <v>2836.1</v>
      </c>
      <c r="E34" s="342">
        <v>6040</v>
      </c>
      <c r="F34" s="342" t="s">
        <v>111</v>
      </c>
      <c r="G34" s="342" t="s">
        <v>111</v>
      </c>
      <c r="H34" s="342">
        <v>2917.2</v>
      </c>
      <c r="I34" s="342">
        <f>I67-10340</f>
        <v>3860</v>
      </c>
      <c r="J34" s="113">
        <v>3442.6400000000003</v>
      </c>
      <c r="K34" s="342">
        <v>3475.25</v>
      </c>
      <c r="L34" s="342">
        <f>K34*0.7</f>
        <v>2432.6749999999997</v>
      </c>
      <c r="M34" s="344">
        <v>2311.1999999999998</v>
      </c>
      <c r="N34" s="110"/>
      <c r="O34" s="530"/>
    </row>
    <row r="35" spans="1:15" x14ac:dyDescent="0.35">
      <c r="A35" s="587"/>
      <c r="B35" s="20" t="s">
        <v>262</v>
      </c>
      <c r="C35" s="112">
        <v>6470.85</v>
      </c>
      <c r="D35" s="342">
        <f>6470.85-60</f>
        <v>6410.85</v>
      </c>
      <c r="E35" s="342" t="s">
        <v>111</v>
      </c>
      <c r="F35" s="342" t="s">
        <v>111</v>
      </c>
      <c r="G35" s="342" t="s">
        <v>111</v>
      </c>
      <c r="H35" s="342">
        <v>8168.5125000000007</v>
      </c>
      <c r="I35" s="342">
        <f>I68-17480</f>
        <v>11240</v>
      </c>
      <c r="J35" s="113">
        <v>11766.800000000001</v>
      </c>
      <c r="K35" s="342">
        <v>8701.9500000000007</v>
      </c>
      <c r="L35" s="342">
        <f>K35*0.7</f>
        <v>6091.3649999999998</v>
      </c>
      <c r="M35" s="344">
        <v>5820</v>
      </c>
      <c r="N35" s="110"/>
      <c r="O35" s="530"/>
    </row>
    <row r="36" spans="1:15" ht="15" thickBot="1" x14ac:dyDescent="0.4">
      <c r="A36" s="587"/>
      <c r="B36" s="20" t="s">
        <v>263</v>
      </c>
      <c r="C36" s="112">
        <v>15598.45</v>
      </c>
      <c r="D36" s="471">
        <f>15598.45-60</f>
        <v>15538.45</v>
      </c>
      <c r="E36" s="342" t="s">
        <v>111</v>
      </c>
      <c r="F36" s="342">
        <v>13457</v>
      </c>
      <c r="G36" s="472">
        <f>13457/0.8*0.85</f>
        <v>14298.0625</v>
      </c>
      <c r="H36" s="342" t="s">
        <v>111</v>
      </c>
      <c r="I36" s="342" t="s">
        <v>111</v>
      </c>
      <c r="J36" s="113" t="s">
        <v>111</v>
      </c>
      <c r="K36" s="342" t="s">
        <v>111</v>
      </c>
      <c r="L36" s="342" t="s">
        <v>111</v>
      </c>
      <c r="M36" s="344" t="s">
        <v>111</v>
      </c>
      <c r="N36" s="110"/>
      <c r="O36" s="531"/>
    </row>
    <row r="37" spans="1:15" ht="15" thickBot="1" x14ac:dyDescent="0.4">
      <c r="A37" s="612"/>
      <c r="B37" s="117" t="s">
        <v>264</v>
      </c>
      <c r="C37" s="118" t="s">
        <v>111</v>
      </c>
      <c r="D37" s="345" t="s">
        <v>111</v>
      </c>
      <c r="E37" s="345" t="s">
        <v>111</v>
      </c>
      <c r="F37" s="345" t="s">
        <v>111</v>
      </c>
      <c r="G37" s="345" t="s">
        <v>111</v>
      </c>
      <c r="H37" s="345" t="s">
        <v>111</v>
      </c>
      <c r="I37" s="345">
        <f>I70-20140</f>
        <v>18160</v>
      </c>
      <c r="J37" s="119" t="s">
        <v>111</v>
      </c>
      <c r="K37" s="345">
        <v>17715.45</v>
      </c>
      <c r="L37" s="345">
        <f>K37*0.7</f>
        <v>12400.815000000001</v>
      </c>
      <c r="M37" s="346" t="s">
        <v>111</v>
      </c>
      <c r="N37" s="110"/>
      <c r="O37" s="465"/>
    </row>
    <row r="38" spans="1:15" ht="29.5" customHeight="1" x14ac:dyDescent="0.35">
      <c r="A38" s="608" t="s">
        <v>221</v>
      </c>
      <c r="B38" s="618"/>
      <c r="C38" s="216" t="s">
        <v>310</v>
      </c>
      <c r="D38" s="216" t="s">
        <v>310</v>
      </c>
      <c r="E38" s="277" t="s">
        <v>267</v>
      </c>
      <c r="F38" s="277" t="s">
        <v>111</v>
      </c>
      <c r="G38" s="277" t="s">
        <v>111</v>
      </c>
      <c r="H38" s="277" t="s">
        <v>265</v>
      </c>
      <c r="I38" s="277" t="s">
        <v>268</v>
      </c>
      <c r="J38" s="277" t="s">
        <v>265</v>
      </c>
      <c r="K38" s="216" t="s">
        <v>270</v>
      </c>
      <c r="L38" s="216" t="s">
        <v>270</v>
      </c>
      <c r="M38" s="217" t="s">
        <v>266</v>
      </c>
      <c r="N38" s="110"/>
      <c r="O38" s="465"/>
    </row>
    <row r="39" spans="1:15" ht="43.5" x14ac:dyDescent="0.35">
      <c r="A39" s="588"/>
      <c r="B39" s="619"/>
      <c r="C39" s="274" t="s">
        <v>154</v>
      </c>
      <c r="D39" s="274" t="s">
        <v>154</v>
      </c>
      <c r="E39" s="274" t="s">
        <v>222</v>
      </c>
      <c r="F39" s="274" t="s">
        <v>111</v>
      </c>
      <c r="G39" s="274" t="s">
        <v>111</v>
      </c>
      <c r="H39" s="274" t="s">
        <v>223</v>
      </c>
      <c r="I39" s="275" t="s">
        <v>224</v>
      </c>
      <c r="J39" s="274" t="s">
        <v>225</v>
      </c>
      <c r="K39" s="353" t="s">
        <v>111</v>
      </c>
      <c r="L39" s="276" t="s">
        <v>379</v>
      </c>
      <c r="M39" s="278" t="s">
        <v>226</v>
      </c>
      <c r="N39" s="110"/>
      <c r="O39" s="465"/>
    </row>
    <row r="40" spans="1:15" ht="15" thickBot="1" x14ac:dyDescent="0.4">
      <c r="A40" s="308" t="s">
        <v>176</v>
      </c>
      <c r="B40" s="369" t="s">
        <v>140</v>
      </c>
      <c r="C40" s="370" t="s">
        <v>141</v>
      </c>
      <c r="D40" s="370" t="s">
        <v>141</v>
      </c>
      <c r="E40" s="279" t="s">
        <v>142</v>
      </c>
      <c r="F40" s="279" t="s">
        <v>111</v>
      </c>
      <c r="G40" s="279" t="s">
        <v>111</v>
      </c>
      <c r="H40" s="279" t="s">
        <v>141</v>
      </c>
      <c r="I40" s="370" t="s">
        <v>141</v>
      </c>
      <c r="J40" s="371" t="s">
        <v>142</v>
      </c>
      <c r="K40" s="372" t="s">
        <v>142</v>
      </c>
      <c r="L40" s="372" t="s">
        <v>142</v>
      </c>
      <c r="M40" s="373" t="s">
        <v>141</v>
      </c>
      <c r="N40" s="110"/>
      <c r="O40" s="465"/>
    </row>
    <row r="41" spans="1:15" ht="14.5" customHeight="1" x14ac:dyDescent="0.35">
      <c r="A41" s="617" t="s">
        <v>238</v>
      </c>
      <c r="B41" s="138" t="s">
        <v>239</v>
      </c>
      <c r="C41" s="142">
        <v>1414.55</v>
      </c>
      <c r="D41" s="356">
        <f>1414.55-60</f>
        <v>1354.55</v>
      </c>
      <c r="E41" s="356">
        <v>2320</v>
      </c>
      <c r="F41" s="356" t="s">
        <v>111</v>
      </c>
      <c r="G41" s="356" t="s">
        <v>111</v>
      </c>
      <c r="H41" s="356">
        <v>1173.4499999999998</v>
      </c>
      <c r="I41" s="356">
        <v>2640</v>
      </c>
      <c r="J41" s="143">
        <v>1549.28</v>
      </c>
      <c r="K41" s="356" t="s">
        <v>111</v>
      </c>
      <c r="L41" s="356" t="s">
        <v>111</v>
      </c>
      <c r="M41" s="357">
        <v>1009.4000000000001</v>
      </c>
      <c r="N41" s="110"/>
      <c r="O41" s="465"/>
    </row>
    <row r="42" spans="1:15" x14ac:dyDescent="0.35">
      <c r="A42" s="585"/>
      <c r="B42" s="20" t="s">
        <v>240</v>
      </c>
      <c r="C42" s="112">
        <v>1770.3</v>
      </c>
      <c r="D42" s="342">
        <f>1770.3-60</f>
        <v>1710.3</v>
      </c>
      <c r="E42" s="342" t="s">
        <v>111</v>
      </c>
      <c r="F42" s="342" t="s">
        <v>111</v>
      </c>
      <c r="G42" s="342" t="s">
        <v>111</v>
      </c>
      <c r="H42" s="342">
        <v>1378.9499999999998</v>
      </c>
      <c r="I42" s="342">
        <v>2720</v>
      </c>
      <c r="J42" s="113">
        <v>1582.4</v>
      </c>
      <c r="K42" s="342" t="s">
        <v>111</v>
      </c>
      <c r="L42" s="342" t="s">
        <v>111</v>
      </c>
      <c r="M42" s="344">
        <v>1038.8</v>
      </c>
      <c r="N42" s="110"/>
      <c r="O42" s="465"/>
    </row>
    <row r="43" spans="1:15" x14ac:dyDescent="0.35">
      <c r="A43" s="585"/>
      <c r="B43" s="20" t="s">
        <v>241</v>
      </c>
      <c r="C43" s="112">
        <v>3667.2</v>
      </c>
      <c r="D43" s="342">
        <f>3667.2-60</f>
        <v>3607.2</v>
      </c>
      <c r="E43" s="342">
        <v>6320</v>
      </c>
      <c r="F43" s="342" t="s">
        <v>111</v>
      </c>
      <c r="G43" s="342" t="s">
        <v>111</v>
      </c>
      <c r="H43" s="342">
        <v>3576.8999999999996</v>
      </c>
      <c r="I43" s="342">
        <v>5540</v>
      </c>
      <c r="J43" s="113">
        <v>4484.08</v>
      </c>
      <c r="K43" s="342" t="s">
        <v>111</v>
      </c>
      <c r="L43" s="342" t="s">
        <v>111</v>
      </c>
      <c r="M43" s="344">
        <v>2139.6</v>
      </c>
      <c r="N43" s="110"/>
      <c r="O43" s="465"/>
    </row>
    <row r="44" spans="1:15" x14ac:dyDescent="0.35">
      <c r="A44" s="585"/>
      <c r="B44" s="20" t="s">
        <v>242</v>
      </c>
      <c r="C44" s="112">
        <v>6876.4</v>
      </c>
      <c r="D44" s="342">
        <f>C44-60</f>
        <v>6816.4</v>
      </c>
      <c r="E44" s="342" t="s">
        <v>111</v>
      </c>
      <c r="F44" s="342" t="s">
        <v>111</v>
      </c>
      <c r="G44" s="342" t="s">
        <v>111</v>
      </c>
      <c r="H44" s="342">
        <v>7862.0999999999995</v>
      </c>
      <c r="I44" s="342">
        <v>10920</v>
      </c>
      <c r="J44" s="113" t="s">
        <v>111</v>
      </c>
      <c r="K44" s="342" t="s">
        <v>111</v>
      </c>
      <c r="L44" s="342" t="s">
        <v>111</v>
      </c>
      <c r="M44" s="344">
        <v>4066.7999999999997</v>
      </c>
      <c r="N44" s="110"/>
      <c r="O44" s="465"/>
    </row>
    <row r="45" spans="1:15" x14ac:dyDescent="0.35">
      <c r="A45" s="585"/>
      <c r="B45" s="20" t="s">
        <v>243</v>
      </c>
      <c r="C45" s="112">
        <v>11941.85</v>
      </c>
      <c r="D45" s="342">
        <f>C45-60</f>
        <v>11881.85</v>
      </c>
      <c r="E45" s="342" t="s">
        <v>111</v>
      </c>
      <c r="F45" s="342" t="s">
        <v>111</v>
      </c>
      <c r="G45" s="342" t="s">
        <v>111</v>
      </c>
      <c r="H45" s="342" t="s">
        <v>111</v>
      </c>
      <c r="I45" s="342" t="s">
        <v>111</v>
      </c>
      <c r="J45" s="113" t="s">
        <v>111</v>
      </c>
      <c r="K45" s="342" t="s">
        <v>111</v>
      </c>
      <c r="L45" s="342" t="s">
        <v>111</v>
      </c>
      <c r="M45" s="344" t="s">
        <v>111</v>
      </c>
      <c r="N45" s="110"/>
      <c r="O45" s="465"/>
    </row>
    <row r="46" spans="1:15" ht="15" thickBot="1" x14ac:dyDescent="0.4">
      <c r="A46" s="631"/>
      <c r="B46" s="117" t="s">
        <v>244</v>
      </c>
      <c r="C46" s="140" t="s">
        <v>111</v>
      </c>
      <c r="D46" s="345" t="s">
        <v>111</v>
      </c>
      <c r="E46" s="345" t="s">
        <v>111</v>
      </c>
      <c r="F46" s="345" t="s">
        <v>111</v>
      </c>
      <c r="G46" s="345" t="s">
        <v>111</v>
      </c>
      <c r="H46" s="345" t="s">
        <v>111</v>
      </c>
      <c r="I46" s="345">
        <v>14460</v>
      </c>
      <c r="J46" s="119" t="s">
        <v>111</v>
      </c>
      <c r="K46" s="345" t="s">
        <v>111</v>
      </c>
      <c r="L46" s="345" t="s">
        <v>111</v>
      </c>
      <c r="M46" s="346" t="s">
        <v>111</v>
      </c>
      <c r="N46" s="110"/>
      <c r="O46" s="465"/>
    </row>
    <row r="47" spans="1:15" x14ac:dyDescent="0.35">
      <c r="A47" s="616" t="s">
        <v>245</v>
      </c>
      <c r="B47" s="138" t="s">
        <v>239</v>
      </c>
      <c r="C47" s="107">
        <v>1928.5</v>
      </c>
      <c r="D47" s="358">
        <f>1928.5-60</f>
        <v>1868.5</v>
      </c>
      <c r="E47" s="358">
        <v>3320</v>
      </c>
      <c r="F47" s="358" t="s">
        <v>111</v>
      </c>
      <c r="G47" s="358" t="s">
        <v>111</v>
      </c>
      <c r="H47" s="358">
        <v>1786.1999999999998</v>
      </c>
      <c r="I47" s="358">
        <v>2960</v>
      </c>
      <c r="J47" s="108">
        <v>2384.6400000000003</v>
      </c>
      <c r="K47" s="358" t="s">
        <v>111</v>
      </c>
      <c r="L47" s="358" t="s">
        <v>111</v>
      </c>
      <c r="M47" s="359">
        <v>1197</v>
      </c>
      <c r="N47" s="110"/>
      <c r="O47" s="465"/>
    </row>
    <row r="48" spans="1:15" x14ac:dyDescent="0.35">
      <c r="A48" s="585"/>
      <c r="B48" s="20" t="s">
        <v>240</v>
      </c>
      <c r="C48" s="112">
        <v>2620.15</v>
      </c>
      <c r="D48" s="342">
        <f>2620.15-60</f>
        <v>2560.15</v>
      </c>
      <c r="E48" s="342" t="s">
        <v>111</v>
      </c>
      <c r="F48" s="342" t="s">
        <v>111</v>
      </c>
      <c r="G48" s="342" t="s">
        <v>111</v>
      </c>
      <c r="H48" s="342">
        <v>2048.6999999999998</v>
      </c>
      <c r="I48" s="342">
        <v>3380</v>
      </c>
      <c r="J48" s="113">
        <v>2428.8000000000002</v>
      </c>
      <c r="K48" s="342" t="s">
        <v>111</v>
      </c>
      <c r="L48" s="342" t="s">
        <v>111</v>
      </c>
      <c r="M48" s="344">
        <v>1528.8</v>
      </c>
      <c r="N48" s="110"/>
      <c r="O48" s="465"/>
    </row>
    <row r="49" spans="1:15" x14ac:dyDescent="0.35">
      <c r="A49" s="585"/>
      <c r="B49" s="20" t="s">
        <v>246</v>
      </c>
      <c r="C49" s="112">
        <v>4940.1000000000004</v>
      </c>
      <c r="D49" s="342">
        <f>4940.1-60</f>
        <v>4880.1000000000004</v>
      </c>
      <c r="E49" s="342">
        <v>8120</v>
      </c>
      <c r="F49" s="342" t="s">
        <v>111</v>
      </c>
      <c r="G49" s="342" t="s">
        <v>111</v>
      </c>
      <c r="H49" s="342">
        <v>4551.1499999999996</v>
      </c>
      <c r="I49" s="342">
        <v>6340</v>
      </c>
      <c r="J49" s="113">
        <v>4859.4400000000005</v>
      </c>
      <c r="K49" s="342" t="s">
        <v>111</v>
      </c>
      <c r="L49" s="342" t="s">
        <v>111</v>
      </c>
      <c r="M49" s="344">
        <v>2980.8</v>
      </c>
      <c r="N49" s="110"/>
      <c r="O49" s="465"/>
    </row>
    <row r="50" spans="1:15" x14ac:dyDescent="0.35">
      <c r="A50" s="585"/>
      <c r="B50" s="20" t="s">
        <v>247</v>
      </c>
      <c r="C50" s="112">
        <v>9410.0499999999993</v>
      </c>
      <c r="D50" s="342">
        <f>C50-60</f>
        <v>9350.0499999999993</v>
      </c>
      <c r="E50" s="342" t="s">
        <v>111</v>
      </c>
      <c r="F50" s="342" t="s">
        <v>111</v>
      </c>
      <c r="G50" s="342" t="s">
        <v>111</v>
      </c>
      <c r="H50" s="342">
        <v>10202.099999999999</v>
      </c>
      <c r="I50" s="342">
        <v>13480</v>
      </c>
      <c r="J50" s="113" t="s">
        <v>111</v>
      </c>
      <c r="K50" s="342" t="s">
        <v>111</v>
      </c>
      <c r="L50" s="342" t="s">
        <v>111</v>
      </c>
      <c r="M50" s="344">
        <v>5791.2</v>
      </c>
      <c r="N50" s="110"/>
      <c r="O50" s="465"/>
    </row>
    <row r="51" spans="1:15" x14ac:dyDescent="0.35">
      <c r="A51" s="585"/>
      <c r="B51" s="20" t="s">
        <v>248</v>
      </c>
      <c r="C51" s="112">
        <v>15530.55</v>
      </c>
      <c r="D51" s="342">
        <f>C51-60</f>
        <v>15470.55</v>
      </c>
      <c r="E51" s="342" t="s">
        <v>111</v>
      </c>
      <c r="F51" s="342" t="s">
        <v>111</v>
      </c>
      <c r="G51" s="342" t="s">
        <v>111</v>
      </c>
      <c r="H51" s="342" t="s">
        <v>111</v>
      </c>
      <c r="I51" s="342" t="s">
        <v>111</v>
      </c>
      <c r="J51" s="113" t="s">
        <v>111</v>
      </c>
      <c r="K51" s="342" t="s">
        <v>111</v>
      </c>
      <c r="L51" s="342" t="s">
        <v>111</v>
      </c>
      <c r="M51" s="344" t="s">
        <v>111</v>
      </c>
      <c r="N51" s="110"/>
      <c r="O51" s="465"/>
    </row>
    <row r="52" spans="1:15" ht="15" thickBot="1" x14ac:dyDescent="0.4">
      <c r="A52" s="586"/>
      <c r="B52" s="139" t="s">
        <v>249</v>
      </c>
      <c r="C52" s="118" t="s">
        <v>111</v>
      </c>
      <c r="D52" s="345" t="s">
        <v>111</v>
      </c>
      <c r="E52" s="345" t="s">
        <v>111</v>
      </c>
      <c r="F52" s="345" t="s">
        <v>111</v>
      </c>
      <c r="G52" s="345" t="s">
        <v>111</v>
      </c>
      <c r="H52" s="345" t="s">
        <v>111</v>
      </c>
      <c r="I52" s="345">
        <v>18480</v>
      </c>
      <c r="J52" s="119" t="s">
        <v>111</v>
      </c>
      <c r="K52" s="345" t="s">
        <v>111</v>
      </c>
      <c r="L52" s="345" t="s">
        <v>111</v>
      </c>
      <c r="M52" s="346" t="s">
        <v>111</v>
      </c>
      <c r="N52" s="110"/>
      <c r="O52" s="465"/>
    </row>
    <row r="53" spans="1:15" x14ac:dyDescent="0.35">
      <c r="A53" s="617" t="s">
        <v>250</v>
      </c>
      <c r="B53" s="137" t="s">
        <v>239</v>
      </c>
      <c r="C53" s="107">
        <v>3070.8</v>
      </c>
      <c r="D53" s="358">
        <f>3070.8-60</f>
        <v>3010.8</v>
      </c>
      <c r="E53" s="358">
        <v>5280</v>
      </c>
      <c r="F53" s="358" t="s">
        <v>111</v>
      </c>
      <c r="G53" s="358" t="s">
        <v>111</v>
      </c>
      <c r="H53" s="358">
        <v>2646.1499999999996</v>
      </c>
      <c r="I53" s="358">
        <v>4280</v>
      </c>
      <c r="J53" s="108">
        <v>3900.8</v>
      </c>
      <c r="K53" s="358" t="s">
        <v>111</v>
      </c>
      <c r="L53" s="358" t="s">
        <v>111</v>
      </c>
      <c r="M53" s="359">
        <v>2510.2000000000003</v>
      </c>
      <c r="N53" s="110"/>
      <c r="O53" s="465"/>
    </row>
    <row r="54" spans="1:15" x14ac:dyDescent="0.35">
      <c r="A54" s="585"/>
      <c r="B54" s="20" t="s">
        <v>240</v>
      </c>
      <c r="C54" s="112">
        <v>4096.1000000000004</v>
      </c>
      <c r="D54" s="342">
        <f>4096.1-60</f>
        <v>4036.1000000000004</v>
      </c>
      <c r="E54" s="342" t="s">
        <v>111</v>
      </c>
      <c r="F54" s="342" t="s">
        <v>111</v>
      </c>
      <c r="G54" s="342" t="s">
        <v>111</v>
      </c>
      <c r="H54" s="342">
        <v>3154.5</v>
      </c>
      <c r="I54" s="342">
        <v>4880</v>
      </c>
      <c r="J54" s="113">
        <v>3970.7200000000003</v>
      </c>
      <c r="K54" s="342" t="s">
        <v>111</v>
      </c>
      <c r="L54" s="342" t="s">
        <v>111</v>
      </c>
      <c r="M54" s="344">
        <v>2699.2000000000003</v>
      </c>
      <c r="N54" s="110"/>
      <c r="O54" s="465"/>
    </row>
    <row r="55" spans="1:15" x14ac:dyDescent="0.35">
      <c r="A55" s="585"/>
      <c r="B55" s="20" t="s">
        <v>251</v>
      </c>
      <c r="C55" s="112">
        <v>6874.6</v>
      </c>
      <c r="D55" s="342">
        <f>6874.6-60</f>
        <v>6814.6</v>
      </c>
      <c r="E55" s="342">
        <v>11260</v>
      </c>
      <c r="F55" s="342" t="s">
        <v>111</v>
      </c>
      <c r="G55" s="342" t="s">
        <v>111</v>
      </c>
      <c r="H55" s="342">
        <v>5831.25</v>
      </c>
      <c r="I55" s="342">
        <v>8240</v>
      </c>
      <c r="J55" s="113">
        <v>6532</v>
      </c>
      <c r="K55" s="342" t="s">
        <v>111</v>
      </c>
      <c r="L55" s="342" t="s">
        <v>111</v>
      </c>
      <c r="M55" s="344">
        <v>3837.6000000000004</v>
      </c>
      <c r="N55" s="110"/>
      <c r="O55" s="465"/>
    </row>
    <row r="56" spans="1:15" x14ac:dyDescent="0.35">
      <c r="A56" s="585"/>
      <c r="B56" s="20" t="s">
        <v>252</v>
      </c>
      <c r="C56" s="112">
        <v>12902.25</v>
      </c>
      <c r="D56" s="342">
        <f>C56-60</f>
        <v>12842.25</v>
      </c>
      <c r="E56" s="342" t="s">
        <v>111</v>
      </c>
      <c r="F56" s="342" t="s">
        <v>111</v>
      </c>
      <c r="G56" s="342" t="s">
        <v>111</v>
      </c>
      <c r="H56" s="342">
        <v>13000.050000000001</v>
      </c>
      <c r="I56" s="342">
        <v>17120</v>
      </c>
      <c r="J56" s="113" t="s">
        <v>111</v>
      </c>
      <c r="K56" s="342" t="s">
        <v>111</v>
      </c>
      <c r="L56" s="342" t="s">
        <v>111</v>
      </c>
      <c r="M56" s="344">
        <v>8191.2000000000007</v>
      </c>
      <c r="N56" s="110"/>
      <c r="O56" s="465"/>
    </row>
    <row r="57" spans="1:15" x14ac:dyDescent="0.35">
      <c r="A57" s="585"/>
      <c r="B57" s="20" t="s">
        <v>253</v>
      </c>
      <c r="C57" s="112">
        <v>20471.2</v>
      </c>
      <c r="D57" s="342">
        <f>C57-60</f>
        <v>20411.2</v>
      </c>
      <c r="E57" s="342" t="s">
        <v>111</v>
      </c>
      <c r="F57" s="342" t="s">
        <v>111</v>
      </c>
      <c r="G57" s="342" t="s">
        <v>111</v>
      </c>
      <c r="H57" s="342" t="s">
        <v>111</v>
      </c>
      <c r="I57" s="342" t="s">
        <v>111</v>
      </c>
      <c r="J57" s="113" t="s">
        <v>111</v>
      </c>
      <c r="K57" s="342" t="s">
        <v>111</v>
      </c>
      <c r="L57" s="342" t="s">
        <v>111</v>
      </c>
      <c r="M57" s="344" t="s">
        <v>111</v>
      </c>
      <c r="N57" s="110"/>
      <c r="O57" s="465"/>
    </row>
    <row r="58" spans="1:15" ht="15" thickBot="1" x14ac:dyDescent="0.4">
      <c r="A58" s="631"/>
      <c r="B58" s="117" t="s">
        <v>254</v>
      </c>
      <c r="C58" s="140" t="s">
        <v>111</v>
      </c>
      <c r="D58" s="345" t="s">
        <v>111</v>
      </c>
      <c r="E58" s="345" t="s">
        <v>111</v>
      </c>
      <c r="F58" s="345" t="s">
        <v>111</v>
      </c>
      <c r="G58" s="345" t="s">
        <v>111</v>
      </c>
      <c r="H58" s="345" t="s">
        <v>111</v>
      </c>
      <c r="I58" s="345">
        <v>22780</v>
      </c>
      <c r="J58" s="119" t="s">
        <v>111</v>
      </c>
      <c r="K58" s="345" t="s">
        <v>111</v>
      </c>
      <c r="L58" s="345" t="s">
        <v>111</v>
      </c>
      <c r="M58" s="346" t="s">
        <v>111</v>
      </c>
      <c r="N58" s="110"/>
      <c r="O58" s="465"/>
    </row>
    <row r="59" spans="1:15" x14ac:dyDescent="0.35">
      <c r="A59" s="616" t="s">
        <v>255</v>
      </c>
      <c r="B59" s="138" t="s">
        <v>239</v>
      </c>
      <c r="C59" s="107">
        <v>4724.45</v>
      </c>
      <c r="D59" s="358">
        <f>4724.45-60</f>
        <v>4664.45</v>
      </c>
      <c r="E59" s="358">
        <v>8940</v>
      </c>
      <c r="F59" s="358" t="s">
        <v>111</v>
      </c>
      <c r="G59" s="358" t="s">
        <v>111</v>
      </c>
      <c r="H59" s="358">
        <v>4249.125</v>
      </c>
      <c r="I59" s="358">
        <v>7000</v>
      </c>
      <c r="J59" s="108">
        <v>6013.12</v>
      </c>
      <c r="K59" s="358" t="s">
        <v>111</v>
      </c>
      <c r="L59" s="358" t="s">
        <v>111</v>
      </c>
      <c r="M59" s="359">
        <v>3879.4000000000005</v>
      </c>
      <c r="N59" s="110"/>
      <c r="O59" s="465"/>
    </row>
    <row r="60" spans="1:15" x14ac:dyDescent="0.35">
      <c r="A60" s="585"/>
      <c r="B60" s="20" t="s">
        <v>240</v>
      </c>
      <c r="C60" s="112">
        <v>6500.9</v>
      </c>
      <c r="D60" s="342">
        <f>6500.9-60</f>
        <v>6440.9</v>
      </c>
      <c r="E60" s="342" t="s">
        <v>111</v>
      </c>
      <c r="F60" s="342" t="s">
        <v>111</v>
      </c>
      <c r="G60" s="342" t="s">
        <v>111</v>
      </c>
      <c r="H60" s="342">
        <v>5267.6625000000004</v>
      </c>
      <c r="I60" s="342">
        <v>7700</v>
      </c>
      <c r="J60" s="113">
        <v>6186.08</v>
      </c>
      <c r="K60" s="342" t="s">
        <v>111</v>
      </c>
      <c r="L60" s="342" t="s">
        <v>111</v>
      </c>
      <c r="M60" s="344">
        <v>4748.8000000000011</v>
      </c>
      <c r="N60" s="110"/>
      <c r="O60" s="465"/>
    </row>
    <row r="61" spans="1:15" x14ac:dyDescent="0.35">
      <c r="A61" s="585"/>
      <c r="B61" s="20" t="s">
        <v>256</v>
      </c>
      <c r="C61" s="112">
        <v>9279.85</v>
      </c>
      <c r="D61" s="342">
        <f>9279.85-60</f>
        <v>9219.85</v>
      </c>
      <c r="E61" s="342">
        <v>15060</v>
      </c>
      <c r="F61" s="342" t="s">
        <v>111</v>
      </c>
      <c r="G61" s="342" t="s">
        <v>111</v>
      </c>
      <c r="H61" s="342">
        <v>7483.2000000000007</v>
      </c>
      <c r="I61" s="342">
        <v>10480</v>
      </c>
      <c r="J61" s="113">
        <v>9045.44</v>
      </c>
      <c r="K61" s="342" t="s">
        <v>111</v>
      </c>
      <c r="L61" s="342" t="s">
        <v>111</v>
      </c>
      <c r="M61" s="344">
        <v>5383.2</v>
      </c>
      <c r="N61" s="110"/>
      <c r="O61" s="465"/>
    </row>
    <row r="62" spans="1:15" x14ac:dyDescent="0.35">
      <c r="A62" s="585"/>
      <c r="B62" s="20" t="s">
        <v>257</v>
      </c>
      <c r="C62" s="112">
        <v>17874.45</v>
      </c>
      <c r="D62" s="342">
        <f>17874.45-60</f>
        <v>17814.45</v>
      </c>
      <c r="E62" s="342" t="s">
        <v>111</v>
      </c>
      <c r="F62" s="342" t="s">
        <v>111</v>
      </c>
      <c r="G62" s="342" t="s">
        <v>111</v>
      </c>
      <c r="H62" s="342">
        <v>16745.400000000001</v>
      </c>
      <c r="I62" s="342">
        <v>22980</v>
      </c>
      <c r="J62" s="113">
        <v>19373.36</v>
      </c>
      <c r="K62" s="342" t="s">
        <v>111</v>
      </c>
      <c r="L62" s="342" t="s">
        <v>111</v>
      </c>
      <c r="M62" s="344">
        <v>11744.4</v>
      </c>
      <c r="N62" s="110"/>
      <c r="O62" s="465"/>
    </row>
    <row r="63" spans="1:15" x14ac:dyDescent="0.35">
      <c r="A63" s="585"/>
      <c r="B63" s="20" t="s">
        <v>258</v>
      </c>
      <c r="C63" s="112">
        <v>27407.25</v>
      </c>
      <c r="D63" s="342">
        <f>27407.25-60</f>
        <v>27347.25</v>
      </c>
      <c r="E63" s="342" t="s">
        <v>111</v>
      </c>
      <c r="F63" s="342" t="s">
        <v>111</v>
      </c>
      <c r="G63" s="342" t="s">
        <v>111</v>
      </c>
      <c r="H63" s="342" t="s">
        <v>111</v>
      </c>
      <c r="I63" s="342" t="s">
        <v>111</v>
      </c>
      <c r="J63" s="113" t="s">
        <v>111</v>
      </c>
      <c r="K63" s="342" t="s">
        <v>111</v>
      </c>
      <c r="L63" s="342" t="s">
        <v>111</v>
      </c>
      <c r="M63" s="344" t="s">
        <v>111</v>
      </c>
      <c r="N63" s="110"/>
      <c r="O63" s="465"/>
    </row>
    <row r="64" spans="1:15" ht="15" thickBot="1" x14ac:dyDescent="0.4">
      <c r="A64" s="586"/>
      <c r="B64" s="139" t="s">
        <v>259</v>
      </c>
      <c r="C64" s="118" t="s">
        <v>111</v>
      </c>
      <c r="D64" s="345" t="s">
        <v>111</v>
      </c>
      <c r="E64" s="345" t="s">
        <v>111</v>
      </c>
      <c r="F64" s="345" t="s">
        <v>111</v>
      </c>
      <c r="G64" s="345" t="s">
        <v>111</v>
      </c>
      <c r="H64" s="345" t="s">
        <v>111</v>
      </c>
      <c r="I64" s="345">
        <v>30680</v>
      </c>
      <c r="J64" s="119" t="s">
        <v>111</v>
      </c>
      <c r="K64" s="345" t="s">
        <v>111</v>
      </c>
      <c r="L64" s="345" t="s">
        <v>111</v>
      </c>
      <c r="M64" s="346" t="s">
        <v>111</v>
      </c>
      <c r="N64" s="110"/>
      <c r="O64" s="465"/>
    </row>
    <row r="65" spans="1:15" x14ac:dyDescent="0.35">
      <c r="A65" s="617" t="s">
        <v>260</v>
      </c>
      <c r="B65" s="137" t="s">
        <v>239</v>
      </c>
      <c r="C65" s="107">
        <v>7955.6</v>
      </c>
      <c r="D65" s="356">
        <f>7955.6-60</f>
        <v>7895.6</v>
      </c>
      <c r="E65" s="356">
        <v>15740</v>
      </c>
      <c r="F65" s="356" t="s">
        <v>111</v>
      </c>
      <c r="G65" s="356" t="s">
        <v>111</v>
      </c>
      <c r="H65" s="356">
        <v>7312.3499999999995</v>
      </c>
      <c r="I65" s="356">
        <v>11840</v>
      </c>
      <c r="J65" s="143">
        <v>10200.960000000001</v>
      </c>
      <c r="K65" s="356" t="s">
        <v>111</v>
      </c>
      <c r="L65" s="356" t="s">
        <v>111</v>
      </c>
      <c r="M65" s="357">
        <v>6696.2</v>
      </c>
      <c r="N65" s="110"/>
      <c r="O65" s="465"/>
    </row>
    <row r="66" spans="1:15" x14ac:dyDescent="0.35">
      <c r="A66" s="585"/>
      <c r="B66" s="20" t="s">
        <v>240</v>
      </c>
      <c r="C66" s="112">
        <v>11074.3</v>
      </c>
      <c r="D66" s="342">
        <f>11074.3-60</f>
        <v>11014.3</v>
      </c>
      <c r="E66" s="342" t="s">
        <v>111</v>
      </c>
      <c r="F66" s="342" t="s">
        <v>111</v>
      </c>
      <c r="G66" s="342" t="s">
        <v>111</v>
      </c>
      <c r="H66" s="342">
        <v>8663.0999999999985</v>
      </c>
      <c r="I66" s="342">
        <v>12900</v>
      </c>
      <c r="J66" s="113">
        <v>10686.720000000001</v>
      </c>
      <c r="K66" s="342" t="s">
        <v>111</v>
      </c>
      <c r="L66" s="342" t="s">
        <v>111</v>
      </c>
      <c r="M66" s="344">
        <v>8044.4000000000005</v>
      </c>
      <c r="N66" s="110"/>
      <c r="O66" s="465"/>
    </row>
    <row r="67" spans="1:15" x14ac:dyDescent="0.35">
      <c r="A67" s="585"/>
      <c r="B67" s="20" t="s">
        <v>261</v>
      </c>
      <c r="C67" s="112">
        <v>13416.4</v>
      </c>
      <c r="D67" s="342">
        <f>13416.4-60</f>
        <v>13356.4</v>
      </c>
      <c r="E67" s="342">
        <v>20940</v>
      </c>
      <c r="F67" s="342" t="s">
        <v>111</v>
      </c>
      <c r="G67" s="342" t="s">
        <v>111</v>
      </c>
      <c r="H67" s="342">
        <v>10052.700000000001</v>
      </c>
      <c r="I67" s="342">
        <v>14200</v>
      </c>
      <c r="J67" s="113">
        <v>11840.4</v>
      </c>
      <c r="K67" s="342" t="s">
        <v>111</v>
      </c>
      <c r="L67" s="342" t="s">
        <v>111</v>
      </c>
      <c r="M67" s="344">
        <v>7699.2000000000007</v>
      </c>
      <c r="N67" s="110"/>
      <c r="O67" s="465"/>
    </row>
    <row r="68" spans="1:15" x14ac:dyDescent="0.35">
      <c r="A68" s="585"/>
      <c r="B68" s="20" t="s">
        <v>262</v>
      </c>
      <c r="C68" s="112">
        <v>25486.45</v>
      </c>
      <c r="D68" s="342">
        <f>25486.45-60</f>
        <v>25426.45</v>
      </c>
      <c r="E68" s="342" t="s">
        <v>111</v>
      </c>
      <c r="F68" s="342" t="s">
        <v>111</v>
      </c>
      <c r="G68" s="342" t="s">
        <v>111</v>
      </c>
      <c r="H68" s="342">
        <v>21509.512499999997</v>
      </c>
      <c r="I68" s="342">
        <v>28720</v>
      </c>
      <c r="J68" s="113">
        <v>26473.920000000002</v>
      </c>
      <c r="K68" s="342" t="s">
        <v>111</v>
      </c>
      <c r="L68" s="342" t="s">
        <v>111</v>
      </c>
      <c r="M68" s="344">
        <v>15696</v>
      </c>
      <c r="N68" s="110"/>
      <c r="O68" s="465"/>
    </row>
    <row r="69" spans="1:15" x14ac:dyDescent="0.35">
      <c r="A69" s="585"/>
      <c r="B69" s="20" t="s">
        <v>263</v>
      </c>
      <c r="C69" s="112">
        <v>37253.9</v>
      </c>
      <c r="D69" s="342">
        <f>37253.9-60</f>
        <v>37193.9</v>
      </c>
      <c r="E69" s="342" t="s">
        <v>111</v>
      </c>
      <c r="F69" s="342" t="s">
        <v>111</v>
      </c>
      <c r="G69" s="342" t="s">
        <v>111</v>
      </c>
      <c r="H69" s="342" t="s">
        <v>111</v>
      </c>
      <c r="I69" s="342" t="s">
        <v>111</v>
      </c>
      <c r="J69" s="113" t="s">
        <v>111</v>
      </c>
      <c r="K69" s="342" t="s">
        <v>111</v>
      </c>
      <c r="L69" s="342" t="s">
        <v>111</v>
      </c>
      <c r="M69" s="344" t="s">
        <v>111</v>
      </c>
      <c r="N69" s="110"/>
      <c r="O69" s="465"/>
    </row>
    <row r="70" spans="1:15" ht="15" thickBot="1" x14ac:dyDescent="0.4">
      <c r="A70" s="586"/>
      <c r="B70" s="117" t="s">
        <v>264</v>
      </c>
      <c r="C70" s="118" t="s">
        <v>111</v>
      </c>
      <c r="D70" s="345" t="s">
        <v>111</v>
      </c>
      <c r="E70" s="345" t="s">
        <v>111</v>
      </c>
      <c r="F70" s="345" t="s">
        <v>111</v>
      </c>
      <c r="G70" s="345" t="s">
        <v>111</v>
      </c>
      <c r="H70" s="345" t="s">
        <v>111</v>
      </c>
      <c r="I70" s="345">
        <v>38300</v>
      </c>
      <c r="J70" s="119" t="s">
        <v>111</v>
      </c>
      <c r="K70" s="345" t="s">
        <v>111</v>
      </c>
      <c r="L70" s="345" t="s">
        <v>111</v>
      </c>
      <c r="M70" s="346" t="s">
        <v>111</v>
      </c>
      <c r="N70" s="110"/>
      <c r="O70" s="465"/>
    </row>
    <row r="71" spans="1:15" x14ac:dyDescent="0.35">
      <c r="C71" s="163"/>
      <c r="D71" s="163"/>
      <c r="E71" s="163"/>
      <c r="H71" s="163"/>
      <c r="I71" s="163"/>
      <c r="J71" s="163"/>
      <c r="K71" s="163"/>
      <c r="L71" s="163"/>
      <c r="M71" s="163"/>
      <c r="O71" s="465"/>
    </row>
    <row r="72" spans="1:15" x14ac:dyDescent="0.35">
      <c r="C72" s="163"/>
      <c r="D72" s="163"/>
      <c r="E72" s="163"/>
      <c r="H72" s="163"/>
      <c r="I72" s="163"/>
      <c r="J72" s="163"/>
      <c r="K72" s="163"/>
      <c r="L72" s="163"/>
      <c r="M72" s="163"/>
      <c r="O72" s="465"/>
    </row>
    <row r="73" spans="1:15" ht="15.5" x14ac:dyDescent="0.35">
      <c r="A73" s="610" t="s">
        <v>160</v>
      </c>
      <c r="B73" s="610"/>
      <c r="C73" s="164"/>
      <c r="D73" s="164"/>
      <c r="E73" s="96"/>
      <c r="F73"/>
      <c r="G73"/>
      <c r="H73" s="96"/>
      <c r="I73" s="96"/>
      <c r="J73" s="219"/>
      <c r="K73" s="96" t="s">
        <v>128</v>
      </c>
      <c r="L73" s="46" t="s">
        <v>128</v>
      </c>
      <c r="M73" s="46"/>
      <c r="N73" s="46"/>
      <c r="O73" s="465"/>
    </row>
    <row r="74" spans="1:15" ht="15.5" x14ac:dyDescent="0.35">
      <c r="A74" s="590" t="s">
        <v>129</v>
      </c>
      <c r="B74" s="590"/>
      <c r="C74" s="165">
        <v>2000000</v>
      </c>
      <c r="D74" s="165">
        <v>2000000</v>
      </c>
      <c r="E74" s="166"/>
      <c r="F74" s="126"/>
      <c r="G74" s="126"/>
      <c r="H74" s="166"/>
      <c r="I74" s="166"/>
      <c r="J74" s="160"/>
      <c r="K74" s="96" t="s">
        <v>211</v>
      </c>
      <c r="L74" s="46" t="s">
        <v>211</v>
      </c>
      <c r="M74" s="46"/>
      <c r="N74" s="46"/>
      <c r="O74" s="465"/>
    </row>
    <row r="75" spans="1:15" ht="15" thickBot="1" x14ac:dyDescent="0.4">
      <c r="A75" s="614"/>
      <c r="B75" s="614"/>
      <c r="C75" s="166"/>
      <c r="D75" s="166"/>
      <c r="E75" s="166"/>
      <c r="F75" s="127"/>
      <c r="G75" s="127"/>
      <c r="H75" s="166"/>
      <c r="I75" s="166"/>
      <c r="J75" s="96"/>
      <c r="K75" s="96"/>
      <c r="L75" s="96"/>
      <c r="M75" s="96"/>
      <c r="N75"/>
      <c r="O75" s="465"/>
    </row>
    <row r="76" spans="1:15" ht="43.5" x14ac:dyDescent="0.35">
      <c r="A76" s="592"/>
      <c r="B76" s="615"/>
      <c r="C76" s="328" t="s">
        <v>385</v>
      </c>
      <c r="D76" s="328" t="s">
        <v>385</v>
      </c>
      <c r="E76" s="128" t="s">
        <v>228</v>
      </c>
      <c r="F76" s="128" t="s">
        <v>354</v>
      </c>
      <c r="G76" s="128" t="s">
        <v>354</v>
      </c>
      <c r="H76" s="128" t="s">
        <v>229</v>
      </c>
      <c r="I76" s="128" t="s">
        <v>230</v>
      </c>
      <c r="J76" s="128" t="s">
        <v>231</v>
      </c>
      <c r="K76" s="128" t="s">
        <v>232</v>
      </c>
      <c r="L76" s="128" t="s">
        <v>334</v>
      </c>
      <c r="M76" s="129" t="s">
        <v>233</v>
      </c>
      <c r="O76" s="465"/>
    </row>
    <row r="77" spans="1:15" ht="30" customHeight="1" x14ac:dyDescent="0.35">
      <c r="A77" s="594" t="s">
        <v>213</v>
      </c>
      <c r="B77" s="613"/>
      <c r="C77" s="130" t="s">
        <v>311</v>
      </c>
      <c r="D77" s="130" t="s">
        <v>311</v>
      </c>
      <c r="E77" s="130" t="s">
        <v>235</v>
      </c>
      <c r="F77" s="130" t="s">
        <v>353</v>
      </c>
      <c r="G77" s="130" t="s">
        <v>353</v>
      </c>
      <c r="H77" s="130" t="s">
        <v>234</v>
      </c>
      <c r="I77" s="130" t="s">
        <v>236</v>
      </c>
      <c r="J77" s="159" t="s">
        <v>234</v>
      </c>
      <c r="K77" s="130" t="s">
        <v>237</v>
      </c>
      <c r="L77" s="130" t="s">
        <v>237</v>
      </c>
      <c r="M77" s="131" t="s">
        <v>234</v>
      </c>
      <c r="O77" s="465"/>
    </row>
    <row r="78" spans="1:15" ht="15" thickBot="1" x14ac:dyDescent="0.4">
      <c r="A78" s="310" t="s">
        <v>176</v>
      </c>
      <c r="B78" s="212" t="s">
        <v>140</v>
      </c>
      <c r="C78" s="213" t="s">
        <v>141</v>
      </c>
      <c r="D78" s="213" t="s">
        <v>141</v>
      </c>
      <c r="E78" s="213" t="s">
        <v>142</v>
      </c>
      <c r="F78" s="213" t="s">
        <v>141</v>
      </c>
      <c r="G78" s="213" t="s">
        <v>141</v>
      </c>
      <c r="H78" s="215" t="s">
        <v>141</v>
      </c>
      <c r="I78" s="215" t="s">
        <v>141</v>
      </c>
      <c r="J78" s="215" t="s">
        <v>142</v>
      </c>
      <c r="K78" s="215" t="s">
        <v>142</v>
      </c>
      <c r="L78" s="215" t="s">
        <v>142</v>
      </c>
      <c r="M78" s="214" t="s">
        <v>141</v>
      </c>
      <c r="O78" s="465"/>
    </row>
    <row r="79" spans="1:15" x14ac:dyDescent="0.35">
      <c r="A79" s="620" t="s">
        <v>238</v>
      </c>
      <c r="B79" s="138" t="s">
        <v>239</v>
      </c>
      <c r="C79" s="142">
        <v>362.2</v>
      </c>
      <c r="D79" s="356">
        <f>362.2-60</f>
        <v>302.2</v>
      </c>
      <c r="E79" s="356">
        <v>760</v>
      </c>
      <c r="F79" s="356" t="s">
        <v>111</v>
      </c>
      <c r="G79" s="356" t="s">
        <v>111</v>
      </c>
      <c r="H79" s="356">
        <v>417.15000000000003</v>
      </c>
      <c r="I79" s="356">
        <f>I112-2820</f>
        <v>620</v>
      </c>
      <c r="J79" s="143">
        <v>518.88</v>
      </c>
      <c r="K79" s="356" t="s">
        <v>111</v>
      </c>
      <c r="L79" s="356" t="s">
        <v>111</v>
      </c>
      <c r="M79" s="357">
        <v>355.6</v>
      </c>
      <c r="N79" s="110"/>
      <c r="O79" s="465"/>
    </row>
    <row r="80" spans="1:15" x14ac:dyDescent="0.35">
      <c r="A80" s="587"/>
      <c r="B80" s="20" t="s">
        <v>240</v>
      </c>
      <c r="C80" s="112">
        <v>390.75</v>
      </c>
      <c r="D80" s="342">
        <f>390.75-60</f>
        <v>330.75</v>
      </c>
      <c r="E80" s="342" t="s">
        <v>111</v>
      </c>
      <c r="F80" s="342" t="s">
        <v>111</v>
      </c>
      <c r="G80" s="342" t="s">
        <v>111</v>
      </c>
      <c r="H80" s="342">
        <v>417.15000000000003</v>
      </c>
      <c r="I80" s="342">
        <f>I113-2880</f>
        <v>640</v>
      </c>
      <c r="J80" s="113">
        <v>518.88</v>
      </c>
      <c r="K80" s="342">
        <v>486.9</v>
      </c>
      <c r="L80" s="342">
        <v>486.9</v>
      </c>
      <c r="M80" s="344">
        <v>357</v>
      </c>
      <c r="N80" s="110"/>
      <c r="O80" s="465"/>
    </row>
    <row r="81" spans="1:15" x14ac:dyDescent="0.35">
      <c r="A81" s="587"/>
      <c r="B81" s="20" t="s">
        <v>241</v>
      </c>
      <c r="C81" s="112">
        <v>739.7</v>
      </c>
      <c r="D81" s="342">
        <f>739.7-60</f>
        <v>679.7</v>
      </c>
      <c r="E81" s="342">
        <v>1460</v>
      </c>
      <c r="F81" s="342" t="s">
        <v>111</v>
      </c>
      <c r="G81" s="342" t="s">
        <v>111</v>
      </c>
      <c r="H81" s="342">
        <v>753.78749999999991</v>
      </c>
      <c r="I81" s="342">
        <f>I114-5300</f>
        <v>1320</v>
      </c>
      <c r="J81" s="113">
        <v>1089.28</v>
      </c>
      <c r="K81" s="342">
        <v>987.65</v>
      </c>
      <c r="L81" s="342">
        <v>987.65</v>
      </c>
      <c r="M81" s="344">
        <v>562.79999999999995</v>
      </c>
      <c r="N81" s="110"/>
      <c r="O81" s="465"/>
    </row>
    <row r="82" spans="1:15" x14ac:dyDescent="0.35">
      <c r="A82" s="587"/>
      <c r="B82" s="20" t="s">
        <v>242</v>
      </c>
      <c r="C82" s="112">
        <v>1495.95</v>
      </c>
      <c r="D82" s="342">
        <f>C82-60</f>
        <v>1435.95</v>
      </c>
      <c r="E82" s="342" t="s">
        <v>111</v>
      </c>
      <c r="F82" s="342" t="s">
        <v>111</v>
      </c>
      <c r="G82" s="342" t="s">
        <v>111</v>
      </c>
      <c r="H82" s="342">
        <v>2215.9875000000002</v>
      </c>
      <c r="I82" s="342">
        <f>I115-8020</f>
        <v>3340</v>
      </c>
      <c r="J82" s="113" t="s">
        <v>111</v>
      </c>
      <c r="K82" s="342">
        <v>2383.75</v>
      </c>
      <c r="L82" s="342">
        <f>K82*0.85</f>
        <v>2026.1875</v>
      </c>
      <c r="M82" s="344">
        <v>1442.4</v>
      </c>
      <c r="N82" s="110"/>
      <c r="O82" s="465"/>
    </row>
    <row r="83" spans="1:15" x14ac:dyDescent="0.35">
      <c r="A83" s="587"/>
      <c r="B83" s="20" t="s">
        <v>243</v>
      </c>
      <c r="C83" s="112">
        <v>3868.95</v>
      </c>
      <c r="D83" s="471">
        <f>C83-60</f>
        <v>3808.95</v>
      </c>
      <c r="E83" s="342" t="s">
        <v>111</v>
      </c>
      <c r="F83" s="342">
        <v>3228</v>
      </c>
      <c r="G83" s="472">
        <f>3228/0.8*0.85</f>
        <v>3429.75</v>
      </c>
      <c r="H83" s="342" t="s">
        <v>111</v>
      </c>
      <c r="I83" s="342" t="s">
        <v>111</v>
      </c>
      <c r="J83" s="113" t="s">
        <v>111</v>
      </c>
      <c r="K83" s="342" t="s">
        <v>111</v>
      </c>
      <c r="L83" s="342" t="s">
        <v>111</v>
      </c>
      <c r="M83" s="344" t="s">
        <v>111</v>
      </c>
      <c r="N83" s="110"/>
      <c r="O83" s="465"/>
    </row>
    <row r="84" spans="1:15" ht="15" thickBot="1" x14ac:dyDescent="0.4">
      <c r="A84" s="607"/>
      <c r="B84" s="117" t="s">
        <v>244</v>
      </c>
      <c r="C84" s="140" t="s">
        <v>111</v>
      </c>
      <c r="D84" s="345" t="s">
        <v>111</v>
      </c>
      <c r="E84" s="345" t="s">
        <v>111</v>
      </c>
      <c r="F84" s="345" t="s">
        <v>111</v>
      </c>
      <c r="G84" s="345" t="s">
        <v>111</v>
      </c>
      <c r="H84" s="345" t="s">
        <v>111</v>
      </c>
      <c r="I84" s="345">
        <f>I117-8880</f>
        <v>5760</v>
      </c>
      <c r="J84" s="119" t="s">
        <v>111</v>
      </c>
      <c r="K84" s="345">
        <v>4585.2</v>
      </c>
      <c r="L84" s="345">
        <f>K84*0.85</f>
        <v>3897.4199999999996</v>
      </c>
      <c r="M84" s="346" t="s">
        <v>111</v>
      </c>
      <c r="N84" s="110"/>
      <c r="O84" s="465"/>
    </row>
    <row r="85" spans="1:15" x14ac:dyDescent="0.35">
      <c r="A85" s="611" t="s">
        <v>245</v>
      </c>
      <c r="B85" s="138" t="s">
        <v>239</v>
      </c>
      <c r="C85" s="107">
        <v>498.85</v>
      </c>
      <c r="D85" s="358">
        <f>498.85-60</f>
        <v>438.85</v>
      </c>
      <c r="E85" s="358">
        <v>980</v>
      </c>
      <c r="F85" s="358" t="s">
        <v>111</v>
      </c>
      <c r="G85" s="358" t="s">
        <v>111</v>
      </c>
      <c r="H85" s="358">
        <v>499.5</v>
      </c>
      <c r="I85" s="358">
        <f>I118-3580</f>
        <v>680</v>
      </c>
      <c r="J85" s="108">
        <v>688.16000000000008</v>
      </c>
      <c r="K85" s="358" t="s">
        <v>111</v>
      </c>
      <c r="L85" s="358" t="s">
        <v>111</v>
      </c>
      <c r="M85" s="359">
        <v>407.40000000000003</v>
      </c>
      <c r="N85" s="110"/>
      <c r="O85" s="465"/>
    </row>
    <row r="86" spans="1:15" x14ac:dyDescent="0.35">
      <c r="A86" s="587"/>
      <c r="B86" s="20" t="s">
        <v>240</v>
      </c>
      <c r="C86" s="112">
        <v>546.29999999999995</v>
      </c>
      <c r="D86" s="342">
        <f>546.3-60</f>
        <v>486.29999999999995</v>
      </c>
      <c r="E86" s="342" t="s">
        <v>111</v>
      </c>
      <c r="F86" s="342" t="s">
        <v>111</v>
      </c>
      <c r="G86" s="342" t="s">
        <v>111</v>
      </c>
      <c r="H86" s="342">
        <v>517.08750000000009</v>
      </c>
      <c r="I86" s="342">
        <f>I119-4200</f>
        <v>720</v>
      </c>
      <c r="J86" s="113">
        <v>697.36000000000013</v>
      </c>
      <c r="K86" s="342">
        <v>593.04999999999995</v>
      </c>
      <c r="L86" s="342">
        <v>593.04999999999995</v>
      </c>
      <c r="M86" s="344">
        <v>436.80000000000007</v>
      </c>
      <c r="N86" s="110"/>
      <c r="O86" s="465"/>
    </row>
    <row r="87" spans="1:15" x14ac:dyDescent="0.35">
      <c r="A87" s="587"/>
      <c r="B87" s="20" t="s">
        <v>246</v>
      </c>
      <c r="C87" s="112">
        <v>956.8</v>
      </c>
      <c r="D87" s="342">
        <f>956.8-60</f>
        <v>896.8</v>
      </c>
      <c r="E87" s="342">
        <v>1760</v>
      </c>
      <c r="F87" s="342" t="s">
        <v>111</v>
      </c>
      <c r="G87" s="342" t="s">
        <v>111</v>
      </c>
      <c r="H87" s="342">
        <v>939.48750000000007</v>
      </c>
      <c r="I87" s="342">
        <f>I120-6360</f>
        <v>1300</v>
      </c>
      <c r="J87" s="113">
        <v>1223.6000000000001</v>
      </c>
      <c r="K87" s="342">
        <v>1179.2</v>
      </c>
      <c r="L87" s="342">
        <v>1179.2</v>
      </c>
      <c r="M87" s="344">
        <v>667.2</v>
      </c>
      <c r="N87" s="110"/>
      <c r="O87" s="465"/>
    </row>
    <row r="88" spans="1:15" x14ac:dyDescent="0.35">
      <c r="A88" s="587"/>
      <c r="B88" s="20" t="s">
        <v>247</v>
      </c>
      <c r="C88" s="112">
        <v>2019.95</v>
      </c>
      <c r="D88" s="342">
        <f>C88-60</f>
        <v>1959.95</v>
      </c>
      <c r="E88" s="342" t="s">
        <v>111</v>
      </c>
      <c r="F88" s="342" t="s">
        <v>111</v>
      </c>
      <c r="G88" s="342" t="s">
        <v>111</v>
      </c>
      <c r="H88" s="342">
        <v>2919.7875000000004</v>
      </c>
      <c r="I88" s="342">
        <f>I121-10520</f>
        <v>3940</v>
      </c>
      <c r="J88" s="113" t="s">
        <v>111</v>
      </c>
      <c r="K88" s="342">
        <v>2822.2</v>
      </c>
      <c r="L88" s="342">
        <f>K88*0.85</f>
        <v>2398.87</v>
      </c>
      <c r="M88" s="344">
        <v>1714.8000000000002</v>
      </c>
      <c r="N88" s="110"/>
      <c r="O88" s="465"/>
    </row>
    <row r="89" spans="1:15" x14ac:dyDescent="0.35">
      <c r="A89" s="587"/>
      <c r="B89" s="20" t="s">
        <v>248</v>
      </c>
      <c r="C89" s="112">
        <v>5263.9</v>
      </c>
      <c r="D89" s="471">
        <f>C89-60</f>
        <v>5203.8999999999996</v>
      </c>
      <c r="E89" s="342" t="s">
        <v>111</v>
      </c>
      <c r="F89" s="342">
        <v>4428</v>
      </c>
      <c r="G89" s="472">
        <f>4428/0.8*0.85</f>
        <v>4704.75</v>
      </c>
      <c r="H89" s="342" t="s">
        <v>111</v>
      </c>
      <c r="I89" s="342" t="s">
        <v>111</v>
      </c>
      <c r="J89" s="113" t="s">
        <v>111</v>
      </c>
      <c r="K89" s="342" t="s">
        <v>111</v>
      </c>
      <c r="L89" s="342" t="s">
        <v>111</v>
      </c>
      <c r="M89" s="344" t="s">
        <v>111</v>
      </c>
      <c r="N89" s="110"/>
      <c r="O89" s="465"/>
    </row>
    <row r="90" spans="1:15" ht="15" thickBot="1" x14ac:dyDescent="0.4">
      <c r="A90" s="612"/>
      <c r="B90" s="139" t="s">
        <v>249</v>
      </c>
      <c r="C90" s="118" t="s">
        <v>111</v>
      </c>
      <c r="D90" s="345" t="s">
        <v>111</v>
      </c>
      <c r="E90" s="345" t="s">
        <v>111</v>
      </c>
      <c r="F90" s="345" t="s">
        <v>111</v>
      </c>
      <c r="G90" s="345" t="s">
        <v>111</v>
      </c>
      <c r="H90" s="345" t="s">
        <v>111</v>
      </c>
      <c r="I90" s="345">
        <f>I123-11560</f>
        <v>7360</v>
      </c>
      <c r="J90" s="119" t="s">
        <v>111</v>
      </c>
      <c r="K90" s="345">
        <v>5854.35</v>
      </c>
      <c r="L90" s="345">
        <f>K90*0.85</f>
        <v>4976.1975000000002</v>
      </c>
      <c r="M90" s="346" t="s">
        <v>111</v>
      </c>
      <c r="N90" s="110"/>
      <c r="O90" s="465"/>
    </row>
    <row r="91" spans="1:15" x14ac:dyDescent="0.35">
      <c r="A91" s="620" t="s">
        <v>250</v>
      </c>
      <c r="B91" s="137" t="s">
        <v>239</v>
      </c>
      <c r="C91" s="107">
        <v>722.3</v>
      </c>
      <c r="D91" s="358">
        <f>722.3-60</f>
        <v>662.3</v>
      </c>
      <c r="E91" s="358">
        <v>1580</v>
      </c>
      <c r="F91" s="358" t="s">
        <v>111</v>
      </c>
      <c r="G91" s="358" t="s">
        <v>111</v>
      </c>
      <c r="H91" s="358">
        <v>715.76250000000005</v>
      </c>
      <c r="I91" s="358">
        <f>I124-5480</f>
        <v>960</v>
      </c>
      <c r="J91" s="108">
        <v>903.44</v>
      </c>
      <c r="K91" s="358" t="s">
        <v>111</v>
      </c>
      <c r="L91" s="358" t="s">
        <v>111</v>
      </c>
      <c r="M91" s="359">
        <v>618.80000000000007</v>
      </c>
      <c r="N91" s="110"/>
      <c r="O91" s="465"/>
    </row>
    <row r="92" spans="1:15" x14ac:dyDescent="0.35">
      <c r="A92" s="587"/>
      <c r="B92" s="20" t="s">
        <v>240</v>
      </c>
      <c r="C92" s="112">
        <v>817.25</v>
      </c>
      <c r="D92" s="342">
        <f>817.25-60</f>
        <v>757.25</v>
      </c>
      <c r="E92" s="342" t="s">
        <v>111</v>
      </c>
      <c r="F92" s="342" t="s">
        <v>111</v>
      </c>
      <c r="G92" s="342" t="s">
        <v>111</v>
      </c>
      <c r="H92" s="342">
        <v>752.09999999999991</v>
      </c>
      <c r="I92" s="342">
        <f>I125-6440</f>
        <v>1040</v>
      </c>
      <c r="J92" s="113">
        <v>945.76</v>
      </c>
      <c r="K92" s="342">
        <v>886.1</v>
      </c>
      <c r="L92" s="342">
        <v>886.1</v>
      </c>
      <c r="M92" s="344">
        <v>652.4</v>
      </c>
      <c r="N92" s="110"/>
      <c r="O92" s="465"/>
    </row>
    <row r="93" spans="1:15" x14ac:dyDescent="0.35">
      <c r="A93" s="587"/>
      <c r="B93" s="20" t="s">
        <v>251</v>
      </c>
      <c r="C93" s="112">
        <v>1249.55</v>
      </c>
      <c r="D93" s="342">
        <f>1249.55-60</f>
        <v>1189.55</v>
      </c>
      <c r="E93" s="342">
        <v>2340</v>
      </c>
      <c r="F93" s="342" t="s">
        <v>111</v>
      </c>
      <c r="G93" s="342" t="s">
        <v>111</v>
      </c>
      <c r="H93" s="342">
        <v>1184.6999999999998</v>
      </c>
      <c r="I93" s="342">
        <f>I126-7880</f>
        <v>1780</v>
      </c>
      <c r="J93" s="113">
        <v>1532.72</v>
      </c>
      <c r="K93" s="342">
        <v>1493</v>
      </c>
      <c r="L93" s="342">
        <f>K93*0.85</f>
        <v>1269.05</v>
      </c>
      <c r="M93" s="344">
        <v>902.40000000000009</v>
      </c>
      <c r="N93" s="110"/>
      <c r="O93" s="465"/>
    </row>
    <row r="94" spans="1:15" x14ac:dyDescent="0.35">
      <c r="A94" s="587"/>
      <c r="B94" s="20" t="s">
        <v>252</v>
      </c>
      <c r="C94" s="112">
        <v>2684.95</v>
      </c>
      <c r="D94" s="342">
        <f>C94-60</f>
        <v>2624.95</v>
      </c>
      <c r="E94" s="342" t="s">
        <v>111</v>
      </c>
      <c r="F94" s="342" t="s">
        <v>111</v>
      </c>
      <c r="G94" s="342" t="s">
        <v>111</v>
      </c>
      <c r="H94" s="342">
        <v>3663.4500000000003</v>
      </c>
      <c r="I94" s="342">
        <f>I127-11560</f>
        <v>4860</v>
      </c>
      <c r="J94" s="113" t="s">
        <v>111</v>
      </c>
      <c r="K94" s="342">
        <v>3782.15</v>
      </c>
      <c r="L94" s="342">
        <f>K94*0.85</f>
        <v>3214.8274999999999</v>
      </c>
      <c r="M94" s="344">
        <v>2338.8000000000002</v>
      </c>
      <c r="N94" s="110"/>
      <c r="O94" s="465"/>
    </row>
    <row r="95" spans="1:15" x14ac:dyDescent="0.35">
      <c r="A95" s="587"/>
      <c r="B95" s="20" t="s">
        <v>253</v>
      </c>
      <c r="C95" s="112">
        <v>6932.3</v>
      </c>
      <c r="D95" s="471">
        <f>C95-60</f>
        <v>6872.3</v>
      </c>
      <c r="E95" s="342" t="s">
        <v>111</v>
      </c>
      <c r="F95" s="342">
        <v>6003</v>
      </c>
      <c r="G95" s="471">
        <f>6003/0.8*0.85</f>
        <v>6378.1875</v>
      </c>
      <c r="H95" s="342" t="s">
        <v>111</v>
      </c>
      <c r="I95" s="342" t="s">
        <v>111</v>
      </c>
      <c r="J95" s="113" t="s">
        <v>111</v>
      </c>
      <c r="K95" s="342" t="s">
        <v>111</v>
      </c>
      <c r="L95" s="342" t="s">
        <v>111</v>
      </c>
      <c r="M95" s="344" t="s">
        <v>111</v>
      </c>
      <c r="N95" s="110"/>
      <c r="O95" s="465"/>
    </row>
    <row r="96" spans="1:15" ht="15" thickBot="1" x14ac:dyDescent="0.4">
      <c r="A96" s="607"/>
      <c r="B96" s="117" t="s">
        <v>254</v>
      </c>
      <c r="C96" s="140" t="s">
        <v>111</v>
      </c>
      <c r="D96" s="345" t="s">
        <v>111</v>
      </c>
      <c r="E96" s="345" t="s">
        <v>111</v>
      </c>
      <c r="F96" s="345" t="s">
        <v>111</v>
      </c>
      <c r="G96" s="345" t="s">
        <v>111</v>
      </c>
      <c r="H96" s="345" t="s">
        <v>111</v>
      </c>
      <c r="I96" s="345">
        <f>I129-12280</f>
        <v>9440</v>
      </c>
      <c r="J96" s="119" t="s">
        <v>111</v>
      </c>
      <c r="K96" s="345">
        <v>7582.75</v>
      </c>
      <c r="L96" s="345">
        <f>K96*0.85</f>
        <v>6445.3374999999996</v>
      </c>
      <c r="M96" s="346" t="s">
        <v>111</v>
      </c>
      <c r="N96" s="110"/>
      <c r="O96" s="465"/>
    </row>
    <row r="97" spans="1:15" x14ac:dyDescent="0.35">
      <c r="A97" s="611" t="s">
        <v>255</v>
      </c>
      <c r="B97" s="138" t="s">
        <v>239</v>
      </c>
      <c r="C97" s="107">
        <v>1010</v>
      </c>
      <c r="D97" s="358">
        <f>1010-60</f>
        <v>950</v>
      </c>
      <c r="E97" s="358">
        <v>2160</v>
      </c>
      <c r="F97" s="358" t="s">
        <v>111</v>
      </c>
      <c r="G97" s="358" t="s">
        <v>111</v>
      </c>
      <c r="H97" s="358">
        <v>1026.75</v>
      </c>
      <c r="I97" s="358">
        <f>I130-8120</f>
        <v>1320</v>
      </c>
      <c r="J97" s="108">
        <v>1214.4000000000001</v>
      </c>
      <c r="K97" s="358" t="s">
        <v>111</v>
      </c>
      <c r="L97" s="358" t="s">
        <v>111</v>
      </c>
      <c r="M97" s="359">
        <v>859.60000000000014</v>
      </c>
      <c r="N97" s="110"/>
      <c r="O97" s="465"/>
    </row>
    <row r="98" spans="1:15" x14ac:dyDescent="0.35">
      <c r="A98" s="587"/>
      <c r="B98" s="20" t="s">
        <v>240</v>
      </c>
      <c r="C98" s="112">
        <v>1213.8499999999999</v>
      </c>
      <c r="D98" s="342">
        <f>1213.85-60</f>
        <v>1153.8499999999999</v>
      </c>
      <c r="E98" s="342" t="s">
        <v>111</v>
      </c>
      <c r="F98" s="342" t="s">
        <v>111</v>
      </c>
      <c r="G98" s="342" t="s">
        <v>111</v>
      </c>
      <c r="H98" s="342">
        <v>1138.5</v>
      </c>
      <c r="I98" s="342">
        <f>I131-8920</f>
        <v>1540</v>
      </c>
      <c r="J98" s="113">
        <v>1378.16</v>
      </c>
      <c r="K98" s="342">
        <v>1412.25</v>
      </c>
      <c r="L98" s="342">
        <f>K98*0.85</f>
        <v>1200.4124999999999</v>
      </c>
      <c r="M98" s="344">
        <v>1029</v>
      </c>
      <c r="N98" s="110"/>
      <c r="O98" s="465"/>
    </row>
    <row r="99" spans="1:15" x14ac:dyDescent="0.35">
      <c r="A99" s="587"/>
      <c r="B99" s="20" t="s">
        <v>256</v>
      </c>
      <c r="C99" s="112">
        <v>1647</v>
      </c>
      <c r="D99" s="342">
        <f>1647-60</f>
        <v>1587</v>
      </c>
      <c r="E99" s="342">
        <v>2880</v>
      </c>
      <c r="F99" s="342" t="s">
        <v>111</v>
      </c>
      <c r="G99" s="342" t="s">
        <v>111</v>
      </c>
      <c r="H99" s="342">
        <v>1557.8625000000002</v>
      </c>
      <c r="I99" s="342">
        <f>I132-9980</f>
        <v>2080</v>
      </c>
      <c r="J99" s="113">
        <v>2033.2</v>
      </c>
      <c r="K99" s="342">
        <v>1931.5</v>
      </c>
      <c r="L99" s="342">
        <f>K99*0.85</f>
        <v>1641.7749999999999</v>
      </c>
      <c r="M99" s="344">
        <v>1208.4000000000001</v>
      </c>
      <c r="N99" s="110"/>
      <c r="O99" s="465"/>
    </row>
    <row r="100" spans="1:15" x14ac:dyDescent="0.35">
      <c r="A100" s="587"/>
      <c r="B100" s="20" t="s">
        <v>257</v>
      </c>
      <c r="C100" s="112">
        <v>3567.4</v>
      </c>
      <c r="D100" s="342">
        <f>3567.4-60</f>
        <v>3507.4</v>
      </c>
      <c r="E100" s="342" t="s">
        <v>111</v>
      </c>
      <c r="F100" s="342" t="s">
        <v>111</v>
      </c>
      <c r="G100" s="342" t="s">
        <v>111</v>
      </c>
      <c r="H100" s="342">
        <v>4713.7875000000004</v>
      </c>
      <c r="I100" s="342">
        <f>I133-15360</f>
        <v>6560</v>
      </c>
      <c r="J100" s="113">
        <v>5908.2400000000007</v>
      </c>
      <c r="K100" s="342">
        <v>4977.5</v>
      </c>
      <c r="L100" s="342">
        <f>K100*0.85</f>
        <v>4230.875</v>
      </c>
      <c r="M100" s="344">
        <v>3301.2</v>
      </c>
      <c r="N100" s="110"/>
      <c r="O100" s="465"/>
    </row>
    <row r="101" spans="1:15" x14ac:dyDescent="0.35">
      <c r="A101" s="587"/>
      <c r="B101" s="20" t="s">
        <v>258</v>
      </c>
      <c r="C101" s="112">
        <v>9195.25</v>
      </c>
      <c r="D101" s="471">
        <f>9195.25-60</f>
        <v>9135.25</v>
      </c>
      <c r="E101" s="342" t="s">
        <v>111</v>
      </c>
      <c r="F101" s="342">
        <v>8299</v>
      </c>
      <c r="G101" s="472">
        <f>8299/0.8*0.85</f>
        <v>8817.6875</v>
      </c>
      <c r="H101" s="342" t="s">
        <v>111</v>
      </c>
      <c r="I101" s="342" t="s">
        <v>111</v>
      </c>
      <c r="J101" s="113" t="s">
        <v>111</v>
      </c>
      <c r="K101" s="342" t="s">
        <v>111</v>
      </c>
      <c r="L101" s="342" t="s">
        <v>111</v>
      </c>
      <c r="M101" s="344" t="s">
        <v>111</v>
      </c>
      <c r="N101" s="110"/>
      <c r="O101" s="465"/>
    </row>
    <row r="102" spans="1:15" ht="15" thickBot="1" x14ac:dyDescent="0.4">
      <c r="A102" s="612"/>
      <c r="B102" s="139" t="s">
        <v>259</v>
      </c>
      <c r="C102" s="118" t="s">
        <v>111</v>
      </c>
      <c r="D102" s="345" t="s">
        <v>111</v>
      </c>
      <c r="E102" s="345" t="s">
        <v>111</v>
      </c>
      <c r="F102" s="345" t="s">
        <v>111</v>
      </c>
      <c r="G102" s="345" t="s">
        <v>111</v>
      </c>
      <c r="H102" s="345" t="s">
        <v>111</v>
      </c>
      <c r="I102" s="345">
        <f>I135-19060</f>
        <v>12160</v>
      </c>
      <c r="J102" s="119" t="s">
        <v>111</v>
      </c>
      <c r="K102" s="345">
        <v>10647.3</v>
      </c>
      <c r="L102" s="345">
        <f>K102*0.85</f>
        <v>9050.2049999999999</v>
      </c>
      <c r="M102" s="346" t="s">
        <v>111</v>
      </c>
      <c r="N102" s="110"/>
      <c r="O102" s="465"/>
    </row>
    <row r="103" spans="1:15" x14ac:dyDescent="0.35">
      <c r="A103" s="620" t="s">
        <v>260</v>
      </c>
      <c r="B103" s="137" t="s">
        <v>239</v>
      </c>
      <c r="C103" s="107">
        <v>1524.65</v>
      </c>
      <c r="D103" s="356">
        <f>1524.65-60</f>
        <v>1464.65</v>
      </c>
      <c r="E103" s="356">
        <v>2800</v>
      </c>
      <c r="F103" s="356" t="s">
        <v>111</v>
      </c>
      <c r="G103" s="356" t="s">
        <v>111</v>
      </c>
      <c r="H103" s="356">
        <v>1529.8125</v>
      </c>
      <c r="I103" s="356">
        <f>I136-10740</f>
        <v>1920</v>
      </c>
      <c r="J103" s="143">
        <v>1898.88</v>
      </c>
      <c r="K103" s="356" t="s">
        <v>111</v>
      </c>
      <c r="L103" s="356" t="s">
        <v>111</v>
      </c>
      <c r="M103" s="357">
        <v>1358</v>
      </c>
      <c r="N103" s="110"/>
      <c r="O103" s="465"/>
    </row>
    <row r="104" spans="1:15" x14ac:dyDescent="0.35">
      <c r="A104" s="587"/>
      <c r="B104" s="20" t="s">
        <v>240</v>
      </c>
      <c r="C104" s="112">
        <v>1843</v>
      </c>
      <c r="D104" s="342">
        <f>1843-60</f>
        <v>1783</v>
      </c>
      <c r="E104" s="342" t="s">
        <v>111</v>
      </c>
      <c r="F104" s="342" t="s">
        <v>111</v>
      </c>
      <c r="G104" s="342" t="s">
        <v>111</v>
      </c>
      <c r="H104" s="342">
        <v>1679.4750000000001</v>
      </c>
      <c r="I104" s="342">
        <f>I137-11180</f>
        <v>2300</v>
      </c>
      <c r="J104" s="113">
        <v>1978</v>
      </c>
      <c r="K104" s="342">
        <v>2060.6999999999998</v>
      </c>
      <c r="L104" s="342">
        <f>K104*0.7</f>
        <v>1442.4899999999998</v>
      </c>
      <c r="M104" s="344">
        <v>1591.8</v>
      </c>
      <c r="N104" s="110"/>
      <c r="O104" s="465"/>
    </row>
    <row r="105" spans="1:15" x14ac:dyDescent="0.35">
      <c r="A105" s="587"/>
      <c r="B105" s="20" t="s">
        <v>261</v>
      </c>
      <c r="C105" s="112">
        <v>2077.5</v>
      </c>
      <c r="D105" s="342">
        <f>2077.5-60</f>
        <v>2017.5</v>
      </c>
      <c r="E105" s="342">
        <v>3520</v>
      </c>
      <c r="F105" s="342" t="s">
        <v>111</v>
      </c>
      <c r="G105" s="342" t="s">
        <v>111</v>
      </c>
      <c r="H105" s="342">
        <v>2014.8000000000002</v>
      </c>
      <c r="I105" s="342">
        <f>I138-11680</f>
        <v>2760</v>
      </c>
      <c r="J105" s="113">
        <v>2347.84</v>
      </c>
      <c r="K105" s="342">
        <v>2289.15</v>
      </c>
      <c r="L105" s="342">
        <f>K105*0.7</f>
        <v>1602.405</v>
      </c>
      <c r="M105" s="344">
        <v>1606.8000000000002</v>
      </c>
      <c r="N105" s="110"/>
      <c r="O105" s="465"/>
    </row>
    <row r="106" spans="1:15" x14ac:dyDescent="0.35">
      <c r="A106" s="587"/>
      <c r="B106" s="20" t="s">
        <v>262</v>
      </c>
      <c r="C106" s="112">
        <v>4762.95</v>
      </c>
      <c r="D106" s="342">
        <f>4762.95-60</f>
        <v>4702.95</v>
      </c>
      <c r="E106" s="342" t="s">
        <v>111</v>
      </c>
      <c r="F106" s="342" t="s">
        <v>111</v>
      </c>
      <c r="G106" s="342" t="s">
        <v>111</v>
      </c>
      <c r="H106" s="342">
        <v>6015.7124999999996</v>
      </c>
      <c r="I106" s="342">
        <f>I139-17840</f>
        <v>7860</v>
      </c>
      <c r="J106" s="113">
        <v>8548.6400000000012</v>
      </c>
      <c r="K106" s="342">
        <v>6279</v>
      </c>
      <c r="L106" s="342">
        <f>K106*0.7</f>
        <v>4395.2999999999993</v>
      </c>
      <c r="M106" s="344">
        <v>4393.2</v>
      </c>
      <c r="N106" s="110"/>
      <c r="O106" s="465"/>
    </row>
    <row r="107" spans="1:15" x14ac:dyDescent="0.35">
      <c r="A107" s="587"/>
      <c r="B107" s="20" t="s">
        <v>263</v>
      </c>
      <c r="C107" s="112">
        <v>11967.4</v>
      </c>
      <c r="D107" s="472">
        <f>11967.4-60</f>
        <v>11907.4</v>
      </c>
      <c r="E107" s="342" t="s">
        <v>111</v>
      </c>
      <c r="F107" s="342">
        <v>11541</v>
      </c>
      <c r="G107" s="471">
        <f>11541/0.8*0.85</f>
        <v>12262.3125</v>
      </c>
      <c r="H107" s="342" t="s">
        <v>111</v>
      </c>
      <c r="I107" s="342" t="s">
        <v>111</v>
      </c>
      <c r="J107" s="113" t="s">
        <v>111</v>
      </c>
      <c r="K107" s="342" t="s">
        <v>111</v>
      </c>
      <c r="L107" s="342" t="s">
        <v>111</v>
      </c>
      <c r="M107" s="344" t="s">
        <v>111</v>
      </c>
      <c r="N107" s="110"/>
      <c r="O107" s="465"/>
    </row>
    <row r="108" spans="1:15" ht="15" thickBot="1" x14ac:dyDescent="0.4">
      <c r="A108" s="612"/>
      <c r="B108" s="117" t="s">
        <v>264</v>
      </c>
      <c r="C108" s="118" t="s">
        <v>111</v>
      </c>
      <c r="D108" s="345" t="s">
        <v>111</v>
      </c>
      <c r="E108" s="345" t="s">
        <v>111</v>
      </c>
      <c r="F108" s="345" t="s">
        <v>111</v>
      </c>
      <c r="G108" s="345" t="s">
        <v>111</v>
      </c>
      <c r="H108" s="345" t="s">
        <v>111</v>
      </c>
      <c r="I108" s="345">
        <f>I141-22560</f>
        <v>15720</v>
      </c>
      <c r="J108" s="119" t="s">
        <v>111</v>
      </c>
      <c r="K108" s="345">
        <v>15064</v>
      </c>
      <c r="L108" s="345">
        <f>K108*0.7</f>
        <v>10544.8</v>
      </c>
      <c r="M108" s="346" t="s">
        <v>111</v>
      </c>
      <c r="N108" s="110"/>
      <c r="O108" s="465"/>
    </row>
    <row r="109" spans="1:15" ht="29.5" customHeight="1" x14ac:dyDescent="0.35">
      <c r="A109" s="608" t="s">
        <v>221</v>
      </c>
      <c r="B109" s="618"/>
      <c r="C109" s="216" t="s">
        <v>310</v>
      </c>
      <c r="D109" s="216" t="s">
        <v>310</v>
      </c>
      <c r="E109" s="277" t="s">
        <v>267</v>
      </c>
      <c r="F109" s="277" t="s">
        <v>111</v>
      </c>
      <c r="G109" s="277" t="s">
        <v>111</v>
      </c>
      <c r="H109" s="277" t="s">
        <v>265</v>
      </c>
      <c r="I109" s="277" t="s">
        <v>268</v>
      </c>
      <c r="J109" s="277" t="s">
        <v>265</v>
      </c>
      <c r="K109" s="216" t="s">
        <v>270</v>
      </c>
      <c r="L109" s="216" t="s">
        <v>270</v>
      </c>
      <c r="M109" s="217" t="s">
        <v>266</v>
      </c>
      <c r="N109" s="110"/>
      <c r="O109" s="465"/>
    </row>
    <row r="110" spans="1:15" ht="43.5" x14ac:dyDescent="0.35">
      <c r="A110" s="588"/>
      <c r="B110" s="619"/>
      <c r="C110" s="274" t="s">
        <v>154</v>
      </c>
      <c r="D110" s="274" t="s">
        <v>154</v>
      </c>
      <c r="E110" s="274" t="s">
        <v>222</v>
      </c>
      <c r="F110" s="274" t="s">
        <v>111</v>
      </c>
      <c r="G110" s="274" t="s">
        <v>111</v>
      </c>
      <c r="H110" s="274" t="s">
        <v>223</v>
      </c>
      <c r="I110" s="275" t="s">
        <v>224</v>
      </c>
      <c r="J110" s="274" t="s">
        <v>225</v>
      </c>
      <c r="K110" s="353" t="s">
        <v>111</v>
      </c>
      <c r="L110" s="276" t="s">
        <v>379</v>
      </c>
      <c r="M110" s="278" t="s">
        <v>226</v>
      </c>
      <c r="N110" s="110"/>
      <c r="O110" s="465"/>
    </row>
    <row r="111" spans="1:15" ht="15" thickBot="1" x14ac:dyDescent="0.4">
      <c r="A111" s="308" t="s">
        <v>176</v>
      </c>
      <c r="B111" s="369" t="s">
        <v>140</v>
      </c>
      <c r="C111" s="370" t="s">
        <v>141</v>
      </c>
      <c r="D111" s="370" t="s">
        <v>141</v>
      </c>
      <c r="E111" s="279" t="s">
        <v>142</v>
      </c>
      <c r="F111" s="279" t="s">
        <v>111</v>
      </c>
      <c r="G111" s="279" t="s">
        <v>111</v>
      </c>
      <c r="H111" s="279" t="s">
        <v>141</v>
      </c>
      <c r="I111" s="370" t="s">
        <v>141</v>
      </c>
      <c r="J111" s="371" t="s">
        <v>142</v>
      </c>
      <c r="K111" s="372" t="s">
        <v>142</v>
      </c>
      <c r="L111" s="372" t="s">
        <v>142</v>
      </c>
      <c r="M111" s="373" t="s">
        <v>141</v>
      </c>
      <c r="N111" s="110"/>
      <c r="O111" s="465"/>
    </row>
    <row r="112" spans="1:15" ht="14.5" customHeight="1" x14ac:dyDescent="0.35">
      <c r="A112" s="617" t="s">
        <v>238</v>
      </c>
      <c r="B112" s="138" t="s">
        <v>239</v>
      </c>
      <c r="C112" s="142">
        <v>1647.25</v>
      </c>
      <c r="D112" s="356">
        <f>1647.25-60</f>
        <v>1587.25</v>
      </c>
      <c r="E112" s="356">
        <v>2680</v>
      </c>
      <c r="F112" s="356" t="s">
        <v>111</v>
      </c>
      <c r="G112" s="356" t="s">
        <v>111</v>
      </c>
      <c r="H112" s="356">
        <v>1594.6499999999999</v>
      </c>
      <c r="I112" s="356">
        <v>3440</v>
      </c>
      <c r="J112" s="143">
        <v>1917.28</v>
      </c>
      <c r="K112" s="356" t="s">
        <v>111</v>
      </c>
      <c r="L112" s="356" t="s">
        <v>111</v>
      </c>
      <c r="M112" s="357">
        <v>1405.6000000000001</v>
      </c>
      <c r="N112" s="110"/>
      <c r="O112" s="465"/>
    </row>
    <row r="113" spans="1:15" x14ac:dyDescent="0.35">
      <c r="A113" s="585"/>
      <c r="B113" s="20" t="s">
        <v>240</v>
      </c>
      <c r="C113" s="112">
        <v>2223.5500000000002</v>
      </c>
      <c r="D113" s="342">
        <f>2223.55-60</f>
        <v>2163.5500000000002</v>
      </c>
      <c r="E113" s="342" t="s">
        <v>111</v>
      </c>
      <c r="F113" s="342" t="s">
        <v>111</v>
      </c>
      <c r="G113" s="342" t="s">
        <v>111</v>
      </c>
      <c r="H113" s="342">
        <v>1854.1499999999999</v>
      </c>
      <c r="I113" s="342">
        <v>3520</v>
      </c>
      <c r="J113" s="113">
        <v>2077.36</v>
      </c>
      <c r="K113" s="342" t="s">
        <v>111</v>
      </c>
      <c r="L113" s="342" t="s">
        <v>111</v>
      </c>
      <c r="M113" s="344">
        <v>1435</v>
      </c>
      <c r="N113" s="110"/>
      <c r="O113" s="465"/>
    </row>
    <row r="114" spans="1:15" x14ac:dyDescent="0.35">
      <c r="A114" s="585"/>
      <c r="B114" s="20" t="s">
        <v>241</v>
      </c>
      <c r="C114" s="112">
        <v>3963.35</v>
      </c>
      <c r="D114" s="342">
        <f>3963.35-60</f>
        <v>3903.35</v>
      </c>
      <c r="E114" s="342">
        <v>6040</v>
      </c>
      <c r="F114" s="342" t="s">
        <v>111</v>
      </c>
      <c r="G114" s="342" t="s">
        <v>111</v>
      </c>
      <c r="H114" s="342">
        <v>3858.7875000000004</v>
      </c>
      <c r="I114" s="342">
        <v>6620</v>
      </c>
      <c r="J114" s="113">
        <v>4474.88</v>
      </c>
      <c r="K114" s="342" t="s">
        <v>111</v>
      </c>
      <c r="L114" s="342" t="s">
        <v>111</v>
      </c>
      <c r="M114" s="344">
        <v>2278.8000000000002</v>
      </c>
      <c r="N114" s="110"/>
      <c r="O114" s="465"/>
    </row>
    <row r="115" spans="1:15" x14ac:dyDescent="0.35">
      <c r="A115" s="585"/>
      <c r="B115" s="20" t="s">
        <v>242</v>
      </c>
      <c r="C115" s="112">
        <v>5794.9</v>
      </c>
      <c r="D115" s="342">
        <f>C115-60</f>
        <v>5734.9</v>
      </c>
      <c r="E115" s="342" t="s">
        <v>111</v>
      </c>
      <c r="F115" s="342" t="s">
        <v>111</v>
      </c>
      <c r="G115" s="342" t="s">
        <v>111</v>
      </c>
      <c r="H115" s="342">
        <v>6612.4874999999993</v>
      </c>
      <c r="I115" s="342">
        <v>11360</v>
      </c>
      <c r="J115" s="113" t="s">
        <v>111</v>
      </c>
      <c r="K115" s="342" t="s">
        <v>111</v>
      </c>
      <c r="L115" s="342" t="s">
        <v>111</v>
      </c>
      <c r="M115" s="344">
        <v>3842.3999999999992</v>
      </c>
      <c r="N115" s="110"/>
      <c r="O115" s="465"/>
    </row>
    <row r="116" spans="1:15" x14ac:dyDescent="0.35">
      <c r="A116" s="585"/>
      <c r="B116" s="20" t="s">
        <v>243</v>
      </c>
      <c r="C116" s="112">
        <v>9178.9500000000007</v>
      </c>
      <c r="D116" s="342">
        <f>C116-60</f>
        <v>9118.9500000000007</v>
      </c>
      <c r="E116" s="342" t="s">
        <v>111</v>
      </c>
      <c r="F116" s="342" t="s">
        <v>111</v>
      </c>
      <c r="G116" s="342" t="s">
        <v>111</v>
      </c>
      <c r="H116" s="342" t="s">
        <v>111</v>
      </c>
      <c r="I116" s="342" t="s">
        <v>111</v>
      </c>
      <c r="J116" s="113" t="s">
        <v>111</v>
      </c>
      <c r="K116" s="342" t="s">
        <v>111</v>
      </c>
      <c r="L116" s="342" t="s">
        <v>111</v>
      </c>
      <c r="M116" s="344" t="s">
        <v>111</v>
      </c>
      <c r="N116" s="110"/>
      <c r="O116" s="465"/>
    </row>
    <row r="117" spans="1:15" ht="15" thickBot="1" x14ac:dyDescent="0.4">
      <c r="A117" s="631"/>
      <c r="B117" s="117" t="s">
        <v>244</v>
      </c>
      <c r="C117" s="140" t="s">
        <v>111</v>
      </c>
      <c r="D117" s="345" t="s">
        <v>111</v>
      </c>
      <c r="E117" s="345" t="s">
        <v>111</v>
      </c>
      <c r="F117" s="345" t="s">
        <v>111</v>
      </c>
      <c r="G117" s="345" t="s">
        <v>111</v>
      </c>
      <c r="H117" s="345" t="s">
        <v>111</v>
      </c>
      <c r="I117" s="345">
        <v>14640</v>
      </c>
      <c r="J117" s="119" t="s">
        <v>111</v>
      </c>
      <c r="K117" s="345" t="s">
        <v>111</v>
      </c>
      <c r="L117" s="345" t="s">
        <v>111</v>
      </c>
      <c r="M117" s="346" t="s">
        <v>111</v>
      </c>
      <c r="N117" s="110"/>
      <c r="O117" s="465"/>
    </row>
    <row r="118" spans="1:15" x14ac:dyDescent="0.35">
      <c r="A118" s="616" t="s">
        <v>245</v>
      </c>
      <c r="B118" s="138" t="s">
        <v>239</v>
      </c>
      <c r="C118" s="107">
        <v>2585.4499999999998</v>
      </c>
      <c r="D118" s="358">
        <f>2585.45-60</f>
        <v>2525.4499999999998</v>
      </c>
      <c r="E118" s="358">
        <v>4240</v>
      </c>
      <c r="F118" s="358" t="s">
        <v>111</v>
      </c>
      <c r="G118" s="358" t="s">
        <v>111</v>
      </c>
      <c r="H118" s="358">
        <v>2404.5</v>
      </c>
      <c r="I118" s="358">
        <v>4260</v>
      </c>
      <c r="J118" s="108">
        <v>2903.52</v>
      </c>
      <c r="K118" s="358" t="s">
        <v>111</v>
      </c>
      <c r="L118" s="358" t="s">
        <v>111</v>
      </c>
      <c r="M118" s="359">
        <v>1975.3999999999999</v>
      </c>
      <c r="N118" s="110"/>
      <c r="O118" s="465"/>
    </row>
    <row r="119" spans="1:15" x14ac:dyDescent="0.35">
      <c r="A119" s="585"/>
      <c r="B119" s="20" t="s">
        <v>240</v>
      </c>
      <c r="C119" s="112">
        <v>3667.35</v>
      </c>
      <c r="D119" s="342">
        <f>3667.35-60</f>
        <v>3607.35</v>
      </c>
      <c r="E119" s="342" t="s">
        <v>111</v>
      </c>
      <c r="F119" s="342" t="s">
        <v>111</v>
      </c>
      <c r="G119" s="342" t="s">
        <v>111</v>
      </c>
      <c r="H119" s="342">
        <v>2789.5874999999996</v>
      </c>
      <c r="I119" s="342">
        <v>4920</v>
      </c>
      <c r="J119" s="113">
        <v>3037.8399999999997</v>
      </c>
      <c r="K119" s="342" t="s">
        <v>111</v>
      </c>
      <c r="L119" s="342" t="s">
        <v>111</v>
      </c>
      <c r="M119" s="344">
        <v>2270.8000000000002</v>
      </c>
      <c r="N119" s="110"/>
      <c r="O119" s="465"/>
    </row>
    <row r="120" spans="1:15" x14ac:dyDescent="0.35">
      <c r="A120" s="585"/>
      <c r="B120" s="20" t="s">
        <v>246</v>
      </c>
      <c r="C120" s="112">
        <v>5359.6</v>
      </c>
      <c r="D120" s="342">
        <f>5359.6-60</f>
        <v>5299.6</v>
      </c>
      <c r="E120" s="342">
        <v>8080</v>
      </c>
      <c r="F120" s="342" t="s">
        <v>111</v>
      </c>
      <c r="G120" s="342" t="s">
        <v>111</v>
      </c>
      <c r="H120" s="342">
        <v>4834.7625000000007</v>
      </c>
      <c r="I120" s="342">
        <v>7660</v>
      </c>
      <c r="J120" s="113">
        <v>5008.4800000000005</v>
      </c>
      <c r="K120" s="342" t="s">
        <v>111</v>
      </c>
      <c r="L120" s="342" t="s">
        <v>111</v>
      </c>
      <c r="M120" s="344">
        <v>3175.2</v>
      </c>
      <c r="N120" s="110"/>
      <c r="O120" s="465"/>
    </row>
    <row r="121" spans="1:15" x14ac:dyDescent="0.35">
      <c r="A121" s="585"/>
      <c r="B121" s="20" t="s">
        <v>247</v>
      </c>
      <c r="C121" s="112">
        <v>7369.4</v>
      </c>
      <c r="D121" s="342">
        <f>C121-60</f>
        <v>7309.4</v>
      </c>
      <c r="E121" s="342" t="s">
        <v>111</v>
      </c>
      <c r="F121" s="342" t="s">
        <v>111</v>
      </c>
      <c r="G121" s="342" t="s">
        <v>111</v>
      </c>
      <c r="H121" s="342">
        <v>8412.7874999999985</v>
      </c>
      <c r="I121" s="342">
        <v>14460</v>
      </c>
      <c r="J121" s="113" t="s">
        <v>111</v>
      </c>
      <c r="K121" s="342" t="s">
        <v>111</v>
      </c>
      <c r="L121" s="342" t="s">
        <v>111</v>
      </c>
      <c r="M121" s="344">
        <v>5614.7999999999993</v>
      </c>
      <c r="N121" s="110"/>
      <c r="O121" s="465"/>
    </row>
    <row r="122" spans="1:15" x14ac:dyDescent="0.35">
      <c r="A122" s="585"/>
      <c r="B122" s="20" t="s">
        <v>248</v>
      </c>
      <c r="C122" s="112">
        <v>11703.25</v>
      </c>
      <c r="D122" s="342">
        <f>C122-60</f>
        <v>11643.25</v>
      </c>
      <c r="E122" s="342" t="s">
        <v>111</v>
      </c>
      <c r="F122" s="342" t="s">
        <v>111</v>
      </c>
      <c r="G122" s="342" t="s">
        <v>111</v>
      </c>
      <c r="H122" s="342" t="s">
        <v>111</v>
      </c>
      <c r="I122" s="342" t="s">
        <v>111</v>
      </c>
      <c r="J122" s="113" t="s">
        <v>111</v>
      </c>
      <c r="K122" s="342" t="s">
        <v>111</v>
      </c>
      <c r="L122" s="342" t="s">
        <v>111</v>
      </c>
      <c r="M122" s="344" t="s">
        <v>111</v>
      </c>
      <c r="N122" s="110"/>
      <c r="O122" s="465"/>
    </row>
    <row r="123" spans="1:15" ht="15" thickBot="1" x14ac:dyDescent="0.4">
      <c r="A123" s="586"/>
      <c r="B123" s="139" t="s">
        <v>249</v>
      </c>
      <c r="C123" s="118" t="s">
        <v>111</v>
      </c>
      <c r="D123" s="345" t="s">
        <v>111</v>
      </c>
      <c r="E123" s="345" t="s">
        <v>111</v>
      </c>
      <c r="F123" s="345" t="s">
        <v>111</v>
      </c>
      <c r="G123" s="345" t="s">
        <v>111</v>
      </c>
      <c r="H123" s="345" t="s">
        <v>111</v>
      </c>
      <c r="I123" s="345">
        <v>18920</v>
      </c>
      <c r="J123" s="119" t="s">
        <v>111</v>
      </c>
      <c r="K123" s="345" t="s">
        <v>111</v>
      </c>
      <c r="L123" s="345" t="s">
        <v>111</v>
      </c>
      <c r="M123" s="346" t="s">
        <v>111</v>
      </c>
      <c r="N123" s="110"/>
      <c r="O123" s="465"/>
    </row>
    <row r="124" spans="1:15" x14ac:dyDescent="0.35">
      <c r="A124" s="617" t="s">
        <v>250</v>
      </c>
      <c r="B124" s="137" t="s">
        <v>239</v>
      </c>
      <c r="C124" s="107">
        <v>4459.5</v>
      </c>
      <c r="D124" s="358">
        <f>4459.5-60</f>
        <v>4399.5</v>
      </c>
      <c r="E124" s="358">
        <v>7280</v>
      </c>
      <c r="F124" s="358" t="s">
        <v>111</v>
      </c>
      <c r="G124" s="358" t="s">
        <v>111</v>
      </c>
      <c r="H124" s="358">
        <v>3708.2625000000003</v>
      </c>
      <c r="I124" s="358">
        <v>6440</v>
      </c>
      <c r="J124" s="108">
        <v>4423.3600000000006</v>
      </c>
      <c r="K124" s="358" t="s">
        <v>111</v>
      </c>
      <c r="L124" s="358" t="s">
        <v>111</v>
      </c>
      <c r="M124" s="359">
        <v>3096.8</v>
      </c>
      <c r="N124" s="110"/>
      <c r="O124" s="465"/>
    </row>
    <row r="125" spans="1:15" x14ac:dyDescent="0.35">
      <c r="A125" s="585"/>
      <c r="B125" s="20" t="s">
        <v>240</v>
      </c>
      <c r="C125" s="112">
        <v>5869.7</v>
      </c>
      <c r="D125" s="342">
        <f>5869.7-60</f>
        <v>5809.7</v>
      </c>
      <c r="E125" s="342" t="s">
        <v>111</v>
      </c>
      <c r="F125" s="342" t="s">
        <v>111</v>
      </c>
      <c r="G125" s="342" t="s">
        <v>111</v>
      </c>
      <c r="H125" s="342">
        <v>4472.1000000000004</v>
      </c>
      <c r="I125" s="342">
        <v>7480</v>
      </c>
      <c r="J125" s="113">
        <v>4605.5200000000004</v>
      </c>
      <c r="K125" s="342" t="s">
        <v>111</v>
      </c>
      <c r="L125" s="342" t="s">
        <v>111</v>
      </c>
      <c r="M125" s="344">
        <v>3522.4000000000005</v>
      </c>
      <c r="N125" s="110"/>
      <c r="O125" s="465"/>
    </row>
    <row r="126" spans="1:15" x14ac:dyDescent="0.35">
      <c r="A126" s="585"/>
      <c r="B126" s="20" t="s">
        <v>251</v>
      </c>
      <c r="C126" s="112">
        <v>7376.25</v>
      </c>
      <c r="D126" s="342">
        <f>7376.25-60</f>
        <v>7316.25</v>
      </c>
      <c r="E126" s="342">
        <v>10920</v>
      </c>
      <c r="F126" s="342" t="s">
        <v>111</v>
      </c>
      <c r="G126" s="342" t="s">
        <v>111</v>
      </c>
      <c r="H126" s="342">
        <v>6047.7000000000007</v>
      </c>
      <c r="I126" s="342">
        <v>9660</v>
      </c>
      <c r="J126" s="113">
        <v>6581.68</v>
      </c>
      <c r="K126" s="342" t="s">
        <v>111</v>
      </c>
      <c r="L126" s="342" t="s">
        <v>111</v>
      </c>
      <c r="M126" s="344">
        <v>4058.3999999999992</v>
      </c>
      <c r="N126" s="110"/>
      <c r="O126" s="465"/>
    </row>
    <row r="127" spans="1:15" x14ac:dyDescent="0.35">
      <c r="A127" s="585"/>
      <c r="B127" s="20" t="s">
        <v>252</v>
      </c>
      <c r="C127" s="112">
        <v>9829.15</v>
      </c>
      <c r="D127" s="342">
        <f>C127-60</f>
        <v>9769.15</v>
      </c>
      <c r="E127" s="342" t="s">
        <v>111</v>
      </c>
      <c r="F127" s="342" t="s">
        <v>111</v>
      </c>
      <c r="G127" s="342" t="s">
        <v>111</v>
      </c>
      <c r="H127" s="342">
        <v>10450.950000000001</v>
      </c>
      <c r="I127" s="342">
        <v>16420</v>
      </c>
      <c r="J127" s="113" t="s">
        <v>111</v>
      </c>
      <c r="K127" s="342" t="s">
        <v>111</v>
      </c>
      <c r="L127" s="342" t="s">
        <v>111</v>
      </c>
      <c r="M127" s="344">
        <v>6730.7999999999993</v>
      </c>
      <c r="N127" s="110"/>
      <c r="O127" s="465"/>
    </row>
    <row r="128" spans="1:15" x14ac:dyDescent="0.35">
      <c r="A128" s="585"/>
      <c r="B128" s="20" t="s">
        <v>253</v>
      </c>
      <c r="C128" s="112">
        <v>14983.2</v>
      </c>
      <c r="D128" s="342">
        <f>C128-60</f>
        <v>14923.2</v>
      </c>
      <c r="E128" s="342" t="s">
        <v>111</v>
      </c>
      <c r="F128" s="342" t="s">
        <v>111</v>
      </c>
      <c r="G128" s="342" t="s">
        <v>111</v>
      </c>
      <c r="H128" s="342" t="s">
        <v>111</v>
      </c>
      <c r="I128" s="342" t="s">
        <v>111</v>
      </c>
      <c r="J128" s="113" t="s">
        <v>111</v>
      </c>
      <c r="K128" s="342" t="s">
        <v>111</v>
      </c>
      <c r="L128" s="342" t="s">
        <v>111</v>
      </c>
      <c r="M128" s="344" t="s">
        <v>111</v>
      </c>
      <c r="N128" s="110"/>
      <c r="O128" s="465"/>
    </row>
    <row r="129" spans="1:15" ht="15" thickBot="1" x14ac:dyDescent="0.4">
      <c r="A129" s="631"/>
      <c r="B129" s="117" t="s">
        <v>254</v>
      </c>
      <c r="C129" s="140" t="s">
        <v>111</v>
      </c>
      <c r="D129" s="345" t="s">
        <v>111</v>
      </c>
      <c r="E129" s="345" t="s">
        <v>111</v>
      </c>
      <c r="F129" s="345" t="s">
        <v>111</v>
      </c>
      <c r="G129" s="345" t="s">
        <v>111</v>
      </c>
      <c r="H129" s="345" t="s">
        <v>111</v>
      </c>
      <c r="I129" s="345">
        <v>21720</v>
      </c>
      <c r="J129" s="119" t="s">
        <v>111</v>
      </c>
      <c r="K129" s="345" t="s">
        <v>111</v>
      </c>
      <c r="L129" s="345" t="s">
        <v>111</v>
      </c>
      <c r="M129" s="346" t="s">
        <v>111</v>
      </c>
      <c r="N129" s="110"/>
      <c r="O129" s="465"/>
    </row>
    <row r="130" spans="1:15" x14ac:dyDescent="0.35">
      <c r="A130" s="616" t="s">
        <v>255</v>
      </c>
      <c r="B130" s="138" t="s">
        <v>239</v>
      </c>
      <c r="C130" s="107">
        <v>6910.05</v>
      </c>
      <c r="D130" s="358">
        <f>6910.05-60</f>
        <v>6850.05</v>
      </c>
      <c r="E130" s="358">
        <v>11340</v>
      </c>
      <c r="F130" s="358" t="s">
        <v>111</v>
      </c>
      <c r="G130" s="358" t="s">
        <v>111</v>
      </c>
      <c r="H130" s="358">
        <v>6036.75</v>
      </c>
      <c r="I130" s="358">
        <v>9440</v>
      </c>
      <c r="J130" s="108">
        <v>6416.08</v>
      </c>
      <c r="K130" s="358" t="s">
        <v>111</v>
      </c>
      <c r="L130" s="358" t="s">
        <v>111</v>
      </c>
      <c r="M130" s="359">
        <v>4597.6000000000004</v>
      </c>
      <c r="N130" s="110"/>
      <c r="O130" s="465"/>
    </row>
    <row r="131" spans="1:15" x14ac:dyDescent="0.35">
      <c r="A131" s="585"/>
      <c r="B131" s="20" t="s">
        <v>240</v>
      </c>
      <c r="C131" s="112">
        <v>8712.2999999999993</v>
      </c>
      <c r="D131" s="342">
        <f>8712.3-60</f>
        <v>8652.2999999999993</v>
      </c>
      <c r="E131" s="342" t="s">
        <v>111</v>
      </c>
      <c r="F131" s="342" t="s">
        <v>111</v>
      </c>
      <c r="G131" s="342" t="s">
        <v>111</v>
      </c>
      <c r="H131" s="342">
        <v>6379.5</v>
      </c>
      <c r="I131" s="342">
        <v>10460</v>
      </c>
      <c r="J131" s="113">
        <v>6609.2800000000007</v>
      </c>
      <c r="K131" s="342" t="s">
        <v>111</v>
      </c>
      <c r="L131" s="342" t="s">
        <v>111</v>
      </c>
      <c r="M131" s="344">
        <v>4921</v>
      </c>
      <c r="N131" s="110"/>
      <c r="O131" s="465"/>
    </row>
    <row r="132" spans="1:15" x14ac:dyDescent="0.35">
      <c r="A132" s="585"/>
      <c r="B132" s="20" t="s">
        <v>256</v>
      </c>
      <c r="C132" s="112">
        <v>9589.15</v>
      </c>
      <c r="D132" s="342">
        <f>9589.15-60</f>
        <v>9529.15</v>
      </c>
      <c r="E132" s="342">
        <v>13340</v>
      </c>
      <c r="F132" s="342" t="s">
        <v>111</v>
      </c>
      <c r="G132" s="342" t="s">
        <v>111</v>
      </c>
      <c r="H132" s="342">
        <v>7482.8624999999993</v>
      </c>
      <c r="I132" s="342">
        <v>12060</v>
      </c>
      <c r="J132" s="113">
        <v>8364.6400000000012</v>
      </c>
      <c r="K132" s="342" t="s">
        <v>111</v>
      </c>
      <c r="L132" s="342" t="s">
        <v>111</v>
      </c>
      <c r="M132" s="344">
        <v>5180.3999999999996</v>
      </c>
      <c r="N132" s="110"/>
      <c r="O132" s="465"/>
    </row>
    <row r="133" spans="1:15" x14ac:dyDescent="0.35">
      <c r="A133" s="585"/>
      <c r="B133" s="20" t="s">
        <v>257</v>
      </c>
      <c r="C133" s="112">
        <v>12889.6</v>
      </c>
      <c r="D133" s="342">
        <f>12889.6-60</f>
        <v>12829.6</v>
      </c>
      <c r="E133" s="342" t="s">
        <v>111</v>
      </c>
      <c r="F133" s="342" t="s">
        <v>111</v>
      </c>
      <c r="G133" s="342" t="s">
        <v>111</v>
      </c>
      <c r="H133" s="342">
        <v>12978.787499999999</v>
      </c>
      <c r="I133" s="342">
        <v>21920</v>
      </c>
      <c r="J133" s="113">
        <v>15722.800000000001</v>
      </c>
      <c r="K133" s="342" t="s">
        <v>111</v>
      </c>
      <c r="L133" s="342" t="s">
        <v>111</v>
      </c>
      <c r="M133" s="344">
        <v>9265.2000000000007</v>
      </c>
      <c r="N133" s="110"/>
      <c r="O133" s="465"/>
    </row>
    <row r="134" spans="1:15" x14ac:dyDescent="0.35">
      <c r="A134" s="585"/>
      <c r="B134" s="20" t="s">
        <v>258</v>
      </c>
      <c r="C134" s="112">
        <v>19244.5</v>
      </c>
      <c r="D134" s="342">
        <f>19244.5-60</f>
        <v>19184.5</v>
      </c>
      <c r="E134" s="342" t="s">
        <v>111</v>
      </c>
      <c r="F134" s="342" t="s">
        <v>111</v>
      </c>
      <c r="G134" s="342" t="s">
        <v>111</v>
      </c>
      <c r="H134" s="342" t="s">
        <v>111</v>
      </c>
      <c r="I134" s="342" t="s">
        <v>111</v>
      </c>
      <c r="J134" s="113" t="s">
        <v>111</v>
      </c>
      <c r="K134" s="342" t="s">
        <v>111</v>
      </c>
      <c r="L134" s="342" t="s">
        <v>111</v>
      </c>
      <c r="M134" s="344" t="s">
        <v>111</v>
      </c>
      <c r="N134" s="110"/>
      <c r="O134" s="465"/>
    </row>
    <row r="135" spans="1:15" ht="15" thickBot="1" x14ac:dyDescent="0.4">
      <c r="A135" s="586"/>
      <c r="B135" s="139" t="s">
        <v>259</v>
      </c>
      <c r="C135" s="118" t="s">
        <v>111</v>
      </c>
      <c r="D135" s="345" t="s">
        <v>111</v>
      </c>
      <c r="E135" s="345" t="s">
        <v>111</v>
      </c>
      <c r="F135" s="345" t="s">
        <v>111</v>
      </c>
      <c r="G135" s="345" t="s">
        <v>111</v>
      </c>
      <c r="H135" s="345" t="s">
        <v>111</v>
      </c>
      <c r="I135" s="345">
        <v>31220</v>
      </c>
      <c r="J135" s="119" t="s">
        <v>111</v>
      </c>
      <c r="K135" s="345" t="s">
        <v>111</v>
      </c>
      <c r="L135" s="345" t="s">
        <v>111</v>
      </c>
      <c r="M135" s="346" t="s">
        <v>111</v>
      </c>
      <c r="N135" s="110"/>
      <c r="O135" s="465"/>
    </row>
    <row r="136" spans="1:15" x14ac:dyDescent="0.35">
      <c r="A136" s="616" t="s">
        <v>260</v>
      </c>
      <c r="B136" s="137" t="s">
        <v>239</v>
      </c>
      <c r="C136" s="107">
        <v>9561.65</v>
      </c>
      <c r="D136" s="356">
        <f>9561.65-60</f>
        <v>9501.65</v>
      </c>
      <c r="E136" s="356">
        <v>14640</v>
      </c>
      <c r="F136" s="356" t="s">
        <v>111</v>
      </c>
      <c r="G136" s="356" t="s">
        <v>111</v>
      </c>
      <c r="H136" s="356">
        <v>7454.8125</v>
      </c>
      <c r="I136" s="356">
        <v>12660</v>
      </c>
      <c r="J136" s="143">
        <v>9185.2800000000007</v>
      </c>
      <c r="K136" s="356" t="s">
        <v>111</v>
      </c>
      <c r="L136" s="356" t="s">
        <v>111</v>
      </c>
      <c r="M136" s="357">
        <v>6188</v>
      </c>
      <c r="N136" s="110"/>
      <c r="O136" s="465"/>
    </row>
    <row r="137" spans="1:15" x14ac:dyDescent="0.35">
      <c r="A137" s="585"/>
      <c r="B137" s="20" t="s">
        <v>240</v>
      </c>
      <c r="C137" s="112">
        <v>11629.6</v>
      </c>
      <c r="D137" s="342">
        <f>11629.6-60</f>
        <v>11569.6</v>
      </c>
      <c r="E137" s="342" t="s">
        <v>111</v>
      </c>
      <c r="F137" s="342" t="s">
        <v>111</v>
      </c>
      <c r="G137" s="342" t="s">
        <v>111</v>
      </c>
      <c r="H137" s="342">
        <v>8202.9749999999985</v>
      </c>
      <c r="I137" s="342">
        <v>13480</v>
      </c>
      <c r="J137" s="113">
        <v>9514.6400000000012</v>
      </c>
      <c r="K137" s="342" t="s">
        <v>111</v>
      </c>
      <c r="L137" s="342" t="s">
        <v>111</v>
      </c>
      <c r="M137" s="344">
        <v>6771.8000000000011</v>
      </c>
      <c r="N137" s="110"/>
      <c r="O137" s="465"/>
    </row>
    <row r="138" spans="1:15" x14ac:dyDescent="0.35">
      <c r="A138" s="585"/>
      <c r="B138" s="20" t="s">
        <v>261</v>
      </c>
      <c r="C138" s="112">
        <v>11983.1</v>
      </c>
      <c r="D138" s="342">
        <f>11983.1-60</f>
        <v>11923.1</v>
      </c>
      <c r="E138" s="342">
        <v>16200</v>
      </c>
      <c r="F138" s="342" t="s">
        <v>111</v>
      </c>
      <c r="G138" s="342" t="s">
        <v>111</v>
      </c>
      <c r="H138" s="342">
        <v>8952.2999999999993</v>
      </c>
      <c r="I138" s="342">
        <v>14440</v>
      </c>
      <c r="J138" s="113">
        <v>10751.12</v>
      </c>
      <c r="K138" s="342" t="s">
        <v>111</v>
      </c>
      <c r="L138" s="342" t="s">
        <v>111</v>
      </c>
      <c r="M138" s="344">
        <v>6226.7999999999993</v>
      </c>
      <c r="N138" s="110"/>
      <c r="O138" s="465"/>
    </row>
    <row r="139" spans="1:15" x14ac:dyDescent="0.35">
      <c r="A139" s="585"/>
      <c r="B139" s="20" t="s">
        <v>262</v>
      </c>
      <c r="C139" s="112">
        <v>16332.1</v>
      </c>
      <c r="D139" s="342">
        <f>16332.1-60</f>
        <v>16272.1</v>
      </c>
      <c r="E139" s="342" t="s">
        <v>111</v>
      </c>
      <c r="F139" s="342" t="s">
        <v>111</v>
      </c>
      <c r="G139" s="342" t="s">
        <v>111</v>
      </c>
      <c r="H139" s="342">
        <v>15725.212500000001</v>
      </c>
      <c r="I139" s="342">
        <v>25700</v>
      </c>
      <c r="J139" s="113">
        <v>21369.760000000002</v>
      </c>
      <c r="K139" s="342" t="s">
        <v>111</v>
      </c>
      <c r="L139" s="342" t="s">
        <v>111</v>
      </c>
      <c r="M139" s="344">
        <v>11773.2</v>
      </c>
      <c r="N139" s="110"/>
      <c r="O139" s="465"/>
    </row>
    <row r="140" spans="1:15" x14ac:dyDescent="0.35">
      <c r="A140" s="585"/>
      <c r="B140" s="20" t="s">
        <v>263</v>
      </c>
      <c r="C140" s="112">
        <v>24177.55</v>
      </c>
      <c r="D140" s="342">
        <f>24177.55-60</f>
        <v>24117.55</v>
      </c>
      <c r="E140" s="342" t="s">
        <v>111</v>
      </c>
      <c r="F140" s="342" t="s">
        <v>111</v>
      </c>
      <c r="G140" s="342" t="s">
        <v>111</v>
      </c>
      <c r="H140" s="342" t="s">
        <v>111</v>
      </c>
      <c r="I140" s="342" t="s">
        <v>111</v>
      </c>
      <c r="J140" s="113" t="s">
        <v>111</v>
      </c>
      <c r="K140" s="342" t="s">
        <v>111</v>
      </c>
      <c r="L140" s="342" t="s">
        <v>111</v>
      </c>
      <c r="M140" s="344" t="s">
        <v>111</v>
      </c>
      <c r="N140" s="110"/>
      <c r="O140" s="465"/>
    </row>
    <row r="141" spans="1:15" ht="15" thickBot="1" x14ac:dyDescent="0.4">
      <c r="A141" s="586"/>
      <c r="B141" s="117" t="s">
        <v>264</v>
      </c>
      <c r="C141" s="118" t="s">
        <v>111</v>
      </c>
      <c r="D141" s="345" t="s">
        <v>111</v>
      </c>
      <c r="E141" s="345" t="s">
        <v>111</v>
      </c>
      <c r="F141" s="345" t="s">
        <v>111</v>
      </c>
      <c r="G141" s="345" t="s">
        <v>111</v>
      </c>
      <c r="H141" s="345" t="s">
        <v>111</v>
      </c>
      <c r="I141" s="345">
        <v>38280</v>
      </c>
      <c r="J141" s="119" t="s">
        <v>111</v>
      </c>
      <c r="K141" s="345" t="s">
        <v>111</v>
      </c>
      <c r="L141" s="345" t="s">
        <v>111</v>
      </c>
      <c r="M141" s="346" t="s">
        <v>111</v>
      </c>
      <c r="N141" s="110"/>
      <c r="O141" s="465"/>
    </row>
  </sheetData>
  <sheetProtection algorithmName="SHA-512" hashValue="4dson5DqyOhj6fkPFDbrQpPNEjprClpOj8hlQu6gyofZcoKj5wu4pARr8B8bWVThmUBwikShQ4/uzcOPjrMp7A==" saltValue="YE38hCTGWNjNgAImt0f+uQ==" spinCount="100000" sheet="1" objects="1" scenarios="1"/>
  <mergeCells count="35">
    <mergeCell ref="A85:A90"/>
    <mergeCell ref="A91:A96"/>
    <mergeCell ref="A97:A102"/>
    <mergeCell ref="A109:B110"/>
    <mergeCell ref="A65:A70"/>
    <mergeCell ref="A73:B73"/>
    <mergeCell ref="A76:B76"/>
    <mergeCell ref="A77:B77"/>
    <mergeCell ref="A79:A84"/>
    <mergeCell ref="A103:A108"/>
    <mergeCell ref="A74:B74"/>
    <mergeCell ref="A75:B75"/>
    <mergeCell ref="A59:A64"/>
    <mergeCell ref="A32:A37"/>
    <mergeCell ref="A38:B39"/>
    <mergeCell ref="A41:A46"/>
    <mergeCell ref="A47:A52"/>
    <mergeCell ref="A53:A58"/>
    <mergeCell ref="A112:A117"/>
    <mergeCell ref="A118:A123"/>
    <mergeCell ref="A124:A129"/>
    <mergeCell ref="A130:A135"/>
    <mergeCell ref="A136:A141"/>
    <mergeCell ref="M2:O2"/>
    <mergeCell ref="L3:N3"/>
    <mergeCell ref="A8:A13"/>
    <mergeCell ref="A14:A19"/>
    <mergeCell ref="A20:A25"/>
    <mergeCell ref="A2:B2"/>
    <mergeCell ref="A3:B3"/>
    <mergeCell ref="A4:B4"/>
    <mergeCell ref="A5:B5"/>
    <mergeCell ref="A6:B6"/>
    <mergeCell ref="O6:O36"/>
    <mergeCell ref="A26:A31"/>
  </mergeCells>
  <conditionalFormatting sqref="D9 H9:J9 L9:M9">
    <cfRule type="top10" dxfId="773" priority="286" bottom="1" rank="2"/>
    <cfRule type="top10" dxfId="772" priority="285" bottom="1" rank="1"/>
  </conditionalFormatting>
  <conditionalFormatting sqref="D11 H11:I11 L11:M11">
    <cfRule type="top10" dxfId="771" priority="276" bottom="1" rank="2"/>
    <cfRule type="top10" dxfId="770" priority="275" bottom="1" rank="1"/>
  </conditionalFormatting>
  <conditionalFormatting sqref="D15 H15:J15 L15:M15">
    <cfRule type="top10" dxfId="769" priority="272" bottom="1" rank="2"/>
    <cfRule type="top10" dxfId="768" priority="271" bottom="1" rank="1"/>
  </conditionalFormatting>
  <conditionalFormatting sqref="D17 H17:I17 L17:M17">
    <cfRule type="top10" dxfId="767" priority="262" bottom="1" rank="2"/>
    <cfRule type="top10" dxfId="766" priority="261" bottom="1" rank="1"/>
  </conditionalFormatting>
  <conditionalFormatting sqref="D21 H21:J21 L21:M21">
    <cfRule type="top10" dxfId="765" priority="257" bottom="1" rank="1"/>
    <cfRule type="top10" dxfId="764" priority="258" bottom="1" rank="2"/>
  </conditionalFormatting>
  <conditionalFormatting sqref="D23 H23:I23 L23:M23">
    <cfRule type="top10" dxfId="763" priority="247" bottom="1" rank="1"/>
    <cfRule type="top10" dxfId="762" priority="248" bottom="1" rank="2"/>
  </conditionalFormatting>
  <conditionalFormatting sqref="D27 H27:J27 L27:M27">
    <cfRule type="top10" dxfId="761" priority="244" bottom="1" rank="2"/>
    <cfRule type="top10" dxfId="760" priority="243" bottom="1" rank="1"/>
  </conditionalFormatting>
  <conditionalFormatting sqref="D29 H29:I29 L29:M29">
    <cfRule type="top10" dxfId="759" priority="233" bottom="1" rank="1"/>
    <cfRule type="top10" dxfId="758" priority="234" bottom="1" rank="2"/>
  </conditionalFormatting>
  <conditionalFormatting sqref="D33 H33:J33 L33:M33">
    <cfRule type="top10" dxfId="757" priority="229" bottom="1" rank="1"/>
    <cfRule type="top10" dxfId="756" priority="230" bottom="1" rank="2"/>
  </conditionalFormatting>
  <conditionalFormatting sqref="D35 H35:I35 L35:M35">
    <cfRule type="top10" dxfId="755" priority="220" bottom="1" rank="2"/>
    <cfRule type="top10" dxfId="754" priority="219" bottom="1" rank="1"/>
  </conditionalFormatting>
  <conditionalFormatting sqref="D38 M38 D40 M40 M109 D111 M111">
    <cfRule type="expression" dxfId="753" priority="3">
      <formula>RANK(D38,$D38:$M38,1)=2</formula>
    </cfRule>
    <cfRule type="expression" dxfId="752" priority="4">
      <formula>RANK(D38,$D38:$M38,1)=1</formula>
    </cfRule>
  </conditionalFormatting>
  <conditionalFormatting sqref="D42 H42:J42 M42">
    <cfRule type="top10" dxfId="751" priority="74" bottom="1" rank="2"/>
    <cfRule type="top10" dxfId="750" priority="73" bottom="1" rank="1"/>
  </conditionalFormatting>
  <conditionalFormatting sqref="D44 H44:I44 M44">
    <cfRule type="top10" dxfId="749" priority="64" bottom="1" rank="2"/>
    <cfRule type="top10" dxfId="748" priority="63" bottom="1" rank="1"/>
  </conditionalFormatting>
  <conditionalFormatting sqref="D45 F45:G45">
    <cfRule type="top10" dxfId="747" priority="65" bottom="1" rank="1"/>
    <cfRule type="top10" dxfId="746" priority="66" bottom="1" rank="2"/>
  </conditionalFormatting>
  <conditionalFormatting sqref="D48 H48:J48 M48">
    <cfRule type="top10" dxfId="745" priority="60" bottom="1" rank="2"/>
    <cfRule type="top10" dxfId="744" priority="59" bottom="1" rank="1"/>
  </conditionalFormatting>
  <conditionalFormatting sqref="D50 H50:I50 M50">
    <cfRule type="top10" dxfId="743" priority="49" bottom="1" rank="1"/>
    <cfRule type="top10" dxfId="742" priority="50" bottom="1" rank="2"/>
  </conditionalFormatting>
  <conditionalFormatting sqref="D51 F51:G51">
    <cfRule type="top10" dxfId="741" priority="52" bottom="1" rank="2"/>
    <cfRule type="top10" dxfId="740" priority="51" bottom="1" rank="1"/>
  </conditionalFormatting>
  <conditionalFormatting sqref="D54 H54:J54 M54">
    <cfRule type="top10" dxfId="739" priority="46" bottom="1" rank="2"/>
    <cfRule type="top10" dxfId="738" priority="45" bottom="1" rank="1"/>
  </conditionalFormatting>
  <conditionalFormatting sqref="D56 H56:I56 M56">
    <cfRule type="top10" dxfId="737" priority="35" bottom="1" rank="1"/>
    <cfRule type="top10" dxfId="736" priority="36" bottom="1" rank="2"/>
  </conditionalFormatting>
  <conditionalFormatting sqref="D57 F57:G57">
    <cfRule type="top10" dxfId="735" priority="38" bottom="1" rank="2"/>
    <cfRule type="top10" dxfId="734" priority="37" bottom="1" rank="1"/>
  </conditionalFormatting>
  <conditionalFormatting sqref="D60 H60:J60 M60">
    <cfRule type="top10" dxfId="733" priority="32" bottom="1" rank="2"/>
    <cfRule type="top10" dxfId="732" priority="31" bottom="1" rank="1"/>
  </conditionalFormatting>
  <conditionalFormatting sqref="D62 H62:I62 M62">
    <cfRule type="top10" dxfId="731" priority="22" bottom="1" rank="2"/>
    <cfRule type="top10" dxfId="730" priority="21" bottom="1" rank="1"/>
  </conditionalFormatting>
  <conditionalFormatting sqref="D63 F63:G63">
    <cfRule type="top10" dxfId="729" priority="24" bottom="1" rank="2"/>
    <cfRule type="top10" dxfId="728" priority="23" bottom="1" rank="1"/>
  </conditionalFormatting>
  <conditionalFormatting sqref="D66 H66:J66 M66">
    <cfRule type="top10" dxfId="727" priority="17" bottom="1" rank="1"/>
    <cfRule type="top10" dxfId="726" priority="18" bottom="1" rank="2"/>
  </conditionalFormatting>
  <conditionalFormatting sqref="D68 H68:I68 M68">
    <cfRule type="top10" dxfId="725" priority="7" bottom="1" rank="1"/>
    <cfRule type="top10" dxfId="724" priority="8" bottom="1" rank="2"/>
  </conditionalFormatting>
  <conditionalFormatting sqref="D69 F69:G69">
    <cfRule type="top10" dxfId="723" priority="9" bottom="1" rank="1"/>
    <cfRule type="top10" dxfId="722" priority="10" bottom="1" rank="2"/>
  </conditionalFormatting>
  <conditionalFormatting sqref="D80 H80:J80 L80:M80">
    <cfRule type="top10" dxfId="721" priority="216" bottom="1" rank="2"/>
    <cfRule type="top10" dxfId="720" priority="215" bottom="1" rank="1"/>
  </conditionalFormatting>
  <conditionalFormatting sqref="D82 H82:I82 L82:M82">
    <cfRule type="top10" dxfId="719" priority="205" bottom="1" rank="1"/>
    <cfRule type="top10" dxfId="718" priority="206" bottom="1" rank="2"/>
  </conditionalFormatting>
  <conditionalFormatting sqref="D86 H86:J86 L86:M86">
    <cfRule type="top10" dxfId="717" priority="201" bottom="1" rank="1"/>
    <cfRule type="top10" dxfId="716" priority="202" bottom="1" rank="2"/>
  </conditionalFormatting>
  <conditionalFormatting sqref="D88 H88:I88 L88:M88">
    <cfRule type="top10" dxfId="715" priority="191" bottom="1" rank="1"/>
    <cfRule type="top10" dxfId="714" priority="192" bottom="1" rank="2"/>
  </conditionalFormatting>
  <conditionalFormatting sqref="D92 H92:J92 L92:M92">
    <cfRule type="top10" dxfId="713" priority="188" bottom="1" rank="2"/>
    <cfRule type="top10" dxfId="712" priority="187" bottom="1" rank="1"/>
  </conditionalFormatting>
  <conditionalFormatting sqref="D94 H94:I94 L94:M94">
    <cfRule type="top10" dxfId="711" priority="178" bottom="1" rank="2"/>
    <cfRule type="top10" dxfId="710" priority="177" bottom="1" rank="1"/>
  </conditionalFormatting>
  <conditionalFormatting sqref="D98 H98:J98 L98:M98">
    <cfRule type="top10" dxfId="709" priority="173" bottom="1" rank="1"/>
    <cfRule type="top10" dxfId="708" priority="174" bottom="1" rank="2"/>
  </conditionalFormatting>
  <conditionalFormatting sqref="D100 H100:I100 L100:M100">
    <cfRule type="top10" dxfId="707" priority="164" bottom="1" rank="2"/>
    <cfRule type="top10" dxfId="706" priority="163" bottom="1" rank="1"/>
  </conditionalFormatting>
  <conditionalFormatting sqref="D104 H104:J104 L104:M104">
    <cfRule type="top10" dxfId="705" priority="159" bottom="1" rank="1"/>
    <cfRule type="top10" dxfId="704" priority="160" bottom="1" rank="2"/>
  </conditionalFormatting>
  <conditionalFormatting sqref="D106 H106:I106 L106:M106">
    <cfRule type="top10" dxfId="703" priority="149" bottom="1" rank="1"/>
    <cfRule type="top10" dxfId="702" priority="150" bottom="1" rank="2"/>
  </conditionalFormatting>
  <conditionalFormatting sqref="D109">
    <cfRule type="expression" dxfId="701" priority="1">
      <formula>RANK(D109,$D109:$M109,1)=2</formula>
    </cfRule>
    <cfRule type="expression" dxfId="700" priority="2">
      <formula>RANK(D109,$D109:$M109,1)=1</formula>
    </cfRule>
  </conditionalFormatting>
  <conditionalFormatting sqref="D113 H113:J113 M113">
    <cfRule type="top10" dxfId="699" priority="146" bottom="1" rank="2"/>
    <cfRule type="top10" dxfId="698" priority="145" bottom="1" rank="1"/>
  </conditionalFormatting>
  <conditionalFormatting sqref="D115 H115:I115 M115">
    <cfRule type="top10" dxfId="697" priority="135" bottom="1" rank="1"/>
    <cfRule type="top10" dxfId="696" priority="136" bottom="1" rank="2"/>
  </conditionalFormatting>
  <conditionalFormatting sqref="D116 F116:G116">
    <cfRule type="top10" dxfId="695" priority="137" bottom="1" rank="1"/>
    <cfRule type="top10" dxfId="694" priority="138" bottom="1" rank="2"/>
  </conditionalFormatting>
  <conditionalFormatting sqref="D119 H119:J119 M119">
    <cfRule type="top10" dxfId="693" priority="131" bottom="1" rank="1"/>
    <cfRule type="top10" dxfId="692" priority="132" bottom="1" rank="2"/>
  </conditionalFormatting>
  <conditionalFormatting sqref="D121 H121:I121 M121">
    <cfRule type="top10" dxfId="691" priority="121" bottom="1" rank="1"/>
    <cfRule type="top10" dxfId="690" priority="122" bottom="1" rank="2"/>
  </conditionalFormatting>
  <conditionalFormatting sqref="D122 F122:G122">
    <cfRule type="top10" dxfId="689" priority="124" bottom="1" rank="2"/>
    <cfRule type="top10" dxfId="688" priority="123" bottom="1" rank="1"/>
  </conditionalFormatting>
  <conditionalFormatting sqref="D125 H125:J125 M125">
    <cfRule type="top10" dxfId="687" priority="118" bottom="1" rank="2"/>
    <cfRule type="top10" dxfId="686" priority="117" bottom="1" rank="1"/>
  </conditionalFormatting>
  <conditionalFormatting sqref="D127 H127:I127 M127">
    <cfRule type="top10" dxfId="685" priority="107" bottom="1" rank="1"/>
    <cfRule type="top10" dxfId="684" priority="108" bottom="1" rank="2"/>
  </conditionalFormatting>
  <conditionalFormatting sqref="D128 F128:G128">
    <cfRule type="top10" dxfId="683" priority="109" bottom="1" rank="1"/>
    <cfRule type="top10" dxfId="682" priority="110" bottom="1" rank="2"/>
  </conditionalFormatting>
  <conditionalFormatting sqref="D131 H131:J131 M131">
    <cfRule type="top10" dxfId="681" priority="104" bottom="1" rank="2"/>
    <cfRule type="top10" dxfId="680" priority="103" bottom="1" rank="1"/>
  </conditionalFormatting>
  <conditionalFormatting sqref="D133 H133:I133 M133">
    <cfRule type="top10" dxfId="679" priority="93" bottom="1" rank="1"/>
    <cfRule type="top10" dxfId="678" priority="94" bottom="1" rank="2"/>
  </conditionalFormatting>
  <conditionalFormatting sqref="D134 F134:G134">
    <cfRule type="top10" dxfId="677" priority="95" bottom="1" rank="1"/>
    <cfRule type="top10" dxfId="676" priority="96" bottom="1" rank="2"/>
  </conditionalFormatting>
  <conditionalFormatting sqref="D137 H137:J137 M137">
    <cfRule type="top10" dxfId="675" priority="89" bottom="1" rank="1"/>
    <cfRule type="top10" dxfId="674" priority="90" bottom="1" rank="2"/>
  </conditionalFormatting>
  <conditionalFormatting sqref="D139 H139:I139 M139">
    <cfRule type="top10" dxfId="673" priority="79" bottom="1" rank="1"/>
    <cfRule type="top10" dxfId="672" priority="80" bottom="1" rank="2"/>
  </conditionalFormatting>
  <conditionalFormatting sqref="D140 F140:G140">
    <cfRule type="top10" dxfId="671" priority="81" bottom="1" rank="1"/>
    <cfRule type="top10" dxfId="670" priority="82" bottom="1" rank="2"/>
  </conditionalFormatting>
  <conditionalFormatting sqref="D8:E8 H8:J8 M8">
    <cfRule type="top10" dxfId="669" priority="287" bottom="1" rank="1"/>
    <cfRule type="top10" dxfId="668" priority="288" bottom="1" rank="2"/>
  </conditionalFormatting>
  <conditionalFormatting sqref="D10:E10 H10:J10 L10:M10">
    <cfRule type="top10" dxfId="667" priority="284" bottom="1" rank="2"/>
    <cfRule type="top10" dxfId="666" priority="283" bottom="1" rank="1"/>
  </conditionalFormatting>
  <conditionalFormatting sqref="D14:E14 H14:J14 M14">
    <cfRule type="top10" dxfId="665" priority="273" bottom="1" rank="1"/>
    <cfRule type="top10" dxfId="664" priority="274" bottom="1" rank="2"/>
  </conditionalFormatting>
  <conditionalFormatting sqref="D16:E16 H16:J16 L16:M16">
    <cfRule type="top10" dxfId="663" priority="270" bottom="1" rank="2"/>
    <cfRule type="top10" dxfId="662" priority="269" bottom="1" rank="1"/>
  </conditionalFormatting>
  <conditionalFormatting sqref="D20:E20 H20:J20 M20">
    <cfRule type="top10" dxfId="661" priority="260" bottom="1" rank="2"/>
    <cfRule type="top10" dxfId="660" priority="259" bottom="1" rank="1"/>
  </conditionalFormatting>
  <conditionalFormatting sqref="D22:E22 H22:J22 L22:M22">
    <cfRule type="top10" dxfId="659" priority="255" bottom="1" rank="1"/>
    <cfRule type="top10" dxfId="658" priority="256" bottom="1" rank="2"/>
  </conditionalFormatting>
  <conditionalFormatting sqref="D26:E26 H26:J26 M26">
    <cfRule type="top10" dxfId="657" priority="246" bottom="1" rank="2"/>
    <cfRule type="top10" dxfId="656" priority="245" bottom="1" rank="1"/>
  </conditionalFormatting>
  <conditionalFormatting sqref="D28:E28 H28:J28 L28:M28">
    <cfRule type="top10" dxfId="655" priority="242" bottom="1" rank="2"/>
    <cfRule type="top10" dxfId="654" priority="241" bottom="1" rank="1"/>
  </conditionalFormatting>
  <conditionalFormatting sqref="D32:E32 H32:J32 M32">
    <cfRule type="top10" dxfId="653" priority="231" bottom="1" rank="1"/>
    <cfRule type="top10" dxfId="652" priority="232" bottom="1" rank="2"/>
  </conditionalFormatting>
  <conditionalFormatting sqref="D34:E34 H34:J34 L34:M34">
    <cfRule type="top10" dxfId="651" priority="228" bottom="1" rank="2"/>
    <cfRule type="top10" dxfId="650" priority="227" bottom="1" rank="1"/>
  </conditionalFormatting>
  <conditionalFormatting sqref="D41:E41 H41:J41 M41">
    <cfRule type="top10" dxfId="649" priority="75" bottom="1" rank="1"/>
    <cfRule type="top10" dxfId="648" priority="76" bottom="1" rank="2"/>
  </conditionalFormatting>
  <conditionalFormatting sqref="D43:E43 H43:J43 M43">
    <cfRule type="top10" dxfId="647" priority="72" bottom="1" rank="2"/>
    <cfRule type="top10" dxfId="646" priority="71" bottom="1" rank="1"/>
  </conditionalFormatting>
  <conditionalFormatting sqref="D47:E47 H47:J47 M47">
    <cfRule type="top10" dxfId="645" priority="62" bottom="1" rank="2"/>
    <cfRule type="top10" dxfId="644" priority="61" bottom="1" rank="1"/>
  </conditionalFormatting>
  <conditionalFormatting sqref="D49:E49 H49:J49 M49">
    <cfRule type="top10" dxfId="643" priority="58" bottom="1" rank="2"/>
    <cfRule type="top10" dxfId="642" priority="57" bottom="1" rank="1"/>
  </conditionalFormatting>
  <conditionalFormatting sqref="D53:E53 H53:J53 M53">
    <cfRule type="top10" dxfId="641" priority="48" bottom="1" rank="2"/>
    <cfRule type="top10" dxfId="640" priority="47" bottom="1" rank="1"/>
  </conditionalFormatting>
  <conditionalFormatting sqref="D55:E55 H55:J55 M55">
    <cfRule type="top10" dxfId="639" priority="44" bottom="1" rank="2"/>
    <cfRule type="top10" dxfId="638" priority="43" bottom="1" rank="1"/>
  </conditionalFormatting>
  <conditionalFormatting sqref="D59:E59 H59:J59 M59">
    <cfRule type="top10" dxfId="637" priority="34" bottom="1" rank="2"/>
    <cfRule type="top10" dxfId="636" priority="33" bottom="1" rank="1"/>
  </conditionalFormatting>
  <conditionalFormatting sqref="D61:E61 H61:J61 M61">
    <cfRule type="top10" dxfId="635" priority="29" bottom="1" rank="1"/>
    <cfRule type="top10" dxfId="634" priority="30" bottom="1" rank="2"/>
  </conditionalFormatting>
  <conditionalFormatting sqref="D65:E65 H65:J65 M65">
    <cfRule type="top10" dxfId="633" priority="20" bottom="1" rank="2"/>
    <cfRule type="top10" dxfId="632" priority="19" bottom="1" rank="1"/>
  </conditionalFormatting>
  <conditionalFormatting sqref="D67:E67 H67:J67 M67">
    <cfRule type="top10" dxfId="631" priority="16" bottom="1" rank="2"/>
    <cfRule type="top10" dxfId="630" priority="15" bottom="1" rank="1"/>
  </conditionalFormatting>
  <conditionalFormatting sqref="D79:E79 H79:J79 M79">
    <cfRule type="top10" dxfId="629" priority="218" bottom="1" rank="2"/>
    <cfRule type="top10" dxfId="628" priority="217" bottom="1" rank="1"/>
  </conditionalFormatting>
  <conditionalFormatting sqref="D81:E81 H81:J81 L81:M81">
    <cfRule type="top10" dxfId="627" priority="213" bottom="1" rank="1"/>
    <cfRule type="top10" dxfId="626" priority="214" bottom="1" rank="2"/>
  </conditionalFormatting>
  <conditionalFormatting sqref="D85:E85 H85:J85 M85">
    <cfRule type="top10" dxfId="625" priority="203" bottom="1" rank="1"/>
    <cfRule type="top10" dxfId="624" priority="204" bottom="1" rank="2"/>
  </conditionalFormatting>
  <conditionalFormatting sqref="D87:E87 H87:J87 L87:M87">
    <cfRule type="top10" dxfId="623" priority="199" bottom="1" rank="1"/>
    <cfRule type="top10" dxfId="622" priority="200" bottom="1" rank="2"/>
  </conditionalFormatting>
  <conditionalFormatting sqref="D91:E91 H91:J91 M91">
    <cfRule type="top10" dxfId="621" priority="189" bottom="1" rank="1"/>
    <cfRule type="top10" dxfId="620" priority="190" bottom="1" rank="2"/>
  </conditionalFormatting>
  <conditionalFormatting sqref="D93:E93 H93:J93 L93:M93">
    <cfRule type="top10" dxfId="619" priority="185" bottom="1" rank="1"/>
    <cfRule type="top10" dxfId="618" priority="186" bottom="1" rank="2"/>
  </conditionalFormatting>
  <conditionalFormatting sqref="D97:E97 H97:J97 M97">
    <cfRule type="top10" dxfId="617" priority="176" bottom="1" rank="2"/>
    <cfRule type="top10" dxfId="616" priority="175" bottom="1" rank="1"/>
  </conditionalFormatting>
  <conditionalFormatting sqref="D99:E99 H99:J99 L99:M99">
    <cfRule type="top10" dxfId="615" priority="171" bottom="1" rank="1"/>
    <cfRule type="top10" dxfId="614" priority="172" bottom="1" rank="2"/>
  </conditionalFormatting>
  <conditionalFormatting sqref="D103:E103 H103:J103 M103">
    <cfRule type="top10" dxfId="613" priority="162" bottom="1" rank="2"/>
    <cfRule type="top10" dxfId="612" priority="161" bottom="1" rank="1"/>
  </conditionalFormatting>
  <conditionalFormatting sqref="D105:E105 H105:J105 L105:M105">
    <cfRule type="top10" dxfId="611" priority="157" bottom="1" rank="1"/>
    <cfRule type="top10" dxfId="610" priority="158" bottom="1" rank="2"/>
  </conditionalFormatting>
  <conditionalFormatting sqref="D112:E112 H112:J112 M112">
    <cfRule type="top10" dxfId="609" priority="148" bottom="1" rank="2"/>
    <cfRule type="top10" dxfId="608" priority="147" bottom="1" rank="1"/>
  </conditionalFormatting>
  <conditionalFormatting sqref="D114:E114 H114:J114 M114">
    <cfRule type="top10" dxfId="607" priority="144" bottom="1" rank="2"/>
    <cfRule type="top10" dxfId="606" priority="143" bottom="1" rank="1"/>
  </conditionalFormatting>
  <conditionalFormatting sqref="D118:E118 H118:J118 M118">
    <cfRule type="top10" dxfId="605" priority="134" bottom="1" rank="2"/>
    <cfRule type="top10" dxfId="604" priority="133" bottom="1" rank="1"/>
  </conditionalFormatting>
  <conditionalFormatting sqref="D120:E120 H120:J120 M120">
    <cfRule type="top10" dxfId="603" priority="130" bottom="1" rank="2"/>
    <cfRule type="top10" dxfId="602" priority="129" bottom="1" rank="1"/>
  </conditionalFormatting>
  <conditionalFormatting sqref="D124:E124 H124:J124 M124">
    <cfRule type="top10" dxfId="601" priority="119" bottom="1" rank="1"/>
    <cfRule type="top10" dxfId="600" priority="120" bottom="1" rank="2"/>
  </conditionalFormatting>
  <conditionalFormatting sqref="D126:E126 H126:J126 M126">
    <cfRule type="top10" dxfId="599" priority="116" bottom="1" rank="2"/>
    <cfRule type="top10" dxfId="598" priority="115" bottom="1" rank="1"/>
  </conditionalFormatting>
  <conditionalFormatting sqref="D130:E130 H130:J130 M130">
    <cfRule type="top10" dxfId="597" priority="105" bottom="1" rank="1"/>
    <cfRule type="top10" dxfId="596" priority="106" bottom="1" rank="2"/>
  </conditionalFormatting>
  <conditionalFormatting sqref="D132:E132 H132:J132 M132">
    <cfRule type="top10" dxfId="595" priority="102" bottom="1" rank="2"/>
    <cfRule type="top10" dxfId="594" priority="101" bottom="1" rank="1"/>
  </conditionalFormatting>
  <conditionalFormatting sqref="D136:E136 H136:J136 M136">
    <cfRule type="top10" dxfId="593" priority="92" bottom="1" rank="2"/>
    <cfRule type="top10" dxfId="592" priority="91" bottom="1" rank="1"/>
  </conditionalFormatting>
  <conditionalFormatting sqref="D138:E138 H138:J138 M138">
    <cfRule type="top10" dxfId="591" priority="88" bottom="1" rank="2"/>
    <cfRule type="top10" dxfId="590" priority="87" bottom="1" rank="1"/>
  </conditionalFormatting>
  <conditionalFormatting sqref="H45:K45 M45">
    <cfRule type="top10" dxfId="589" priority="69" bottom="1" rank="1"/>
    <cfRule type="top10" dxfId="588" priority="70" bottom="1" rank="2"/>
  </conditionalFormatting>
  <conditionalFormatting sqref="H51:K51 M51">
    <cfRule type="top10" dxfId="587" priority="56" bottom="1" rank="2"/>
    <cfRule type="top10" dxfId="586" priority="55" bottom="1" rank="1"/>
  </conditionalFormatting>
  <conditionalFormatting sqref="H57:K57 M57">
    <cfRule type="top10" dxfId="585" priority="42" bottom="1" rank="2"/>
    <cfRule type="top10" dxfId="584" priority="41" bottom="1" rank="1"/>
  </conditionalFormatting>
  <conditionalFormatting sqref="H63:K63 M63">
    <cfRule type="top10" dxfId="583" priority="28" bottom="1" rank="2"/>
    <cfRule type="top10" dxfId="582" priority="27" bottom="1" rank="1"/>
  </conditionalFormatting>
  <conditionalFormatting sqref="H69:K69 M69">
    <cfRule type="top10" dxfId="581" priority="13" bottom="1" rank="1"/>
    <cfRule type="top10" dxfId="580" priority="14" bottom="1" rank="2"/>
  </conditionalFormatting>
  <conditionalFormatting sqref="H116:K116 M116">
    <cfRule type="top10" dxfId="579" priority="142" bottom="1" rank="2"/>
    <cfRule type="top10" dxfId="578" priority="141" bottom="1" rank="1"/>
  </conditionalFormatting>
  <conditionalFormatting sqref="H122:K122 M122">
    <cfRule type="top10" dxfId="577" priority="128" bottom="1" rank="2"/>
    <cfRule type="top10" dxfId="576" priority="127" bottom="1" rank="1"/>
  </conditionalFormatting>
  <conditionalFormatting sqref="H128:K128 M128">
    <cfRule type="top10" dxfId="575" priority="114" bottom="1" rank="2"/>
    <cfRule type="top10" dxfId="574" priority="113" bottom="1" rank="1"/>
  </conditionalFormatting>
  <conditionalFormatting sqref="H134:K134 M134">
    <cfRule type="top10" dxfId="573" priority="99" bottom="1" rank="1"/>
    <cfRule type="top10" dxfId="572" priority="100" bottom="1" rank="2"/>
  </conditionalFormatting>
  <conditionalFormatting sqref="H140:K140 M140">
    <cfRule type="top10" dxfId="571" priority="85" bottom="1" rank="1"/>
    <cfRule type="top10" dxfId="570" priority="86" bottom="1" rank="2"/>
  </conditionalFormatting>
  <conditionalFormatting sqref="I13 L13">
    <cfRule type="top10" dxfId="569" priority="279" bottom="1" rank="1"/>
    <cfRule type="top10" dxfId="568" priority="280" bottom="1" rank="2"/>
  </conditionalFormatting>
  <conditionalFormatting sqref="I19 L19">
    <cfRule type="top10" dxfId="567" priority="265" bottom="1" rank="1"/>
    <cfRule type="top10" dxfId="566" priority="266" bottom="1" rank="2"/>
  </conditionalFormatting>
  <conditionalFormatting sqref="I25 L25">
    <cfRule type="top10" dxfId="565" priority="252" bottom="1" rank="2"/>
    <cfRule type="top10" dxfId="564" priority="251" bottom="1" rank="1"/>
  </conditionalFormatting>
  <conditionalFormatting sqref="I31 L31">
    <cfRule type="top10" dxfId="563" priority="237" bottom="1" rank="1"/>
    <cfRule type="top10" dxfId="562" priority="238" bottom="1" rank="2"/>
  </conditionalFormatting>
  <conditionalFormatting sqref="I37 L37">
    <cfRule type="top10" dxfId="561" priority="224" bottom="1" rank="2"/>
    <cfRule type="top10" dxfId="560" priority="223" bottom="1" rank="1"/>
  </conditionalFormatting>
  <conditionalFormatting sqref="I46">
    <cfRule type="top10" dxfId="559" priority="67" bottom="1" rank="1"/>
    <cfRule type="top10" dxfId="558" priority="68" bottom="1" rank="2"/>
  </conditionalFormatting>
  <conditionalFormatting sqref="I52">
    <cfRule type="top10" dxfId="557" priority="54" bottom="1" rank="2"/>
    <cfRule type="top10" dxfId="556" priority="53" bottom="1" rank="1"/>
  </conditionalFormatting>
  <conditionalFormatting sqref="I58">
    <cfRule type="top10" dxfId="555" priority="40" bottom="1" rank="2"/>
    <cfRule type="top10" dxfId="554" priority="39" bottom="1" rank="1"/>
  </conditionalFormatting>
  <conditionalFormatting sqref="I64">
    <cfRule type="top10" dxfId="553" priority="26" bottom="1" rank="2"/>
    <cfRule type="top10" dxfId="552" priority="25" bottom="1" rank="1"/>
  </conditionalFormatting>
  <conditionalFormatting sqref="I70">
    <cfRule type="top10" dxfId="551" priority="12" bottom="1" rank="2"/>
    <cfRule type="top10" dxfId="550" priority="11" bottom="1" rank="1"/>
  </conditionalFormatting>
  <conditionalFormatting sqref="I84 L84">
    <cfRule type="top10" dxfId="549" priority="209" bottom="1" rank="1"/>
    <cfRule type="top10" dxfId="548" priority="210" bottom="1" rank="2"/>
  </conditionalFormatting>
  <conditionalFormatting sqref="I90 L90">
    <cfRule type="top10" dxfId="547" priority="196" bottom="1" rank="2"/>
    <cfRule type="top10" dxfId="546" priority="195" bottom="1" rank="1"/>
  </conditionalFormatting>
  <conditionalFormatting sqref="I96 L96">
    <cfRule type="top10" dxfId="545" priority="181" bottom="1" rank="1"/>
    <cfRule type="top10" dxfId="544" priority="182" bottom="1" rank="2"/>
  </conditionalFormatting>
  <conditionalFormatting sqref="I102 L102">
    <cfRule type="top10" dxfId="543" priority="168" bottom="1" rank="2"/>
    <cfRule type="top10" dxfId="542" priority="167" bottom="1" rank="1"/>
  </conditionalFormatting>
  <conditionalFormatting sqref="I108 L108">
    <cfRule type="top10" dxfId="541" priority="154" bottom="1" rank="2"/>
    <cfRule type="top10" dxfId="540" priority="153" bottom="1" rank="1"/>
  </conditionalFormatting>
  <conditionalFormatting sqref="I117">
    <cfRule type="top10" dxfId="539" priority="139" bottom="1" rank="1"/>
    <cfRule type="top10" dxfId="538" priority="140" bottom="1" rank="2"/>
  </conditionalFormatting>
  <conditionalFormatting sqref="I123">
    <cfRule type="top10" dxfId="537" priority="126" bottom="1" rank="2"/>
    <cfRule type="top10" dxfId="536" priority="125" bottom="1" rank="1"/>
  </conditionalFormatting>
  <conditionalFormatting sqref="I129">
    <cfRule type="top10" dxfId="535" priority="112" bottom="1" rank="2"/>
    <cfRule type="top10" dxfId="534" priority="111" bottom="1" rank="1"/>
  </conditionalFormatting>
  <conditionalFormatting sqref="I135">
    <cfRule type="top10" dxfId="533" priority="97" bottom="1" rank="1"/>
    <cfRule type="top10" dxfId="532" priority="98" bottom="1" rank="2"/>
  </conditionalFormatting>
  <conditionalFormatting sqref="I141">
    <cfRule type="top10" dxfId="531" priority="84" bottom="1" rank="2"/>
    <cfRule type="top10" dxfId="530" priority="83" bottom="1" rank="1"/>
  </conditionalFormatting>
  <conditionalFormatting sqref="L70">
    <cfRule type="top10" dxfId="529" priority="6" bottom="1" rank="2"/>
    <cfRule type="top10" dxfId="528" priority="5" bottom="1" rank="1"/>
  </conditionalFormatting>
  <conditionalFormatting sqref="L141">
    <cfRule type="top10" dxfId="527" priority="78" bottom="1" rank="2"/>
    <cfRule type="top10" dxfId="526" priority="77" bottom="1" rank="1"/>
  </conditionalFormatting>
  <conditionalFormatting sqref="N8:N70 N79:N141">
    <cfRule type="expression" dxfId="525" priority="2708">
      <formula>RANK(N8,$D8:$M8,1)=1</formula>
    </cfRule>
    <cfRule type="expression" dxfId="524" priority="2709">
      <formula>RANK(N8,$D8:$M8,1)=2</formula>
    </cfRule>
  </conditionalFormatting>
  <printOptions horizontalCentered="1" verticalCentered="1"/>
  <pageMargins left="0" right="0" top="0" bottom="0" header="0" footer="0"/>
  <pageSetup paperSize="9" scale="36" orientation="portrait" r:id="rId1"/>
  <headerFooter>
    <oddFooter>&amp;L_x000D_&amp;1#&amp;"Calibri"&amp;8&amp;K008000 Public</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9B47-2956-4610-8B0C-FEE5D8849512}">
  <sheetPr codeName="Sheet13">
    <pageSetUpPr fitToPage="1"/>
  </sheetPr>
  <dimension ref="A1:O141"/>
  <sheetViews>
    <sheetView showGridLines="0" topLeftCell="A2" zoomScale="75" zoomScaleNormal="75" zoomScaleSheetLayoutView="70" workbookViewId="0">
      <selection activeCell="H92" sqref="H92"/>
    </sheetView>
  </sheetViews>
  <sheetFormatPr defaultColWidth="22.54296875" defaultRowHeight="14.5" x14ac:dyDescent="0.35"/>
  <cols>
    <col min="1" max="1" width="12.453125" style="157" customWidth="1"/>
    <col min="2" max="2" width="18.453125" style="158" customWidth="1"/>
    <col min="3" max="3" width="24.81640625" style="124" hidden="1" customWidth="1"/>
    <col min="4" max="4" width="24.81640625" style="124" customWidth="1"/>
    <col min="5" max="5" width="16" style="124" customWidth="1"/>
    <col min="6" max="6" width="20" style="124" hidden="1" customWidth="1"/>
    <col min="7" max="7" width="20" style="124" customWidth="1"/>
    <col min="8" max="9" width="16" style="124" customWidth="1"/>
    <col min="10" max="10" width="18.08984375" style="124" customWidth="1"/>
    <col min="11" max="11" width="16" style="124" hidden="1" customWidth="1"/>
    <col min="12" max="13" width="16" style="124" customWidth="1"/>
    <col min="14" max="14" width="10.453125" style="124" customWidth="1"/>
    <col min="15" max="15" width="81.1796875" customWidth="1"/>
    <col min="16" max="16384" width="22.54296875" style="124"/>
  </cols>
  <sheetData>
    <row r="1" spans="1:15" ht="21" hidden="1" customHeight="1" x14ac:dyDescent="0.35">
      <c r="A1" s="122"/>
      <c r="B1" s="122"/>
      <c r="C1" s="122" t="s">
        <v>375</v>
      </c>
      <c r="D1" s="389" t="s">
        <v>378</v>
      </c>
      <c r="E1" s="122"/>
      <c r="F1" s="122"/>
      <c r="G1" s="122"/>
      <c r="H1" s="122"/>
      <c r="I1" s="122"/>
      <c r="J1" s="122"/>
      <c r="K1" s="122"/>
      <c r="L1" s="122"/>
      <c r="M1" s="122"/>
      <c r="N1" s="122"/>
    </row>
    <row r="2" spans="1:15" ht="15.5" x14ac:dyDescent="0.35">
      <c r="A2" s="610" t="s">
        <v>127</v>
      </c>
      <c r="B2" s="610"/>
      <c r="C2" s="125"/>
      <c r="D2" s="125"/>
      <c r="E2"/>
      <c r="F2"/>
      <c r="G2"/>
      <c r="H2"/>
      <c r="I2"/>
      <c r="J2" s="207"/>
      <c r="K2" t="s">
        <v>128</v>
      </c>
      <c r="L2" s="46" t="s">
        <v>128</v>
      </c>
      <c r="M2"/>
      <c r="N2"/>
    </row>
    <row r="3" spans="1:15" x14ac:dyDescent="0.35">
      <c r="A3" s="635" t="s">
        <v>272</v>
      </c>
      <c r="B3" s="635"/>
      <c r="C3" s="209">
        <v>5000000</v>
      </c>
      <c r="D3" s="209">
        <v>5000000</v>
      </c>
      <c r="E3" s="223" t="s">
        <v>273</v>
      </c>
      <c r="F3" s="126"/>
      <c r="G3" s="126"/>
      <c r="H3" s="209">
        <v>2000000</v>
      </c>
      <c r="I3" s="208"/>
      <c r="J3" s="210"/>
      <c r="K3" t="s">
        <v>211</v>
      </c>
      <c r="L3" s="46" t="s">
        <v>211</v>
      </c>
      <c r="M3"/>
      <c r="N3"/>
    </row>
    <row r="4" spans="1:15" ht="15" thickBot="1" x14ac:dyDescent="0.4">
      <c r="A4" s="614"/>
      <c r="B4" s="614"/>
      <c r="C4" s="127"/>
      <c r="D4" s="127"/>
      <c r="E4" s="127"/>
      <c r="F4" s="127"/>
      <c r="G4" s="127"/>
      <c r="H4" s="127"/>
      <c r="I4" s="127"/>
      <c r="J4"/>
      <c r="K4"/>
      <c r="L4"/>
      <c r="M4"/>
      <c r="N4"/>
    </row>
    <row r="5" spans="1:15" s="35" customFormat="1" ht="53" customHeight="1" thickBot="1" x14ac:dyDescent="0.4">
      <c r="A5" s="636"/>
      <c r="B5" s="637"/>
      <c r="C5" s="328" t="s">
        <v>385</v>
      </c>
      <c r="D5" s="328" t="s">
        <v>385</v>
      </c>
      <c r="E5" s="128" t="s">
        <v>228</v>
      </c>
      <c r="F5" s="128" t="s">
        <v>354</v>
      </c>
      <c r="G5" s="128" t="s">
        <v>354</v>
      </c>
      <c r="H5" s="128" t="s">
        <v>229</v>
      </c>
      <c r="I5" s="128" t="s">
        <v>230</v>
      </c>
      <c r="J5" s="128" t="s">
        <v>231</v>
      </c>
      <c r="K5" s="128" t="s">
        <v>232</v>
      </c>
      <c r="L5" s="128" t="s">
        <v>334</v>
      </c>
      <c r="M5" s="129" t="s">
        <v>233</v>
      </c>
      <c r="O5" s="434" t="s">
        <v>131</v>
      </c>
    </row>
    <row r="6" spans="1:15" ht="30" customHeight="1" x14ac:dyDescent="0.35">
      <c r="A6" s="638" t="s">
        <v>213</v>
      </c>
      <c r="B6" s="639"/>
      <c r="C6" s="130" t="s">
        <v>311</v>
      </c>
      <c r="D6" s="130" t="s">
        <v>311</v>
      </c>
      <c r="E6" s="130" t="s">
        <v>235</v>
      </c>
      <c r="F6" s="130" t="s">
        <v>353</v>
      </c>
      <c r="G6" s="130" t="s">
        <v>353</v>
      </c>
      <c r="H6" s="130" t="s">
        <v>234</v>
      </c>
      <c r="I6" s="130" t="s">
        <v>236</v>
      </c>
      <c r="J6" s="130" t="s">
        <v>234</v>
      </c>
      <c r="K6" s="130" t="s">
        <v>237</v>
      </c>
      <c r="L6" s="130" t="s">
        <v>237</v>
      </c>
      <c r="M6" s="131" t="s">
        <v>234</v>
      </c>
      <c r="O6" s="529" t="s">
        <v>413</v>
      </c>
    </row>
    <row r="7" spans="1:15" ht="15.75" customHeight="1" thickBot="1" x14ac:dyDescent="0.4">
      <c r="A7" s="374" t="s">
        <v>176</v>
      </c>
      <c r="B7" s="375" t="s">
        <v>140</v>
      </c>
      <c r="C7" s="376" t="s">
        <v>141</v>
      </c>
      <c r="D7" s="376" t="s">
        <v>141</v>
      </c>
      <c r="E7" s="376" t="s">
        <v>142</v>
      </c>
      <c r="F7" s="376" t="s">
        <v>141</v>
      </c>
      <c r="G7" s="376" t="s">
        <v>141</v>
      </c>
      <c r="H7" s="377" t="s">
        <v>141</v>
      </c>
      <c r="I7" s="377" t="s">
        <v>141</v>
      </c>
      <c r="J7" s="377" t="s">
        <v>142</v>
      </c>
      <c r="K7" s="377" t="s">
        <v>142</v>
      </c>
      <c r="L7" s="377" t="s">
        <v>142</v>
      </c>
      <c r="M7" s="378" t="s">
        <v>141</v>
      </c>
      <c r="O7" s="530"/>
    </row>
    <row r="8" spans="1:15" x14ac:dyDescent="0.35">
      <c r="A8" s="611" t="s">
        <v>238</v>
      </c>
      <c r="B8" s="137" t="s">
        <v>239</v>
      </c>
      <c r="C8" s="107">
        <v>1242.75</v>
      </c>
      <c r="D8" s="358">
        <f>1242.75-60</f>
        <v>1182.75</v>
      </c>
      <c r="E8" s="358">
        <v>2800</v>
      </c>
      <c r="F8" s="358" t="s">
        <v>111</v>
      </c>
      <c r="G8" s="358" t="s">
        <v>111</v>
      </c>
      <c r="H8" s="358">
        <v>1173.3000000000002</v>
      </c>
      <c r="I8" s="358">
        <f>I41-1900</f>
        <v>1730</v>
      </c>
      <c r="J8" s="108">
        <v>1451.76</v>
      </c>
      <c r="K8" s="358" t="s">
        <v>111</v>
      </c>
      <c r="L8" s="358" t="s">
        <v>111</v>
      </c>
      <c r="M8" s="359">
        <v>1079.4000000000001</v>
      </c>
      <c r="N8" s="110"/>
      <c r="O8" s="530"/>
    </row>
    <row r="9" spans="1:15" x14ac:dyDescent="0.35">
      <c r="A9" s="587"/>
      <c r="B9" s="20" t="s">
        <v>240</v>
      </c>
      <c r="C9" s="112">
        <v>1289.2</v>
      </c>
      <c r="D9" s="342">
        <f>1289.2-60</f>
        <v>1229.2</v>
      </c>
      <c r="E9" s="342" t="s">
        <v>111</v>
      </c>
      <c r="F9" s="342" t="s">
        <v>111</v>
      </c>
      <c r="G9" s="342" t="s">
        <v>111</v>
      </c>
      <c r="H9" s="342">
        <v>1173.3000000000002</v>
      </c>
      <c r="I9" s="342">
        <f>I42-1940</f>
        <v>1800</v>
      </c>
      <c r="J9" s="113">
        <v>1470.16</v>
      </c>
      <c r="K9" s="342">
        <v>1182.6500000000001</v>
      </c>
      <c r="L9" s="342">
        <v>1182.6500000000001</v>
      </c>
      <c r="M9" s="344">
        <v>1080.8</v>
      </c>
      <c r="N9" s="110"/>
      <c r="O9" s="530"/>
    </row>
    <row r="10" spans="1:15" x14ac:dyDescent="0.35">
      <c r="A10" s="587"/>
      <c r="B10" s="20" t="s">
        <v>241</v>
      </c>
      <c r="C10" s="112">
        <v>2302.0500000000002</v>
      </c>
      <c r="D10" s="342">
        <f>2302.05-60</f>
        <v>2242.0500000000002</v>
      </c>
      <c r="E10" s="342">
        <v>5400</v>
      </c>
      <c r="F10" s="342" t="s">
        <v>111</v>
      </c>
      <c r="G10" s="342" t="s">
        <v>111</v>
      </c>
      <c r="H10" s="342">
        <v>2340</v>
      </c>
      <c r="I10" s="342">
        <f>I43-3800</f>
        <v>4110</v>
      </c>
      <c r="J10" s="113">
        <v>3785.8</v>
      </c>
      <c r="K10" s="342">
        <v>2653.75</v>
      </c>
      <c r="L10" s="342">
        <f>K10*0.85</f>
        <v>2255.6875</v>
      </c>
      <c r="M10" s="344">
        <v>1821.6</v>
      </c>
      <c r="N10" s="110"/>
      <c r="O10" s="530"/>
    </row>
    <row r="11" spans="1:15" x14ac:dyDescent="0.35">
      <c r="A11" s="587"/>
      <c r="B11" s="20" t="s">
        <v>242</v>
      </c>
      <c r="C11" s="112">
        <v>4648.1499999999996</v>
      </c>
      <c r="D11" s="342">
        <f>C11-60</f>
        <v>4588.1499999999996</v>
      </c>
      <c r="E11" s="342" t="s">
        <v>111</v>
      </c>
      <c r="F11" s="342" t="s">
        <v>111</v>
      </c>
      <c r="G11" s="342" t="s">
        <v>111</v>
      </c>
      <c r="H11" s="342">
        <v>6850.4249999999993</v>
      </c>
      <c r="I11" s="342">
        <f>I44-6760</f>
        <v>9770</v>
      </c>
      <c r="J11" s="113" t="s">
        <v>111</v>
      </c>
      <c r="K11" s="342">
        <v>6905.5</v>
      </c>
      <c r="L11" s="342">
        <f>K11*0.85</f>
        <v>5869.6750000000002</v>
      </c>
      <c r="M11" s="344">
        <v>4510.7999999999993</v>
      </c>
      <c r="N11" s="110"/>
      <c r="O11" s="530"/>
    </row>
    <row r="12" spans="1:15" x14ac:dyDescent="0.35">
      <c r="A12" s="587"/>
      <c r="B12" s="20" t="s">
        <v>243</v>
      </c>
      <c r="C12" s="112">
        <v>12299.25</v>
      </c>
      <c r="D12" s="471">
        <f>C12-60</f>
        <v>12239.25</v>
      </c>
      <c r="E12" s="342" t="s">
        <v>111</v>
      </c>
      <c r="F12" s="342">
        <v>9559</v>
      </c>
      <c r="G12" s="472">
        <f>9559/0.8*0.85</f>
        <v>10156.4375</v>
      </c>
      <c r="H12" s="342" t="s">
        <v>111</v>
      </c>
      <c r="I12" s="342" t="s">
        <v>111</v>
      </c>
      <c r="J12" s="113" t="s">
        <v>111</v>
      </c>
      <c r="K12" s="342" t="s">
        <v>111</v>
      </c>
      <c r="L12" s="342" t="s">
        <v>111</v>
      </c>
      <c r="M12" s="344" t="s">
        <v>111</v>
      </c>
      <c r="N12" s="110"/>
      <c r="O12" s="530"/>
    </row>
    <row r="13" spans="1:15" ht="15.75" customHeight="1" thickBot="1" x14ac:dyDescent="0.4">
      <c r="A13" s="612"/>
      <c r="B13" s="117" t="s">
        <v>244</v>
      </c>
      <c r="C13" s="118" t="s">
        <v>111</v>
      </c>
      <c r="D13" s="345" t="s">
        <v>111</v>
      </c>
      <c r="E13" s="345" t="s">
        <v>111</v>
      </c>
      <c r="F13" s="345" t="s">
        <v>111</v>
      </c>
      <c r="G13" s="345" t="s">
        <v>111</v>
      </c>
      <c r="H13" s="345" t="s">
        <v>111</v>
      </c>
      <c r="I13" s="345">
        <f>I46-7860</f>
        <v>15840</v>
      </c>
      <c r="J13" s="119" t="s">
        <v>111</v>
      </c>
      <c r="K13" s="345">
        <v>12772.6</v>
      </c>
      <c r="L13" s="345">
        <f>K13*0.85</f>
        <v>10856.71</v>
      </c>
      <c r="M13" s="346" t="s">
        <v>111</v>
      </c>
      <c r="N13" s="110"/>
      <c r="O13" s="530"/>
    </row>
    <row r="14" spans="1:15" ht="15" customHeight="1" x14ac:dyDescent="0.35">
      <c r="A14" s="611" t="s">
        <v>245</v>
      </c>
      <c r="B14" s="137" t="s">
        <v>239</v>
      </c>
      <c r="C14" s="107">
        <v>1412.15</v>
      </c>
      <c r="D14" s="358">
        <f>1412.15-60</f>
        <v>1352.15</v>
      </c>
      <c r="E14" s="358">
        <v>3300</v>
      </c>
      <c r="F14" s="358" t="s">
        <v>111</v>
      </c>
      <c r="G14" s="358" t="s">
        <v>111</v>
      </c>
      <c r="H14" s="358">
        <v>1392.675</v>
      </c>
      <c r="I14" s="358">
        <f>I47-2140</f>
        <v>1930</v>
      </c>
      <c r="J14" s="108">
        <v>1950.4</v>
      </c>
      <c r="K14" s="358" t="s">
        <v>111</v>
      </c>
      <c r="L14" s="358" t="s">
        <v>111</v>
      </c>
      <c r="M14" s="359">
        <v>1155</v>
      </c>
      <c r="N14" s="110"/>
      <c r="O14" s="530"/>
    </row>
    <row r="15" spans="1:15" x14ac:dyDescent="0.35">
      <c r="A15" s="587"/>
      <c r="B15" s="20" t="s">
        <v>240</v>
      </c>
      <c r="C15" s="112">
        <v>1593.15</v>
      </c>
      <c r="D15" s="342">
        <f>1593.15-60</f>
        <v>1533.15</v>
      </c>
      <c r="E15" s="342" t="s">
        <v>111</v>
      </c>
      <c r="F15" s="342" t="s">
        <v>111</v>
      </c>
      <c r="G15" s="342" t="s">
        <v>111</v>
      </c>
      <c r="H15" s="342">
        <v>1397.1750000000002</v>
      </c>
      <c r="I15" s="342">
        <f>I48-2500</f>
        <v>2050</v>
      </c>
      <c r="J15" s="113">
        <v>1950.4</v>
      </c>
      <c r="K15" s="342">
        <v>1517.25</v>
      </c>
      <c r="L15" s="342">
        <f>K15*0.75</f>
        <v>1137.9375</v>
      </c>
      <c r="M15" s="344">
        <v>1304.8</v>
      </c>
      <c r="N15" s="110"/>
      <c r="O15" s="530"/>
    </row>
    <row r="16" spans="1:15" x14ac:dyDescent="0.35">
      <c r="A16" s="587"/>
      <c r="B16" s="20" t="s">
        <v>246</v>
      </c>
      <c r="C16" s="112">
        <v>2939.95</v>
      </c>
      <c r="D16" s="342">
        <f>2939.95-60</f>
        <v>2879.95</v>
      </c>
      <c r="E16" s="342">
        <v>6500</v>
      </c>
      <c r="F16" s="342" t="s">
        <v>111</v>
      </c>
      <c r="G16" s="342" t="s">
        <v>111</v>
      </c>
      <c r="H16" s="342">
        <v>2878.8</v>
      </c>
      <c r="I16" s="342">
        <f>I49-4560</f>
        <v>4180</v>
      </c>
      <c r="J16" s="113">
        <v>4057.2000000000003</v>
      </c>
      <c r="K16" s="342">
        <v>3553.7</v>
      </c>
      <c r="L16" s="342">
        <f>K16*0.85</f>
        <v>3020.645</v>
      </c>
      <c r="M16" s="344">
        <v>2224.8000000000002</v>
      </c>
      <c r="N16" s="110"/>
      <c r="O16" s="530"/>
    </row>
    <row r="17" spans="1:15" x14ac:dyDescent="0.35">
      <c r="A17" s="587"/>
      <c r="B17" s="20" t="s">
        <v>247</v>
      </c>
      <c r="C17" s="112">
        <v>6225.4</v>
      </c>
      <c r="D17" s="342">
        <f>C17-60</f>
        <v>6165.4</v>
      </c>
      <c r="E17" s="342" t="s">
        <v>111</v>
      </c>
      <c r="F17" s="342" t="s">
        <v>111</v>
      </c>
      <c r="G17" s="342" t="s">
        <v>111</v>
      </c>
      <c r="H17" s="342">
        <v>8992.5</v>
      </c>
      <c r="I17" s="342">
        <f>I50-8440</f>
        <v>11850</v>
      </c>
      <c r="J17" s="113" t="s">
        <v>111</v>
      </c>
      <c r="K17" s="342">
        <v>8740</v>
      </c>
      <c r="L17" s="342">
        <f>K17*0.85</f>
        <v>7429</v>
      </c>
      <c r="M17" s="344">
        <v>5803.2</v>
      </c>
      <c r="N17" s="110"/>
      <c r="O17" s="530"/>
    </row>
    <row r="18" spans="1:15" x14ac:dyDescent="0.35">
      <c r="A18" s="587"/>
      <c r="B18" s="20" t="s">
        <v>248</v>
      </c>
      <c r="C18" s="112">
        <v>15718.1</v>
      </c>
      <c r="D18" s="471">
        <f>C18-60</f>
        <v>15658.1</v>
      </c>
      <c r="E18" s="342" t="s">
        <v>111</v>
      </c>
      <c r="F18" s="342">
        <v>13089</v>
      </c>
      <c r="G18" s="472">
        <f>13089/0.8*0.85</f>
        <v>13907.0625</v>
      </c>
      <c r="H18" s="342" t="s">
        <v>111</v>
      </c>
      <c r="I18" s="342" t="s">
        <v>111</v>
      </c>
      <c r="J18" s="113" t="s">
        <v>111</v>
      </c>
      <c r="K18" s="342" t="s">
        <v>111</v>
      </c>
      <c r="L18" s="342" t="s">
        <v>111</v>
      </c>
      <c r="M18" s="344" t="s">
        <v>111</v>
      </c>
      <c r="N18" s="110"/>
      <c r="O18" s="530"/>
    </row>
    <row r="19" spans="1:15" ht="15" thickBot="1" x14ac:dyDescent="0.4">
      <c r="A19" s="612"/>
      <c r="B19" s="117" t="s">
        <v>249</v>
      </c>
      <c r="C19" s="118" t="s">
        <v>111</v>
      </c>
      <c r="D19" s="345" t="s">
        <v>111</v>
      </c>
      <c r="E19" s="345" t="s">
        <v>111</v>
      </c>
      <c r="F19" s="345" t="s">
        <v>111</v>
      </c>
      <c r="G19" s="345" t="s">
        <v>111</v>
      </c>
      <c r="H19" s="345" t="s">
        <v>111</v>
      </c>
      <c r="I19" s="345">
        <f>I52-10060</f>
        <v>20270</v>
      </c>
      <c r="J19" s="119" t="s">
        <v>111</v>
      </c>
      <c r="K19" s="345">
        <v>17099.3</v>
      </c>
      <c r="L19" s="345">
        <f>K19*0.85</f>
        <v>14534.404999999999</v>
      </c>
      <c r="M19" s="346" t="s">
        <v>111</v>
      </c>
      <c r="N19" s="110"/>
      <c r="O19" s="530"/>
    </row>
    <row r="20" spans="1:15" x14ac:dyDescent="0.35">
      <c r="A20" s="611" t="s">
        <v>250</v>
      </c>
      <c r="B20" s="137" t="s">
        <v>239</v>
      </c>
      <c r="C20" s="107">
        <v>1892.4</v>
      </c>
      <c r="D20" s="358">
        <f>1892.4-60</f>
        <v>1832.4</v>
      </c>
      <c r="E20" s="358">
        <v>4600</v>
      </c>
      <c r="F20" s="358" t="s">
        <v>111</v>
      </c>
      <c r="G20" s="358" t="s">
        <v>111</v>
      </c>
      <c r="H20" s="358">
        <v>1774.8000000000002</v>
      </c>
      <c r="I20" s="358">
        <f>I53-3180</f>
        <v>2570</v>
      </c>
      <c r="J20" s="108">
        <v>2441.6800000000003</v>
      </c>
      <c r="K20" s="358" t="s">
        <v>111</v>
      </c>
      <c r="L20" s="358" t="s">
        <v>111</v>
      </c>
      <c r="M20" s="359">
        <v>1740.2000000000003</v>
      </c>
      <c r="N20" s="110"/>
      <c r="O20" s="530"/>
    </row>
    <row r="21" spans="1:15" x14ac:dyDescent="0.35">
      <c r="A21" s="587"/>
      <c r="B21" s="20" t="s">
        <v>240</v>
      </c>
      <c r="C21" s="112">
        <v>2235.6999999999998</v>
      </c>
      <c r="D21" s="342">
        <f>2235.7-60</f>
        <v>2175.6999999999998</v>
      </c>
      <c r="E21" s="342" t="s">
        <v>111</v>
      </c>
      <c r="F21" s="342" t="s">
        <v>111</v>
      </c>
      <c r="G21" s="342" t="s">
        <v>111</v>
      </c>
      <c r="H21" s="342">
        <v>1978.5</v>
      </c>
      <c r="I21" s="342">
        <f>I54-3720</f>
        <v>2690</v>
      </c>
      <c r="J21" s="113">
        <v>2580.6</v>
      </c>
      <c r="K21" s="342">
        <v>2215.3000000000002</v>
      </c>
      <c r="L21" s="342">
        <f>2215.3*0.85</f>
        <v>1883.0050000000001</v>
      </c>
      <c r="M21" s="344">
        <v>1887.2000000000003</v>
      </c>
      <c r="N21" s="110"/>
      <c r="O21" s="530"/>
    </row>
    <row r="22" spans="1:15" x14ac:dyDescent="0.35">
      <c r="A22" s="587"/>
      <c r="B22" s="20" t="s">
        <v>251</v>
      </c>
      <c r="C22" s="112">
        <v>3939.6</v>
      </c>
      <c r="D22" s="342">
        <f>3939.6-60</f>
        <v>3879.6</v>
      </c>
      <c r="E22" s="342">
        <v>8800</v>
      </c>
      <c r="F22" s="342" t="s">
        <v>111</v>
      </c>
      <c r="G22" s="342" t="s">
        <v>111</v>
      </c>
      <c r="H22" s="342">
        <v>3645.2999999999997</v>
      </c>
      <c r="I22" s="342">
        <f>I55-5880</f>
        <v>5570</v>
      </c>
      <c r="J22" s="113">
        <v>4908.2</v>
      </c>
      <c r="K22" s="342">
        <v>4534.3999999999996</v>
      </c>
      <c r="L22" s="342">
        <f>4534.4*0.85</f>
        <v>3854.24</v>
      </c>
      <c r="M22" s="344">
        <v>2841.6</v>
      </c>
      <c r="N22" s="110"/>
      <c r="O22" s="530"/>
    </row>
    <row r="23" spans="1:15" x14ac:dyDescent="0.35">
      <c r="A23" s="587"/>
      <c r="B23" s="20" t="s">
        <v>252</v>
      </c>
      <c r="C23" s="112">
        <v>8431.2999999999993</v>
      </c>
      <c r="D23" s="342">
        <f>C23-60</f>
        <v>8371.2999999999993</v>
      </c>
      <c r="E23" s="342" t="s">
        <v>111</v>
      </c>
      <c r="F23" s="342" t="s">
        <v>111</v>
      </c>
      <c r="G23" s="342" t="s">
        <v>111</v>
      </c>
      <c r="H23" s="342">
        <v>11313.375</v>
      </c>
      <c r="I23" s="342">
        <f>I56-10720</f>
        <v>15040</v>
      </c>
      <c r="J23" s="113" t="s">
        <v>111</v>
      </c>
      <c r="K23" s="342">
        <v>11145.7</v>
      </c>
      <c r="L23" s="342">
        <f>K23*0.85</f>
        <v>9473.8450000000012</v>
      </c>
      <c r="M23" s="344">
        <v>7501.2000000000007</v>
      </c>
      <c r="N23" s="110"/>
      <c r="O23" s="530"/>
    </row>
    <row r="24" spans="1:15" x14ac:dyDescent="0.35">
      <c r="A24" s="587"/>
      <c r="B24" s="20" t="s">
        <v>253</v>
      </c>
      <c r="C24" s="112">
        <v>20552.849999999999</v>
      </c>
      <c r="D24" s="471">
        <f>C24-60</f>
        <v>20492.849999999999</v>
      </c>
      <c r="E24" s="342" t="s">
        <v>111</v>
      </c>
      <c r="F24" s="342">
        <v>16773</v>
      </c>
      <c r="G24" s="472">
        <f>16773/0.8*0.85</f>
        <v>17821.3125</v>
      </c>
      <c r="H24" s="342" t="s">
        <v>111</v>
      </c>
      <c r="I24" s="342" t="s">
        <v>111</v>
      </c>
      <c r="J24" s="113" t="s">
        <v>111</v>
      </c>
      <c r="K24" s="342" t="s">
        <v>111</v>
      </c>
      <c r="L24" s="342" t="s">
        <v>111</v>
      </c>
      <c r="M24" s="344" t="s">
        <v>111</v>
      </c>
      <c r="N24" s="110"/>
      <c r="O24" s="530"/>
    </row>
    <row r="25" spans="1:15" ht="15" thickBot="1" x14ac:dyDescent="0.4">
      <c r="A25" s="612"/>
      <c r="B25" s="117" t="s">
        <v>254</v>
      </c>
      <c r="C25" s="118" t="s">
        <v>111</v>
      </c>
      <c r="D25" s="345" t="s">
        <v>111</v>
      </c>
      <c r="E25" s="345" t="s">
        <v>111</v>
      </c>
      <c r="F25" s="345" t="s">
        <v>111</v>
      </c>
      <c r="G25" s="345" t="s">
        <v>111</v>
      </c>
      <c r="H25" s="345" t="s">
        <v>111</v>
      </c>
      <c r="I25" s="345">
        <f>I58-11960</f>
        <v>26060</v>
      </c>
      <c r="J25" s="119" t="s">
        <v>111</v>
      </c>
      <c r="K25" s="345">
        <v>23243.3</v>
      </c>
      <c r="L25" s="345">
        <f>K25*0.85</f>
        <v>19756.805</v>
      </c>
      <c r="M25" s="346" t="s">
        <v>111</v>
      </c>
      <c r="N25" s="110"/>
      <c r="O25" s="530"/>
    </row>
    <row r="26" spans="1:15" x14ac:dyDescent="0.35">
      <c r="A26" s="611" t="s">
        <v>255</v>
      </c>
      <c r="B26" s="137" t="s">
        <v>239</v>
      </c>
      <c r="C26" s="107">
        <v>2780.85</v>
      </c>
      <c r="D26" s="358">
        <f>2780.85-60</f>
        <v>2720.85</v>
      </c>
      <c r="E26" s="358">
        <v>7200</v>
      </c>
      <c r="F26" s="358" t="s">
        <v>111</v>
      </c>
      <c r="G26" s="358" t="s">
        <v>111</v>
      </c>
      <c r="H26" s="358">
        <v>2807.0249999999996</v>
      </c>
      <c r="I26" s="358">
        <f>I59-5400</f>
        <v>3760</v>
      </c>
      <c r="J26" s="108">
        <v>3622.96</v>
      </c>
      <c r="K26" s="358" t="s">
        <v>111</v>
      </c>
      <c r="L26" s="358" t="s">
        <v>111</v>
      </c>
      <c r="M26" s="359">
        <v>2290.4000000000005</v>
      </c>
      <c r="N26" s="110"/>
      <c r="O26" s="530"/>
    </row>
    <row r="27" spans="1:15" x14ac:dyDescent="0.35">
      <c r="A27" s="587"/>
      <c r="B27" s="20" t="s">
        <v>240</v>
      </c>
      <c r="C27" s="112">
        <v>3565.35</v>
      </c>
      <c r="D27" s="342">
        <f>3565.35-60</f>
        <v>3505.35</v>
      </c>
      <c r="E27" s="342" t="s">
        <v>111</v>
      </c>
      <c r="F27" s="342" t="s">
        <v>111</v>
      </c>
      <c r="G27" s="342" t="s">
        <v>111</v>
      </c>
      <c r="H27" s="342">
        <v>3308.1000000000004</v>
      </c>
      <c r="I27" s="342">
        <f>I60-5820</f>
        <v>4430</v>
      </c>
      <c r="J27" s="113">
        <v>3661.6000000000004</v>
      </c>
      <c r="K27" s="342">
        <v>3709.45</v>
      </c>
      <c r="L27" s="342">
        <f>K27*0.85</f>
        <v>3153.0324999999998</v>
      </c>
      <c r="M27" s="344">
        <v>2865.8</v>
      </c>
      <c r="N27" s="110"/>
      <c r="O27" s="530"/>
    </row>
    <row r="28" spans="1:15" x14ac:dyDescent="0.35">
      <c r="A28" s="587"/>
      <c r="B28" s="20" t="s">
        <v>256</v>
      </c>
      <c r="C28" s="112">
        <v>5128.2</v>
      </c>
      <c r="D28" s="342">
        <f>5128.2-60</f>
        <v>5068.2</v>
      </c>
      <c r="E28" s="342">
        <v>11550</v>
      </c>
      <c r="F28" s="342" t="s">
        <v>111</v>
      </c>
      <c r="G28" s="342" t="s">
        <v>111</v>
      </c>
      <c r="H28" s="342">
        <v>4677</v>
      </c>
      <c r="I28" s="342">
        <f>I61-7680</f>
        <v>6580</v>
      </c>
      <c r="J28" s="113">
        <v>6831</v>
      </c>
      <c r="K28" s="342">
        <v>5924.75</v>
      </c>
      <c r="L28" s="342">
        <f>K28*0.85</f>
        <v>5036.0374999999995</v>
      </c>
      <c r="M28" s="344">
        <v>3613.2</v>
      </c>
      <c r="N28" s="110"/>
      <c r="O28" s="530"/>
    </row>
    <row r="29" spans="1:15" x14ac:dyDescent="0.35">
      <c r="A29" s="587"/>
      <c r="B29" s="20" t="s">
        <v>257</v>
      </c>
      <c r="C29" s="112">
        <v>11546.1</v>
      </c>
      <c r="D29" s="342">
        <f>11546.1-60</f>
        <v>11486.1</v>
      </c>
      <c r="E29" s="342" t="s">
        <v>111</v>
      </c>
      <c r="F29" s="342" t="s">
        <v>111</v>
      </c>
      <c r="G29" s="342" t="s">
        <v>111</v>
      </c>
      <c r="H29" s="342">
        <v>14689.5</v>
      </c>
      <c r="I29" s="342">
        <f>I62-14380</f>
        <v>20210</v>
      </c>
      <c r="J29" s="113">
        <v>20718.400000000001</v>
      </c>
      <c r="K29" s="342">
        <v>14751.35</v>
      </c>
      <c r="L29" s="342">
        <f>K29*0.85</f>
        <v>12538.647499999999</v>
      </c>
      <c r="M29" s="344">
        <v>9974.4</v>
      </c>
      <c r="N29" s="110"/>
      <c r="O29" s="530"/>
    </row>
    <row r="30" spans="1:15" x14ac:dyDescent="0.35">
      <c r="A30" s="587"/>
      <c r="B30" s="20" t="s">
        <v>258</v>
      </c>
      <c r="C30" s="112">
        <v>27629.25</v>
      </c>
      <c r="D30" s="471">
        <f>27629.25-60</f>
        <v>27569.25</v>
      </c>
      <c r="E30" s="342" t="s">
        <v>111</v>
      </c>
      <c r="F30" s="342">
        <v>24070</v>
      </c>
      <c r="G30" s="472">
        <f>24070/0.8*0.85</f>
        <v>25574.375</v>
      </c>
      <c r="H30" s="342" t="s">
        <v>111</v>
      </c>
      <c r="I30" s="342" t="s">
        <v>111</v>
      </c>
      <c r="J30" s="113" t="s">
        <v>111</v>
      </c>
      <c r="K30" s="342" t="s">
        <v>111</v>
      </c>
      <c r="L30" s="342" t="s">
        <v>111</v>
      </c>
      <c r="M30" s="344" t="s">
        <v>111</v>
      </c>
      <c r="N30" s="110"/>
      <c r="O30" s="530"/>
    </row>
    <row r="31" spans="1:15" ht="15" thickBot="1" x14ac:dyDescent="0.4">
      <c r="A31" s="612"/>
      <c r="B31" s="117" t="s">
        <v>259</v>
      </c>
      <c r="C31" s="118" t="s">
        <v>111</v>
      </c>
      <c r="D31" s="345" t="s">
        <v>111</v>
      </c>
      <c r="E31" s="345" t="s">
        <v>111</v>
      </c>
      <c r="F31" s="345" t="s">
        <v>111</v>
      </c>
      <c r="G31" s="345" t="s">
        <v>111</v>
      </c>
      <c r="H31" s="345" t="s">
        <v>111</v>
      </c>
      <c r="I31" s="345">
        <f>I64-16700</f>
        <v>33630</v>
      </c>
      <c r="J31" s="119" t="s">
        <v>111</v>
      </c>
      <c r="K31" s="345">
        <v>33598.65</v>
      </c>
      <c r="L31" s="345">
        <f>K31*0.85</f>
        <v>28558.852500000001</v>
      </c>
      <c r="M31" s="346" t="s">
        <v>111</v>
      </c>
      <c r="N31" s="110"/>
      <c r="O31" s="530"/>
    </row>
    <row r="32" spans="1:15" x14ac:dyDescent="0.35">
      <c r="A32" s="611" t="s">
        <v>260</v>
      </c>
      <c r="B32" s="137" t="s">
        <v>239</v>
      </c>
      <c r="C32" s="107">
        <v>4605.6499999999996</v>
      </c>
      <c r="D32" s="358">
        <f>4605.65-60</f>
        <v>4545.6499999999996</v>
      </c>
      <c r="E32" s="358">
        <v>12600</v>
      </c>
      <c r="F32" s="358" t="s">
        <v>111</v>
      </c>
      <c r="G32" s="358" t="s">
        <v>111</v>
      </c>
      <c r="H32" s="358">
        <v>4735.0499999999993</v>
      </c>
      <c r="I32" s="358">
        <f>I65-9280</f>
        <v>6010</v>
      </c>
      <c r="J32" s="108">
        <v>5579.8</v>
      </c>
      <c r="K32" s="358" t="s">
        <v>111</v>
      </c>
      <c r="L32" s="358" t="s">
        <v>111</v>
      </c>
      <c r="M32" s="359">
        <v>3938.2000000000003</v>
      </c>
      <c r="N32" s="110"/>
      <c r="O32" s="530"/>
    </row>
    <row r="33" spans="1:15" x14ac:dyDescent="0.35">
      <c r="A33" s="587"/>
      <c r="B33" s="20" t="s">
        <v>240</v>
      </c>
      <c r="C33" s="112">
        <v>5964.25</v>
      </c>
      <c r="D33" s="342">
        <f>5964.25-60</f>
        <v>5904.25</v>
      </c>
      <c r="E33" s="342" t="s">
        <v>111</v>
      </c>
      <c r="F33" s="342" t="s">
        <v>111</v>
      </c>
      <c r="G33" s="342" t="s">
        <v>111</v>
      </c>
      <c r="H33" s="342">
        <v>5184</v>
      </c>
      <c r="I33" s="342">
        <f>I66-9840</f>
        <v>7200</v>
      </c>
      <c r="J33" s="113">
        <v>6089.48</v>
      </c>
      <c r="K33" s="342">
        <v>5694</v>
      </c>
      <c r="L33" s="342">
        <f>K33*0.7</f>
        <v>3985.7999999999997</v>
      </c>
      <c r="M33" s="344">
        <v>4915.4000000000005</v>
      </c>
      <c r="N33" s="110"/>
      <c r="O33" s="530"/>
    </row>
    <row r="34" spans="1:15" x14ac:dyDescent="0.35">
      <c r="A34" s="587"/>
      <c r="B34" s="20" t="s">
        <v>261</v>
      </c>
      <c r="C34" s="112">
        <v>7105.15</v>
      </c>
      <c r="D34" s="342">
        <f>7105.15-60</f>
        <v>7045.15</v>
      </c>
      <c r="E34" s="342">
        <v>15100</v>
      </c>
      <c r="F34" s="342" t="s">
        <v>111</v>
      </c>
      <c r="G34" s="342" t="s">
        <v>111</v>
      </c>
      <c r="H34" s="342">
        <v>6600</v>
      </c>
      <c r="I34" s="342">
        <f>I67-10340</f>
        <v>9080</v>
      </c>
      <c r="J34" s="113">
        <v>8606.6</v>
      </c>
      <c r="K34" s="342">
        <v>7961.2</v>
      </c>
      <c r="L34" s="342">
        <f>K34*0.7</f>
        <v>5572.8399999999992</v>
      </c>
      <c r="M34" s="344">
        <v>5461.2</v>
      </c>
      <c r="N34" s="110"/>
      <c r="O34" s="530"/>
    </row>
    <row r="35" spans="1:15" x14ac:dyDescent="0.35">
      <c r="A35" s="587"/>
      <c r="B35" s="20" t="s">
        <v>262</v>
      </c>
      <c r="C35" s="112">
        <v>15856.5</v>
      </c>
      <c r="D35" s="342">
        <f>15856.5-60</f>
        <v>15796.5</v>
      </c>
      <c r="E35" s="342" t="s">
        <v>111</v>
      </c>
      <c r="F35" s="342" t="s">
        <v>111</v>
      </c>
      <c r="G35" s="342" t="s">
        <v>111</v>
      </c>
      <c r="H35" s="342">
        <v>18931.800000000003</v>
      </c>
      <c r="I35" s="342">
        <f>I68-17480</f>
        <v>26420</v>
      </c>
      <c r="J35" s="113">
        <v>29417</v>
      </c>
      <c r="K35" s="342">
        <v>20508.8</v>
      </c>
      <c r="L35" s="342">
        <f>K35*0.7</f>
        <v>14356.159999999998</v>
      </c>
      <c r="M35" s="344">
        <v>14009.999999999996</v>
      </c>
      <c r="N35" s="110"/>
      <c r="O35" s="530"/>
    </row>
    <row r="36" spans="1:15" x14ac:dyDescent="0.35">
      <c r="A36" s="587"/>
      <c r="B36" s="20" t="s">
        <v>263</v>
      </c>
      <c r="C36" s="112">
        <v>38170.25</v>
      </c>
      <c r="D36" s="471">
        <f>38170.25-60</f>
        <v>38110.25</v>
      </c>
      <c r="E36" s="342" t="s">
        <v>111</v>
      </c>
      <c r="F36" s="342">
        <v>33641</v>
      </c>
      <c r="G36" s="472">
        <f>33641/0.8*0.85</f>
        <v>35743.5625</v>
      </c>
      <c r="H36" s="342" t="s">
        <v>111</v>
      </c>
      <c r="I36" s="342" t="s">
        <v>111</v>
      </c>
      <c r="J36" s="113" t="s">
        <v>111</v>
      </c>
      <c r="K36" s="342" t="s">
        <v>111</v>
      </c>
      <c r="L36" s="342" t="s">
        <v>111</v>
      </c>
      <c r="M36" s="344" t="s">
        <v>111</v>
      </c>
      <c r="N36" s="110"/>
      <c r="O36" s="530"/>
    </row>
    <row r="37" spans="1:15" ht="15" thickBot="1" x14ac:dyDescent="0.4">
      <c r="A37" s="612"/>
      <c r="B37" s="117" t="s">
        <v>264</v>
      </c>
      <c r="C37" s="118" t="s">
        <v>111</v>
      </c>
      <c r="D37" s="345" t="s">
        <v>111</v>
      </c>
      <c r="E37" s="345" t="s">
        <v>111</v>
      </c>
      <c r="F37" s="345" t="s">
        <v>111</v>
      </c>
      <c r="G37" s="345" t="s">
        <v>111</v>
      </c>
      <c r="H37" s="345" t="s">
        <v>111</v>
      </c>
      <c r="I37" s="345">
        <f>I70-20140</f>
        <v>43690</v>
      </c>
      <c r="J37" s="119" t="s">
        <v>111</v>
      </c>
      <c r="K37" s="345">
        <v>43042.5</v>
      </c>
      <c r="L37" s="345">
        <f>K37*0.7</f>
        <v>30129.749999999996</v>
      </c>
      <c r="M37" s="346" t="s">
        <v>111</v>
      </c>
      <c r="N37" s="110"/>
      <c r="O37" s="530"/>
    </row>
    <row r="38" spans="1:15" ht="29.5" thickBot="1" x14ac:dyDescent="0.4">
      <c r="A38" s="608" t="s">
        <v>221</v>
      </c>
      <c r="B38" s="618"/>
      <c r="C38" s="216" t="s">
        <v>310</v>
      </c>
      <c r="D38" s="216" t="s">
        <v>310</v>
      </c>
      <c r="E38" s="277" t="s">
        <v>267</v>
      </c>
      <c r="F38" s="277" t="s">
        <v>111</v>
      </c>
      <c r="G38" s="277" t="s">
        <v>111</v>
      </c>
      <c r="H38" s="277" t="s">
        <v>265</v>
      </c>
      <c r="I38" s="277" t="s">
        <v>268</v>
      </c>
      <c r="J38" s="277" t="s">
        <v>265</v>
      </c>
      <c r="K38" s="216" t="s">
        <v>270</v>
      </c>
      <c r="L38" s="216" t="s">
        <v>270</v>
      </c>
      <c r="M38" s="217" t="s">
        <v>266</v>
      </c>
      <c r="N38" s="110"/>
      <c r="O38" s="531"/>
    </row>
    <row r="39" spans="1:15" ht="29" x14ac:dyDescent="0.35">
      <c r="A39" s="588"/>
      <c r="B39" s="619"/>
      <c r="C39" s="274" t="s">
        <v>154</v>
      </c>
      <c r="D39" s="274" t="s">
        <v>154</v>
      </c>
      <c r="E39" s="274" t="s">
        <v>222</v>
      </c>
      <c r="F39" s="274" t="s">
        <v>111</v>
      </c>
      <c r="G39" s="274" t="s">
        <v>111</v>
      </c>
      <c r="H39" s="274" t="s">
        <v>223</v>
      </c>
      <c r="I39" s="275" t="s">
        <v>224</v>
      </c>
      <c r="J39" s="274" t="s">
        <v>225</v>
      </c>
      <c r="K39" s="353" t="s">
        <v>111</v>
      </c>
      <c r="L39" s="276" t="s">
        <v>379</v>
      </c>
      <c r="M39" s="278" t="s">
        <v>226</v>
      </c>
      <c r="N39" s="110"/>
      <c r="O39" s="465"/>
    </row>
    <row r="40" spans="1:15" ht="15" thickBot="1" x14ac:dyDescent="0.4">
      <c r="A40" s="218" t="s">
        <v>176</v>
      </c>
      <c r="B40" s="369" t="s">
        <v>140</v>
      </c>
      <c r="C40" s="370" t="s">
        <v>141</v>
      </c>
      <c r="D40" s="370" t="s">
        <v>141</v>
      </c>
      <c r="E40" s="279" t="s">
        <v>142</v>
      </c>
      <c r="F40" s="279" t="s">
        <v>111</v>
      </c>
      <c r="G40" s="279" t="s">
        <v>111</v>
      </c>
      <c r="H40" s="279" t="s">
        <v>141</v>
      </c>
      <c r="I40" s="370" t="s">
        <v>141</v>
      </c>
      <c r="J40" s="371" t="s">
        <v>142</v>
      </c>
      <c r="K40" s="372" t="s">
        <v>142</v>
      </c>
      <c r="L40" s="372" t="s">
        <v>142</v>
      </c>
      <c r="M40" s="373" t="s">
        <v>141</v>
      </c>
      <c r="N40" s="110"/>
      <c r="O40" s="465"/>
    </row>
    <row r="41" spans="1:15" ht="14.5" customHeight="1" x14ac:dyDescent="0.35">
      <c r="A41" s="616" t="s">
        <v>238</v>
      </c>
      <c r="B41" s="137" t="s">
        <v>239</v>
      </c>
      <c r="C41" s="107">
        <v>2150.15</v>
      </c>
      <c r="D41" s="358">
        <f>2150.15-60</f>
        <v>2090.15</v>
      </c>
      <c r="E41" s="358">
        <v>4000</v>
      </c>
      <c r="F41" s="358" t="s">
        <v>111</v>
      </c>
      <c r="G41" s="358" t="s">
        <v>111</v>
      </c>
      <c r="H41" s="358">
        <v>1833.3000000000002</v>
      </c>
      <c r="I41" s="358">
        <v>3630</v>
      </c>
      <c r="J41" s="108">
        <v>2382.8000000000002</v>
      </c>
      <c r="K41" s="358" t="s">
        <v>111</v>
      </c>
      <c r="L41" s="358" t="s">
        <v>111</v>
      </c>
      <c r="M41" s="359">
        <v>1639.4</v>
      </c>
      <c r="N41" s="110"/>
      <c r="O41" s="465"/>
    </row>
    <row r="42" spans="1:15" x14ac:dyDescent="0.35">
      <c r="A42" s="585"/>
      <c r="B42" s="20" t="s">
        <v>240</v>
      </c>
      <c r="C42" s="112">
        <v>2533.75</v>
      </c>
      <c r="D42" s="342">
        <f>2533.75-60</f>
        <v>2473.75</v>
      </c>
      <c r="E42" s="342" t="s">
        <v>111</v>
      </c>
      <c r="F42" s="342" t="s">
        <v>111</v>
      </c>
      <c r="G42" s="342" t="s">
        <v>111</v>
      </c>
      <c r="H42" s="342">
        <v>2038.8000000000002</v>
      </c>
      <c r="I42" s="342">
        <v>3740</v>
      </c>
      <c r="J42" s="113">
        <v>2426.96</v>
      </c>
      <c r="K42" s="342" t="s">
        <v>111</v>
      </c>
      <c r="L42" s="342" t="s">
        <v>111</v>
      </c>
      <c r="M42" s="344">
        <v>1668.8</v>
      </c>
      <c r="N42" s="110"/>
      <c r="O42" s="465"/>
    </row>
    <row r="43" spans="1:15" x14ac:dyDescent="0.35">
      <c r="A43" s="585"/>
      <c r="B43" s="20" t="s">
        <v>241</v>
      </c>
      <c r="C43" s="112">
        <v>5030.5</v>
      </c>
      <c r="D43" s="342">
        <f>5030.5-60</f>
        <v>4970.5</v>
      </c>
      <c r="E43" s="342">
        <v>9560</v>
      </c>
      <c r="F43" s="342" t="s">
        <v>111</v>
      </c>
      <c r="G43" s="342" t="s">
        <v>111</v>
      </c>
      <c r="H43" s="342">
        <v>4881</v>
      </c>
      <c r="I43" s="342">
        <v>7910</v>
      </c>
      <c r="J43" s="113">
        <v>6755.56</v>
      </c>
      <c r="K43" s="342" t="s">
        <v>111</v>
      </c>
      <c r="L43" s="342" t="s">
        <v>111</v>
      </c>
      <c r="M43" s="344">
        <v>3201.6000000000004</v>
      </c>
      <c r="N43" s="110"/>
      <c r="O43" s="465"/>
    </row>
    <row r="44" spans="1:15" x14ac:dyDescent="0.35">
      <c r="A44" s="585"/>
      <c r="B44" s="20" t="s">
        <v>242</v>
      </c>
      <c r="C44" s="112">
        <v>9628.0499999999993</v>
      </c>
      <c r="D44" s="342">
        <f>C44-60</f>
        <v>9568.0499999999993</v>
      </c>
      <c r="E44" s="342" t="s">
        <v>111</v>
      </c>
      <c r="F44" s="342" t="s">
        <v>111</v>
      </c>
      <c r="G44" s="342" t="s">
        <v>111</v>
      </c>
      <c r="H44" s="342">
        <v>11750.924999999999</v>
      </c>
      <c r="I44" s="342">
        <v>16530</v>
      </c>
      <c r="J44" s="113" t="s">
        <v>111</v>
      </c>
      <c r="K44" s="342" t="s">
        <v>111</v>
      </c>
      <c r="L44" s="342" t="s">
        <v>111</v>
      </c>
      <c r="M44" s="344">
        <v>6730.7999999999993</v>
      </c>
      <c r="N44" s="110"/>
      <c r="O44" s="465"/>
    </row>
    <row r="45" spans="1:15" x14ac:dyDescent="0.35">
      <c r="A45" s="585"/>
      <c r="B45" s="20" t="s">
        <v>243</v>
      </c>
      <c r="C45" s="112">
        <v>19215.75</v>
      </c>
      <c r="D45" s="342">
        <f>C45-60</f>
        <v>19155.75</v>
      </c>
      <c r="E45" s="342" t="s">
        <v>111</v>
      </c>
      <c r="F45" s="342" t="s">
        <v>111</v>
      </c>
      <c r="G45" s="342" t="s">
        <v>111</v>
      </c>
      <c r="H45" s="342" t="s">
        <v>111</v>
      </c>
      <c r="I45" s="342" t="s">
        <v>111</v>
      </c>
      <c r="J45" s="113" t="s">
        <v>111</v>
      </c>
      <c r="K45" s="342" t="s">
        <v>111</v>
      </c>
      <c r="L45" s="342" t="s">
        <v>111</v>
      </c>
      <c r="M45" s="344" t="s">
        <v>111</v>
      </c>
      <c r="N45" s="110"/>
      <c r="O45" s="465"/>
    </row>
    <row r="46" spans="1:15" ht="15" thickBot="1" x14ac:dyDescent="0.4">
      <c r="A46" s="586"/>
      <c r="B46" s="117" t="s">
        <v>244</v>
      </c>
      <c r="C46" s="118" t="s">
        <v>111</v>
      </c>
      <c r="D46" s="345" t="s">
        <v>111</v>
      </c>
      <c r="E46" s="345" t="s">
        <v>111</v>
      </c>
      <c r="F46" s="345" t="s">
        <v>111</v>
      </c>
      <c r="G46" s="345" t="s">
        <v>111</v>
      </c>
      <c r="H46" s="345" t="s">
        <v>111</v>
      </c>
      <c r="I46" s="345">
        <v>23700</v>
      </c>
      <c r="J46" s="119" t="s">
        <v>111</v>
      </c>
      <c r="K46" s="345" t="s">
        <v>111</v>
      </c>
      <c r="L46" s="345" t="s">
        <v>111</v>
      </c>
      <c r="M46" s="346" t="s">
        <v>111</v>
      </c>
      <c r="N46" s="110"/>
      <c r="O46" s="465"/>
    </row>
    <row r="47" spans="1:15" x14ac:dyDescent="0.35">
      <c r="A47" s="616" t="s">
        <v>245</v>
      </c>
      <c r="B47" s="137" t="s">
        <v>239</v>
      </c>
      <c r="C47" s="107">
        <v>2764.35</v>
      </c>
      <c r="D47" s="358">
        <f>2764.35-60</f>
        <v>2704.35</v>
      </c>
      <c r="E47" s="358">
        <v>5300</v>
      </c>
      <c r="F47" s="358" t="s">
        <v>111</v>
      </c>
      <c r="G47" s="358" t="s">
        <v>111</v>
      </c>
      <c r="H47" s="358">
        <v>2577.6750000000002</v>
      </c>
      <c r="I47" s="358">
        <v>4070</v>
      </c>
      <c r="J47" s="108">
        <v>3505.2000000000003</v>
      </c>
      <c r="K47" s="358" t="s">
        <v>111</v>
      </c>
      <c r="L47" s="358" t="s">
        <v>111</v>
      </c>
      <c r="M47" s="359">
        <v>1869</v>
      </c>
      <c r="N47" s="110"/>
      <c r="O47" s="465"/>
    </row>
    <row r="48" spans="1:15" x14ac:dyDescent="0.35">
      <c r="A48" s="585"/>
      <c r="B48" s="20" t="s">
        <v>240</v>
      </c>
      <c r="C48" s="112">
        <v>3563.65</v>
      </c>
      <c r="D48" s="342">
        <f>3563.65-60</f>
        <v>3503.65</v>
      </c>
      <c r="E48" s="342" t="s">
        <v>111</v>
      </c>
      <c r="F48" s="342" t="s">
        <v>111</v>
      </c>
      <c r="G48" s="342" t="s">
        <v>111</v>
      </c>
      <c r="H48" s="342">
        <v>2840.1750000000002</v>
      </c>
      <c r="I48" s="342">
        <v>4550</v>
      </c>
      <c r="J48" s="113">
        <v>3549.36</v>
      </c>
      <c r="K48" s="342" t="s">
        <v>111</v>
      </c>
      <c r="L48" s="342" t="s">
        <v>111</v>
      </c>
      <c r="M48" s="344">
        <v>2284.8000000000002</v>
      </c>
      <c r="N48" s="110"/>
      <c r="O48" s="465"/>
    </row>
    <row r="49" spans="1:15" x14ac:dyDescent="0.35">
      <c r="A49" s="585"/>
      <c r="B49" s="20" t="s">
        <v>246</v>
      </c>
      <c r="C49" s="112">
        <v>6681.45</v>
      </c>
      <c r="D49" s="342">
        <f>6681.45-60</f>
        <v>6621.45</v>
      </c>
      <c r="E49" s="342">
        <v>12020</v>
      </c>
      <c r="F49" s="342" t="s">
        <v>111</v>
      </c>
      <c r="G49" s="342" t="s">
        <v>111</v>
      </c>
      <c r="H49" s="342">
        <v>6153.2999999999993</v>
      </c>
      <c r="I49" s="342">
        <v>8740</v>
      </c>
      <c r="J49" s="113">
        <v>7293.76</v>
      </c>
      <c r="K49" s="342" t="s">
        <v>111</v>
      </c>
      <c r="L49" s="342" t="s">
        <v>111</v>
      </c>
      <c r="M49" s="344">
        <v>4276.7999999999993</v>
      </c>
      <c r="N49" s="110"/>
      <c r="O49" s="465"/>
    </row>
    <row r="50" spans="1:15" x14ac:dyDescent="0.35">
      <c r="A50" s="585"/>
      <c r="B50" s="20" t="s">
        <v>247</v>
      </c>
      <c r="C50" s="112">
        <v>13095.1</v>
      </c>
      <c r="D50" s="342">
        <f>C50-60</f>
        <v>13035.1</v>
      </c>
      <c r="E50" s="342" t="s">
        <v>111</v>
      </c>
      <c r="F50" s="342" t="s">
        <v>111</v>
      </c>
      <c r="G50" s="342" t="s">
        <v>111</v>
      </c>
      <c r="H50" s="342">
        <v>15315</v>
      </c>
      <c r="I50" s="342">
        <v>20290</v>
      </c>
      <c r="J50" s="113" t="s">
        <v>111</v>
      </c>
      <c r="K50" s="342" t="s">
        <v>111</v>
      </c>
      <c r="L50" s="342" t="s">
        <v>111</v>
      </c>
      <c r="M50" s="344">
        <v>9211.2000000000007</v>
      </c>
      <c r="N50" s="110"/>
      <c r="O50" s="465"/>
    </row>
    <row r="51" spans="1:15" x14ac:dyDescent="0.35">
      <c r="A51" s="585"/>
      <c r="B51" s="20" t="s">
        <v>248</v>
      </c>
      <c r="C51" s="112">
        <v>24826.1</v>
      </c>
      <c r="D51" s="342">
        <f>C51-60</f>
        <v>24766.1</v>
      </c>
      <c r="E51" s="342" t="s">
        <v>111</v>
      </c>
      <c r="F51" s="342" t="s">
        <v>111</v>
      </c>
      <c r="G51" s="342" t="s">
        <v>111</v>
      </c>
      <c r="H51" s="342" t="s">
        <v>111</v>
      </c>
      <c r="I51" s="342" t="s">
        <v>111</v>
      </c>
      <c r="J51" s="113" t="s">
        <v>111</v>
      </c>
      <c r="K51" s="342" t="s">
        <v>111</v>
      </c>
      <c r="L51" s="342" t="s">
        <v>111</v>
      </c>
      <c r="M51" s="344" t="s">
        <v>111</v>
      </c>
      <c r="N51" s="110"/>
      <c r="O51" s="465"/>
    </row>
    <row r="52" spans="1:15" ht="15" thickBot="1" x14ac:dyDescent="0.4">
      <c r="A52" s="586"/>
      <c r="B52" s="117" t="s">
        <v>249</v>
      </c>
      <c r="C52" s="118" t="s">
        <v>111</v>
      </c>
      <c r="D52" s="345" t="s">
        <v>111</v>
      </c>
      <c r="E52" s="345" t="s">
        <v>111</v>
      </c>
      <c r="F52" s="345" t="s">
        <v>111</v>
      </c>
      <c r="G52" s="345" t="s">
        <v>111</v>
      </c>
      <c r="H52" s="345" t="s">
        <v>111</v>
      </c>
      <c r="I52" s="345">
        <v>30330</v>
      </c>
      <c r="J52" s="119" t="s">
        <v>111</v>
      </c>
      <c r="K52" s="345" t="s">
        <v>111</v>
      </c>
      <c r="L52" s="345" t="s">
        <v>111</v>
      </c>
      <c r="M52" s="346" t="s">
        <v>111</v>
      </c>
      <c r="N52" s="110"/>
      <c r="O52" s="465"/>
    </row>
    <row r="53" spans="1:15" x14ac:dyDescent="0.35">
      <c r="A53" s="616" t="s">
        <v>250</v>
      </c>
      <c r="B53" s="137" t="s">
        <v>239</v>
      </c>
      <c r="C53" s="107">
        <v>4191.2</v>
      </c>
      <c r="D53" s="358">
        <f>4191.2-60</f>
        <v>4131.2</v>
      </c>
      <c r="E53" s="358">
        <v>8040</v>
      </c>
      <c r="F53" s="358" t="s">
        <v>111</v>
      </c>
      <c r="G53" s="358" t="s">
        <v>111</v>
      </c>
      <c r="H53" s="358">
        <v>3649.7999999999997</v>
      </c>
      <c r="I53" s="358">
        <v>5750</v>
      </c>
      <c r="J53" s="108">
        <v>5302.880000000001</v>
      </c>
      <c r="K53" s="358" t="s">
        <v>111</v>
      </c>
      <c r="L53" s="358" t="s">
        <v>111</v>
      </c>
      <c r="M53" s="359">
        <v>3518.2000000000003</v>
      </c>
      <c r="N53" s="110"/>
      <c r="O53" s="465"/>
    </row>
    <row r="54" spans="1:15" x14ac:dyDescent="0.35">
      <c r="A54" s="585"/>
      <c r="B54" s="20" t="s">
        <v>240</v>
      </c>
      <c r="C54" s="112">
        <v>5421.2</v>
      </c>
      <c r="D54" s="342">
        <f>5421.2-60</f>
        <v>5361.2</v>
      </c>
      <c r="E54" s="342" t="s">
        <v>111</v>
      </c>
      <c r="F54" s="342" t="s">
        <v>111</v>
      </c>
      <c r="G54" s="342" t="s">
        <v>111</v>
      </c>
      <c r="H54" s="342">
        <v>4261.5</v>
      </c>
      <c r="I54" s="342">
        <v>6410</v>
      </c>
      <c r="J54" s="113">
        <v>5452.84</v>
      </c>
      <c r="K54" s="342" t="s">
        <v>111</v>
      </c>
      <c r="L54" s="342" t="s">
        <v>111</v>
      </c>
      <c r="M54" s="344">
        <v>3791.2000000000003</v>
      </c>
      <c r="N54" s="110"/>
      <c r="O54" s="465"/>
    </row>
    <row r="55" spans="1:15" x14ac:dyDescent="0.35">
      <c r="A55" s="585"/>
      <c r="B55" s="20" t="s">
        <v>251</v>
      </c>
      <c r="C55" s="112">
        <v>9208.4</v>
      </c>
      <c r="D55" s="342">
        <f>9208.4-60</f>
        <v>9148.4</v>
      </c>
      <c r="E55" s="342">
        <v>16540</v>
      </c>
      <c r="F55" s="342" t="s">
        <v>111</v>
      </c>
      <c r="G55" s="342" t="s">
        <v>111</v>
      </c>
      <c r="H55" s="342">
        <v>7857.2999999999993</v>
      </c>
      <c r="I55" s="342">
        <v>11450</v>
      </c>
      <c r="J55" s="113">
        <v>9476.92</v>
      </c>
      <c r="K55" s="342" t="s">
        <v>111</v>
      </c>
      <c r="L55" s="342" t="s">
        <v>111</v>
      </c>
      <c r="M55" s="344">
        <v>5493.6</v>
      </c>
      <c r="N55" s="110"/>
      <c r="O55" s="465"/>
    </row>
    <row r="56" spans="1:15" x14ac:dyDescent="0.35">
      <c r="A56" s="585"/>
      <c r="B56" s="20" t="s">
        <v>252</v>
      </c>
      <c r="C56" s="112">
        <v>17893.55</v>
      </c>
      <c r="D56" s="342">
        <f>C56-60</f>
        <v>17833.55</v>
      </c>
      <c r="E56" s="342" t="s">
        <v>111</v>
      </c>
      <c r="F56" s="342" t="s">
        <v>111</v>
      </c>
      <c r="G56" s="342" t="s">
        <v>111</v>
      </c>
      <c r="H56" s="342">
        <v>19425.375</v>
      </c>
      <c r="I56" s="342">
        <v>25760</v>
      </c>
      <c r="J56" s="113" t="s">
        <v>111</v>
      </c>
      <c r="K56" s="342" t="s">
        <v>111</v>
      </c>
      <c r="L56" s="342" t="s">
        <v>111</v>
      </c>
      <c r="M56" s="344">
        <v>12601.199999999999</v>
      </c>
      <c r="N56" s="110"/>
      <c r="O56" s="465"/>
    </row>
    <row r="57" spans="1:15" x14ac:dyDescent="0.35">
      <c r="A57" s="585"/>
      <c r="B57" s="20" t="s">
        <v>253</v>
      </c>
      <c r="C57" s="112">
        <v>32625.85</v>
      </c>
      <c r="D57" s="342">
        <f>C57-60</f>
        <v>32565.85</v>
      </c>
      <c r="E57" s="342" t="s">
        <v>111</v>
      </c>
      <c r="F57" s="342" t="s">
        <v>111</v>
      </c>
      <c r="G57" s="342" t="s">
        <v>111</v>
      </c>
      <c r="H57" s="342" t="s">
        <v>111</v>
      </c>
      <c r="I57" s="342" t="s">
        <v>111</v>
      </c>
      <c r="J57" s="113" t="s">
        <v>111</v>
      </c>
      <c r="K57" s="342" t="s">
        <v>111</v>
      </c>
      <c r="L57" s="342" t="s">
        <v>111</v>
      </c>
      <c r="M57" s="344" t="s">
        <v>111</v>
      </c>
      <c r="N57" s="110"/>
      <c r="O57" s="465"/>
    </row>
    <row r="58" spans="1:15" ht="15" thickBot="1" x14ac:dyDescent="0.4">
      <c r="A58" s="586"/>
      <c r="B58" s="117" t="s">
        <v>254</v>
      </c>
      <c r="C58" s="118" t="s">
        <v>111</v>
      </c>
      <c r="D58" s="345" t="s">
        <v>111</v>
      </c>
      <c r="E58" s="345" t="s">
        <v>111</v>
      </c>
      <c r="F58" s="345" t="s">
        <v>111</v>
      </c>
      <c r="G58" s="345" t="s">
        <v>111</v>
      </c>
      <c r="H58" s="345" t="s">
        <v>111</v>
      </c>
      <c r="I58" s="345">
        <v>38020</v>
      </c>
      <c r="J58" s="119" t="s">
        <v>111</v>
      </c>
      <c r="K58" s="345" t="s">
        <v>111</v>
      </c>
      <c r="L58" s="345" t="s">
        <v>111</v>
      </c>
      <c r="M58" s="346" t="s">
        <v>111</v>
      </c>
      <c r="N58" s="110"/>
      <c r="O58" s="465"/>
    </row>
    <row r="59" spans="1:15" x14ac:dyDescent="0.35">
      <c r="A59" s="616" t="s">
        <v>255</v>
      </c>
      <c r="B59" s="137" t="s">
        <v>239</v>
      </c>
      <c r="C59" s="107">
        <v>6371.85</v>
      </c>
      <c r="D59" s="358">
        <f>6371.85-60</f>
        <v>6311.85</v>
      </c>
      <c r="E59" s="358">
        <v>13260</v>
      </c>
      <c r="F59" s="358" t="s">
        <v>111</v>
      </c>
      <c r="G59" s="358" t="s">
        <v>111</v>
      </c>
      <c r="H59" s="358">
        <v>5814.5249999999996</v>
      </c>
      <c r="I59" s="358">
        <v>9160</v>
      </c>
      <c r="J59" s="108">
        <v>8094.1600000000008</v>
      </c>
      <c r="K59" s="358" t="s">
        <v>111</v>
      </c>
      <c r="L59" s="358" t="s">
        <v>111</v>
      </c>
      <c r="M59" s="359">
        <v>5202.4000000000005</v>
      </c>
      <c r="N59" s="110"/>
      <c r="O59" s="465"/>
    </row>
    <row r="60" spans="1:15" x14ac:dyDescent="0.35">
      <c r="A60" s="585"/>
      <c r="B60" s="20" t="s">
        <v>240</v>
      </c>
      <c r="C60" s="112">
        <v>8615.1</v>
      </c>
      <c r="D60" s="342">
        <f>8615.1-60</f>
        <v>8555.1</v>
      </c>
      <c r="E60" s="342" t="s">
        <v>111</v>
      </c>
      <c r="F60" s="342" t="s">
        <v>111</v>
      </c>
      <c r="G60" s="342" t="s">
        <v>111</v>
      </c>
      <c r="H60" s="342">
        <v>7103.0999999999995</v>
      </c>
      <c r="I60" s="342">
        <v>10250</v>
      </c>
      <c r="J60" s="113">
        <v>8289.2000000000007</v>
      </c>
      <c r="K60" s="342" t="s">
        <v>111</v>
      </c>
      <c r="L60" s="342" t="s">
        <v>111</v>
      </c>
      <c r="M60" s="344">
        <v>6407.8000000000011</v>
      </c>
      <c r="N60" s="110"/>
      <c r="O60" s="465"/>
    </row>
    <row r="61" spans="1:15" x14ac:dyDescent="0.35">
      <c r="A61" s="585"/>
      <c r="B61" s="20" t="s">
        <v>256</v>
      </c>
      <c r="C61" s="112">
        <v>12317.95</v>
      </c>
      <c r="D61" s="342">
        <f>12317.95-60</f>
        <v>12257.95</v>
      </c>
      <c r="E61" s="342">
        <v>21990</v>
      </c>
      <c r="F61" s="342" t="s">
        <v>111</v>
      </c>
      <c r="G61" s="342" t="s">
        <v>111</v>
      </c>
      <c r="H61" s="342">
        <v>10077</v>
      </c>
      <c r="I61" s="342">
        <v>14260</v>
      </c>
      <c r="J61" s="113">
        <v>13144.04</v>
      </c>
      <c r="K61" s="342" t="s">
        <v>111</v>
      </c>
      <c r="L61" s="342" t="s">
        <v>111</v>
      </c>
      <c r="M61" s="344">
        <v>7489.2000000000007</v>
      </c>
      <c r="N61" s="110"/>
      <c r="O61" s="465"/>
    </row>
    <row r="62" spans="1:15" x14ac:dyDescent="0.35">
      <c r="A62" s="585"/>
      <c r="B62" s="20" t="s">
        <v>257</v>
      </c>
      <c r="C62" s="112">
        <v>24709.5</v>
      </c>
      <c r="D62" s="342">
        <f>24709.5-60</f>
        <v>24649.5</v>
      </c>
      <c r="E62" s="342" t="s">
        <v>111</v>
      </c>
      <c r="F62" s="342" t="s">
        <v>111</v>
      </c>
      <c r="G62" s="342" t="s">
        <v>111</v>
      </c>
      <c r="H62" s="342">
        <v>25092</v>
      </c>
      <c r="I62" s="342">
        <v>34590</v>
      </c>
      <c r="J62" s="113">
        <v>31804.400000000001</v>
      </c>
      <c r="K62" s="342" t="s">
        <v>111</v>
      </c>
      <c r="L62" s="342" t="s">
        <v>111</v>
      </c>
      <c r="M62" s="344">
        <v>17594.400000000001</v>
      </c>
      <c r="N62" s="110"/>
      <c r="O62" s="465"/>
    </row>
    <row r="63" spans="1:15" x14ac:dyDescent="0.35">
      <c r="A63" s="585"/>
      <c r="B63" s="20" t="s">
        <v>258</v>
      </c>
      <c r="C63" s="112">
        <v>43746.3</v>
      </c>
      <c r="D63" s="342">
        <f>43746.3-60</f>
        <v>43686.3</v>
      </c>
      <c r="E63" s="342" t="s">
        <v>111</v>
      </c>
      <c r="F63" s="342" t="s">
        <v>111</v>
      </c>
      <c r="G63" s="342" t="s">
        <v>111</v>
      </c>
      <c r="H63" s="342" t="s">
        <v>111</v>
      </c>
      <c r="I63" s="342" t="s">
        <v>111</v>
      </c>
      <c r="J63" s="113" t="s">
        <v>111</v>
      </c>
      <c r="K63" s="342" t="s">
        <v>111</v>
      </c>
      <c r="L63" s="342" t="s">
        <v>111</v>
      </c>
      <c r="M63" s="344" t="s">
        <v>111</v>
      </c>
      <c r="N63" s="110"/>
      <c r="O63" s="465"/>
    </row>
    <row r="64" spans="1:15" ht="15" thickBot="1" x14ac:dyDescent="0.4">
      <c r="A64" s="586"/>
      <c r="B64" s="117" t="s">
        <v>259</v>
      </c>
      <c r="C64" s="118" t="s">
        <v>111</v>
      </c>
      <c r="D64" s="345" t="s">
        <v>111</v>
      </c>
      <c r="E64" s="345" t="s">
        <v>111</v>
      </c>
      <c r="F64" s="345" t="s">
        <v>111</v>
      </c>
      <c r="G64" s="345" t="s">
        <v>111</v>
      </c>
      <c r="H64" s="345" t="s">
        <v>111</v>
      </c>
      <c r="I64" s="345">
        <v>50330</v>
      </c>
      <c r="J64" s="119" t="s">
        <v>111</v>
      </c>
      <c r="K64" s="345" t="s">
        <v>111</v>
      </c>
      <c r="L64" s="345" t="s">
        <v>111</v>
      </c>
      <c r="M64" s="346" t="s">
        <v>111</v>
      </c>
      <c r="N64" s="110"/>
      <c r="O64" s="465"/>
    </row>
    <row r="65" spans="1:15" x14ac:dyDescent="0.35">
      <c r="A65" s="616" t="s">
        <v>260</v>
      </c>
      <c r="B65" s="137" t="s">
        <v>239</v>
      </c>
      <c r="C65" s="107">
        <v>10684.65</v>
      </c>
      <c r="D65" s="358">
        <f>10684.65-60</f>
        <v>10624.65</v>
      </c>
      <c r="E65" s="358">
        <v>23300</v>
      </c>
      <c r="F65" s="358" t="s">
        <v>111</v>
      </c>
      <c r="G65" s="358" t="s">
        <v>111</v>
      </c>
      <c r="H65" s="358">
        <v>9940.0499999999993</v>
      </c>
      <c r="I65" s="358">
        <v>15290</v>
      </c>
      <c r="J65" s="108">
        <v>13405.32</v>
      </c>
      <c r="K65" s="358" t="s">
        <v>111</v>
      </c>
      <c r="L65" s="358" t="s">
        <v>111</v>
      </c>
      <c r="M65" s="359">
        <v>8964.2000000000007</v>
      </c>
      <c r="N65" s="110"/>
      <c r="O65" s="465"/>
    </row>
    <row r="66" spans="1:15" x14ac:dyDescent="0.35">
      <c r="A66" s="585"/>
      <c r="B66" s="20" t="s">
        <v>240</v>
      </c>
      <c r="C66" s="112">
        <v>14608.95</v>
      </c>
      <c r="D66" s="342">
        <f>14608.95-60</f>
        <v>14548.95</v>
      </c>
      <c r="E66" s="342" t="s">
        <v>111</v>
      </c>
      <c r="F66" s="342" t="s">
        <v>111</v>
      </c>
      <c r="G66" s="342" t="s">
        <v>111</v>
      </c>
      <c r="H66" s="342">
        <v>11544</v>
      </c>
      <c r="I66" s="342">
        <v>17040</v>
      </c>
      <c r="J66" s="113">
        <v>14183.640000000001</v>
      </c>
      <c r="K66" s="342" t="s">
        <v>111</v>
      </c>
      <c r="L66" s="342" t="s">
        <v>111</v>
      </c>
      <c r="M66" s="344">
        <v>10879.4</v>
      </c>
      <c r="N66" s="110"/>
      <c r="O66" s="465"/>
    </row>
    <row r="67" spans="1:15" x14ac:dyDescent="0.35">
      <c r="A67" s="585"/>
      <c r="B67" s="20" t="s">
        <v>261</v>
      </c>
      <c r="C67" s="112">
        <v>17625.45</v>
      </c>
      <c r="D67" s="342">
        <f>17625.45-60</f>
        <v>17565.45</v>
      </c>
      <c r="E67" s="342">
        <v>30000</v>
      </c>
      <c r="F67" s="342" t="s">
        <v>111</v>
      </c>
      <c r="G67" s="342" t="s">
        <v>111</v>
      </c>
      <c r="H67" s="342">
        <v>13735.5</v>
      </c>
      <c r="I67" s="342">
        <v>19420</v>
      </c>
      <c r="J67" s="113">
        <v>17004.36</v>
      </c>
      <c r="K67" s="342" t="s">
        <v>111</v>
      </c>
      <c r="L67" s="342" t="s">
        <v>111</v>
      </c>
      <c r="M67" s="344">
        <v>10849.2</v>
      </c>
      <c r="N67" s="110"/>
      <c r="O67" s="465"/>
    </row>
    <row r="68" spans="1:15" x14ac:dyDescent="0.35">
      <c r="A68" s="585"/>
      <c r="B68" s="20" t="s">
        <v>262</v>
      </c>
      <c r="C68" s="112">
        <v>34872.1</v>
      </c>
      <c r="D68" s="342">
        <f>34872.1-60</f>
        <v>34812.1</v>
      </c>
      <c r="E68" s="342" t="s">
        <v>111</v>
      </c>
      <c r="F68" s="342" t="s">
        <v>111</v>
      </c>
      <c r="G68" s="342" t="s">
        <v>111</v>
      </c>
      <c r="H68" s="342">
        <v>32272.800000000003</v>
      </c>
      <c r="I68" s="342">
        <v>43900</v>
      </c>
      <c r="J68" s="113">
        <v>44124.12</v>
      </c>
      <c r="K68" s="342" t="s">
        <v>111</v>
      </c>
      <c r="L68" s="342" t="s">
        <v>111</v>
      </c>
      <c r="M68" s="344">
        <v>23886</v>
      </c>
      <c r="N68" s="110"/>
      <c r="O68" s="465"/>
    </row>
    <row r="69" spans="1:15" x14ac:dyDescent="0.35">
      <c r="A69" s="585"/>
      <c r="B69" s="20" t="s">
        <v>263</v>
      </c>
      <c r="C69" s="112">
        <v>59825.7</v>
      </c>
      <c r="D69" s="342">
        <f>59825.7-60</f>
        <v>59765.7</v>
      </c>
      <c r="E69" s="342" t="s">
        <v>111</v>
      </c>
      <c r="F69" s="342" t="s">
        <v>111</v>
      </c>
      <c r="G69" s="342" t="s">
        <v>111</v>
      </c>
      <c r="H69" s="342" t="s">
        <v>111</v>
      </c>
      <c r="I69" s="342" t="s">
        <v>111</v>
      </c>
      <c r="J69" s="113" t="s">
        <v>111</v>
      </c>
      <c r="K69" s="342" t="s">
        <v>111</v>
      </c>
      <c r="L69" s="342" t="s">
        <v>111</v>
      </c>
      <c r="M69" s="344" t="s">
        <v>111</v>
      </c>
      <c r="N69" s="110"/>
      <c r="O69" s="465"/>
    </row>
    <row r="70" spans="1:15" ht="15" thickBot="1" x14ac:dyDescent="0.4">
      <c r="A70" s="586"/>
      <c r="B70" s="117" t="s">
        <v>264</v>
      </c>
      <c r="C70" s="118" t="s">
        <v>111</v>
      </c>
      <c r="D70" s="345" t="s">
        <v>111</v>
      </c>
      <c r="E70" s="345" t="s">
        <v>111</v>
      </c>
      <c r="F70" s="345" t="s">
        <v>111</v>
      </c>
      <c r="G70" s="345" t="s">
        <v>111</v>
      </c>
      <c r="H70" s="345" t="s">
        <v>111</v>
      </c>
      <c r="I70" s="345">
        <v>63830</v>
      </c>
      <c r="J70" s="119" t="s">
        <v>111</v>
      </c>
      <c r="K70" s="345" t="s">
        <v>111</v>
      </c>
      <c r="L70" s="345" t="s">
        <v>111</v>
      </c>
      <c r="M70" s="346" t="s">
        <v>111</v>
      </c>
      <c r="N70" s="110"/>
      <c r="O70" s="465"/>
    </row>
    <row r="71" spans="1:15" x14ac:dyDescent="0.35">
      <c r="C71" s="163"/>
      <c r="D71" s="163"/>
      <c r="E71" s="163"/>
      <c r="H71" s="163"/>
      <c r="I71" s="163"/>
      <c r="J71" s="163"/>
      <c r="K71" s="163"/>
      <c r="L71" s="163"/>
      <c r="M71" s="163"/>
      <c r="O71" s="465"/>
    </row>
    <row r="72" spans="1:15" x14ac:dyDescent="0.35">
      <c r="C72" s="163"/>
      <c r="D72" s="163"/>
      <c r="E72" s="163"/>
      <c r="H72" s="163"/>
      <c r="I72" s="163"/>
      <c r="J72" s="163"/>
      <c r="K72" s="163"/>
      <c r="L72" s="163"/>
      <c r="M72" s="163"/>
      <c r="O72" s="465"/>
    </row>
    <row r="73" spans="1:15" x14ac:dyDescent="0.35">
      <c r="A73" s="490" t="s">
        <v>160</v>
      </c>
      <c r="B73" s="490"/>
      <c r="C73" s="224"/>
      <c r="D73" s="224"/>
      <c r="E73" s="96"/>
      <c r="F73"/>
      <c r="G73"/>
      <c r="H73" s="96"/>
      <c r="I73" s="96"/>
      <c r="J73" s="219"/>
      <c r="K73" s="96" t="s">
        <v>128</v>
      </c>
      <c r="L73" s="46" t="s">
        <v>128</v>
      </c>
      <c r="M73" s="96"/>
      <c r="N73"/>
      <c r="O73" s="465"/>
    </row>
    <row r="74" spans="1:15" x14ac:dyDescent="0.35">
      <c r="A74" s="635" t="s">
        <v>272</v>
      </c>
      <c r="B74" s="635"/>
      <c r="C74" s="225">
        <v>5000000</v>
      </c>
      <c r="D74" s="225">
        <v>5000000</v>
      </c>
      <c r="E74" s="223" t="s">
        <v>273</v>
      </c>
      <c r="F74" s="126"/>
      <c r="G74" s="126"/>
      <c r="H74" s="209">
        <v>2000000</v>
      </c>
      <c r="I74" s="208"/>
      <c r="J74" s="160"/>
      <c r="K74" s="96" t="s">
        <v>211</v>
      </c>
      <c r="L74" s="46" t="s">
        <v>211</v>
      </c>
      <c r="M74" s="96"/>
      <c r="N74"/>
      <c r="O74" s="465"/>
    </row>
    <row r="75" spans="1:15" ht="15" thickBot="1" x14ac:dyDescent="0.4">
      <c r="A75" s="614"/>
      <c r="B75" s="614"/>
      <c r="C75" s="166"/>
      <c r="D75" s="166"/>
      <c r="E75" s="166"/>
      <c r="F75" s="127"/>
      <c r="G75" s="127"/>
      <c r="H75" s="166"/>
      <c r="I75" s="166"/>
      <c r="J75" s="96"/>
      <c r="K75" s="96"/>
      <c r="L75" s="96"/>
      <c r="M75" s="96"/>
      <c r="N75"/>
      <c r="O75" s="465"/>
    </row>
    <row r="76" spans="1:15" ht="49" customHeight="1" x14ac:dyDescent="0.35">
      <c r="A76" s="592"/>
      <c r="B76" s="615"/>
      <c r="C76" s="328" t="s">
        <v>385</v>
      </c>
      <c r="D76" s="328" t="s">
        <v>385</v>
      </c>
      <c r="E76" s="128" t="s">
        <v>228</v>
      </c>
      <c r="F76" s="128" t="s">
        <v>354</v>
      </c>
      <c r="G76" s="128" t="s">
        <v>354</v>
      </c>
      <c r="H76" s="128" t="s">
        <v>229</v>
      </c>
      <c r="I76" s="128" t="s">
        <v>230</v>
      </c>
      <c r="J76" s="128" t="s">
        <v>231</v>
      </c>
      <c r="K76" s="167" t="s">
        <v>232</v>
      </c>
      <c r="L76" s="128" t="s">
        <v>334</v>
      </c>
      <c r="M76" s="168" t="s">
        <v>233</v>
      </c>
      <c r="O76" s="465"/>
    </row>
    <row r="77" spans="1:15" ht="30" customHeight="1" x14ac:dyDescent="0.35">
      <c r="A77" s="594" t="s">
        <v>213</v>
      </c>
      <c r="B77" s="613"/>
      <c r="C77" s="130" t="s">
        <v>311</v>
      </c>
      <c r="D77" s="130" t="s">
        <v>311</v>
      </c>
      <c r="E77" s="130" t="s">
        <v>235</v>
      </c>
      <c r="F77" s="130" t="s">
        <v>353</v>
      </c>
      <c r="G77" s="130" t="s">
        <v>353</v>
      </c>
      <c r="H77" s="130" t="s">
        <v>234</v>
      </c>
      <c r="I77" s="130" t="s">
        <v>236</v>
      </c>
      <c r="J77" s="159" t="s">
        <v>234</v>
      </c>
      <c r="K77" s="194" t="s">
        <v>237</v>
      </c>
      <c r="L77" s="194" t="s">
        <v>237</v>
      </c>
      <c r="M77" s="195" t="s">
        <v>234</v>
      </c>
      <c r="O77" s="465"/>
    </row>
    <row r="78" spans="1:15" ht="15.75" customHeight="1" thickBot="1" x14ac:dyDescent="0.4">
      <c r="A78" s="132" t="s">
        <v>176</v>
      </c>
      <c r="B78" s="133" t="s">
        <v>140</v>
      </c>
      <c r="C78" s="134" t="s">
        <v>141</v>
      </c>
      <c r="D78" s="134" t="s">
        <v>141</v>
      </c>
      <c r="E78" s="134" t="s">
        <v>142</v>
      </c>
      <c r="F78" s="134" t="s">
        <v>141</v>
      </c>
      <c r="G78" s="134" t="s">
        <v>141</v>
      </c>
      <c r="H78" s="136" t="s">
        <v>141</v>
      </c>
      <c r="I78" s="136" t="s">
        <v>141</v>
      </c>
      <c r="J78" s="136" t="s">
        <v>142</v>
      </c>
      <c r="K78" s="171" t="s">
        <v>142</v>
      </c>
      <c r="L78" s="171" t="s">
        <v>142</v>
      </c>
      <c r="M78" s="172" t="s">
        <v>141</v>
      </c>
      <c r="O78" s="465"/>
    </row>
    <row r="79" spans="1:15" x14ac:dyDescent="0.35">
      <c r="A79" s="611" t="s">
        <v>238</v>
      </c>
      <c r="B79" s="137" t="s">
        <v>239</v>
      </c>
      <c r="C79" s="107">
        <v>888.45</v>
      </c>
      <c r="D79" s="358">
        <f>888.45-60</f>
        <v>828.45</v>
      </c>
      <c r="E79" s="358">
        <v>1900</v>
      </c>
      <c r="F79" s="358" t="s">
        <v>111</v>
      </c>
      <c r="G79" s="358" t="s">
        <v>111</v>
      </c>
      <c r="H79" s="358">
        <v>934.875</v>
      </c>
      <c r="I79" s="358">
        <f>I112-2820</f>
        <v>1460</v>
      </c>
      <c r="J79" s="108">
        <v>1219.92</v>
      </c>
      <c r="K79" s="358" t="s">
        <v>111</v>
      </c>
      <c r="L79" s="358" t="s">
        <v>111</v>
      </c>
      <c r="M79" s="359">
        <v>859.60000000000014</v>
      </c>
      <c r="N79" s="110"/>
      <c r="O79" s="465"/>
    </row>
    <row r="80" spans="1:15" x14ac:dyDescent="0.35">
      <c r="A80" s="587"/>
      <c r="B80" s="20" t="s">
        <v>240</v>
      </c>
      <c r="C80" s="112">
        <v>958.3</v>
      </c>
      <c r="D80" s="342">
        <f>958.3-60</f>
        <v>898.3</v>
      </c>
      <c r="E80" s="342" t="s">
        <v>111</v>
      </c>
      <c r="F80" s="342" t="s">
        <v>111</v>
      </c>
      <c r="G80" s="342" t="s">
        <v>111</v>
      </c>
      <c r="H80" s="342">
        <v>934.875</v>
      </c>
      <c r="I80" s="342">
        <f>I113-2880</f>
        <v>1510</v>
      </c>
      <c r="J80" s="113">
        <v>1219.92</v>
      </c>
      <c r="K80" s="342">
        <v>1078.8</v>
      </c>
      <c r="L80" s="342">
        <v>1078.8</v>
      </c>
      <c r="M80" s="344">
        <v>861</v>
      </c>
      <c r="N80" s="110"/>
      <c r="O80" s="465"/>
    </row>
    <row r="81" spans="1:15" x14ac:dyDescent="0.35">
      <c r="A81" s="587"/>
      <c r="B81" s="20" t="s">
        <v>241</v>
      </c>
      <c r="C81" s="112">
        <v>1812.95</v>
      </c>
      <c r="D81" s="342">
        <f>1812.95-60</f>
        <v>1752.95</v>
      </c>
      <c r="E81" s="342">
        <v>3650</v>
      </c>
      <c r="F81" s="342" t="s">
        <v>111</v>
      </c>
      <c r="G81" s="342" t="s">
        <v>111</v>
      </c>
      <c r="H81" s="342">
        <v>1704.4499999999998</v>
      </c>
      <c r="I81" s="342">
        <f>I114-5300</f>
        <v>3090</v>
      </c>
      <c r="J81" s="113">
        <v>2723.2000000000003</v>
      </c>
      <c r="K81" s="342">
        <v>2296.1</v>
      </c>
      <c r="L81" s="342">
        <f>K81*0.85</f>
        <v>1951.6849999999999</v>
      </c>
      <c r="M81" s="344">
        <v>1354.8</v>
      </c>
      <c r="N81" s="110"/>
      <c r="O81" s="465"/>
    </row>
    <row r="82" spans="1:15" x14ac:dyDescent="0.35">
      <c r="A82" s="587"/>
      <c r="B82" s="20" t="s">
        <v>242</v>
      </c>
      <c r="C82" s="112">
        <v>3664.95</v>
      </c>
      <c r="D82" s="342">
        <f>C82-60</f>
        <v>3604.95</v>
      </c>
      <c r="E82" s="342" t="s">
        <v>111</v>
      </c>
      <c r="F82" s="342" t="s">
        <v>111</v>
      </c>
      <c r="G82" s="342" t="s">
        <v>111</v>
      </c>
      <c r="H82" s="342">
        <v>5195.625</v>
      </c>
      <c r="I82" s="342">
        <f>I115-8020</f>
        <v>7840</v>
      </c>
      <c r="J82" s="113" t="s">
        <v>111</v>
      </c>
      <c r="K82" s="342">
        <v>5717.1</v>
      </c>
      <c r="L82" s="342">
        <f>K82*0.85</f>
        <v>4859.5349999999999</v>
      </c>
      <c r="M82" s="344">
        <v>3512.3999999999996</v>
      </c>
      <c r="N82" s="110"/>
      <c r="O82" s="465"/>
    </row>
    <row r="83" spans="1:15" x14ac:dyDescent="0.35">
      <c r="A83" s="587"/>
      <c r="B83" s="20" t="s">
        <v>243</v>
      </c>
      <c r="C83" s="112">
        <v>9469.2000000000007</v>
      </c>
      <c r="D83" s="471">
        <f>C83-60</f>
        <v>9409.2000000000007</v>
      </c>
      <c r="E83" s="342" t="s">
        <v>111</v>
      </c>
      <c r="F83" s="342">
        <v>8071</v>
      </c>
      <c r="G83" s="472">
        <f>8071/0.8*0.85</f>
        <v>8575.4375</v>
      </c>
      <c r="H83" s="342" t="s">
        <v>111</v>
      </c>
      <c r="I83" s="342" t="s">
        <v>111</v>
      </c>
      <c r="J83" s="113" t="s">
        <v>111</v>
      </c>
      <c r="K83" s="342" t="s">
        <v>111</v>
      </c>
      <c r="L83" s="342" t="s">
        <v>111</v>
      </c>
      <c r="M83" s="344" t="s">
        <v>111</v>
      </c>
      <c r="N83" s="110"/>
      <c r="O83" s="465"/>
    </row>
    <row r="84" spans="1:15" ht="15" thickBot="1" x14ac:dyDescent="0.4">
      <c r="A84" s="612"/>
      <c r="B84" s="117" t="s">
        <v>244</v>
      </c>
      <c r="C84" s="118" t="s">
        <v>111</v>
      </c>
      <c r="D84" s="345" t="s">
        <v>111</v>
      </c>
      <c r="E84" s="345" t="s">
        <v>111</v>
      </c>
      <c r="F84" s="345" t="s">
        <v>111</v>
      </c>
      <c r="G84" s="345" t="s">
        <v>111</v>
      </c>
      <c r="H84" s="345" t="s">
        <v>111</v>
      </c>
      <c r="I84" s="345">
        <f>I117-8880</f>
        <v>13860</v>
      </c>
      <c r="J84" s="119" t="s">
        <v>111</v>
      </c>
      <c r="K84" s="345">
        <v>11220.7</v>
      </c>
      <c r="L84" s="345">
        <f>K84*0.85</f>
        <v>9537.5950000000012</v>
      </c>
      <c r="M84" s="346" t="s">
        <v>111</v>
      </c>
      <c r="N84" s="110"/>
      <c r="O84" s="465"/>
    </row>
    <row r="85" spans="1:15" x14ac:dyDescent="0.35">
      <c r="A85" s="611" t="s">
        <v>245</v>
      </c>
      <c r="B85" s="137" t="s">
        <v>239</v>
      </c>
      <c r="C85" s="107">
        <v>1222.55</v>
      </c>
      <c r="D85" s="358">
        <f>1222.55-60</f>
        <v>1162.55</v>
      </c>
      <c r="E85" s="358">
        <v>2450</v>
      </c>
      <c r="F85" s="358" t="s">
        <v>111</v>
      </c>
      <c r="G85" s="358" t="s">
        <v>111</v>
      </c>
      <c r="H85" s="358">
        <v>1124.9250000000002</v>
      </c>
      <c r="I85" s="358">
        <f>I118-3580</f>
        <v>1610</v>
      </c>
      <c r="J85" s="108">
        <v>1615.52</v>
      </c>
      <c r="K85" s="358" t="s">
        <v>111</v>
      </c>
      <c r="L85" s="358" t="s">
        <v>111</v>
      </c>
      <c r="M85" s="359">
        <v>974.40000000000009</v>
      </c>
      <c r="N85" s="110"/>
      <c r="O85" s="465"/>
    </row>
    <row r="86" spans="1:15" x14ac:dyDescent="0.35">
      <c r="A86" s="587"/>
      <c r="B86" s="20" t="s">
        <v>240</v>
      </c>
      <c r="C86" s="112">
        <v>1340.65</v>
      </c>
      <c r="D86" s="342">
        <f>1340.65-60</f>
        <v>1280.6500000000001</v>
      </c>
      <c r="E86" s="342" t="s">
        <v>111</v>
      </c>
      <c r="F86" s="342" t="s">
        <v>111</v>
      </c>
      <c r="G86" s="342" t="s">
        <v>111</v>
      </c>
      <c r="H86" s="342">
        <v>1155.4499999999998</v>
      </c>
      <c r="I86" s="342">
        <f>I119-4200</f>
        <v>1680</v>
      </c>
      <c r="J86" s="113">
        <v>1638.52</v>
      </c>
      <c r="K86" s="342">
        <v>1309.5999999999999</v>
      </c>
      <c r="L86" s="342">
        <f>K86*0.85</f>
        <v>1113.1599999999999</v>
      </c>
      <c r="M86" s="344">
        <v>1045.8</v>
      </c>
      <c r="N86" s="110"/>
      <c r="O86" s="465"/>
    </row>
    <row r="87" spans="1:15" x14ac:dyDescent="0.35">
      <c r="A87" s="587"/>
      <c r="B87" s="20" t="s">
        <v>246</v>
      </c>
      <c r="C87" s="112">
        <v>2345.8000000000002</v>
      </c>
      <c r="D87" s="342">
        <f>2345.8-60</f>
        <v>2285.8000000000002</v>
      </c>
      <c r="E87" s="342">
        <v>4400</v>
      </c>
      <c r="F87" s="342" t="s">
        <v>111</v>
      </c>
      <c r="G87" s="342" t="s">
        <v>111</v>
      </c>
      <c r="H87" s="342">
        <v>2123.6999999999998</v>
      </c>
      <c r="I87" s="342">
        <f>I120-6360</f>
        <v>3070</v>
      </c>
      <c r="J87" s="113">
        <v>3059</v>
      </c>
      <c r="K87" s="342">
        <v>2705.7</v>
      </c>
      <c r="L87" s="342">
        <f>K87*0.85</f>
        <v>2299.8449999999998</v>
      </c>
      <c r="M87" s="344">
        <v>1603.1999999999998</v>
      </c>
      <c r="N87" s="110"/>
      <c r="O87" s="465"/>
    </row>
    <row r="88" spans="1:15" x14ac:dyDescent="0.35">
      <c r="A88" s="587"/>
      <c r="B88" s="20" t="s">
        <v>247</v>
      </c>
      <c r="C88" s="112">
        <v>4948.8</v>
      </c>
      <c r="D88" s="342">
        <f>C88-60</f>
        <v>4888.8</v>
      </c>
      <c r="E88" s="342" t="s">
        <v>111</v>
      </c>
      <c r="F88" s="342" t="s">
        <v>111</v>
      </c>
      <c r="G88" s="342" t="s">
        <v>111</v>
      </c>
      <c r="H88" s="342">
        <v>6865.2000000000007</v>
      </c>
      <c r="I88" s="342">
        <f>I121-10520</f>
        <v>9280</v>
      </c>
      <c r="J88" s="113" t="s">
        <v>111</v>
      </c>
      <c r="K88" s="342">
        <v>6778.55</v>
      </c>
      <c r="L88" s="342">
        <f>K88*0.85</f>
        <v>5761.7674999999999</v>
      </c>
      <c r="M88" s="344">
        <v>4144.7999999999993</v>
      </c>
      <c r="N88" s="110"/>
      <c r="O88" s="465"/>
    </row>
    <row r="89" spans="1:15" x14ac:dyDescent="0.35">
      <c r="A89" s="587"/>
      <c r="B89" s="20" t="s">
        <v>248</v>
      </c>
      <c r="C89" s="112">
        <v>12882.4</v>
      </c>
      <c r="D89" s="471">
        <f>C89-60</f>
        <v>12822.4</v>
      </c>
      <c r="E89" s="342" t="s">
        <v>111</v>
      </c>
      <c r="F89" s="342">
        <v>11069</v>
      </c>
      <c r="G89" s="472">
        <f>11069/0.8*0.85</f>
        <v>11760.8125</v>
      </c>
      <c r="H89" s="342" t="s">
        <v>111</v>
      </c>
      <c r="I89" s="342" t="s">
        <v>111</v>
      </c>
      <c r="J89" s="113" t="s">
        <v>111</v>
      </c>
      <c r="K89" s="342" t="s">
        <v>111</v>
      </c>
      <c r="L89" s="342" t="s">
        <v>111</v>
      </c>
      <c r="M89" s="344" t="s">
        <v>111</v>
      </c>
      <c r="N89" s="110"/>
      <c r="O89" s="465"/>
    </row>
    <row r="90" spans="1:15" ht="15" thickBot="1" x14ac:dyDescent="0.4">
      <c r="A90" s="612"/>
      <c r="B90" s="117" t="s">
        <v>249</v>
      </c>
      <c r="C90" s="118" t="s">
        <v>111</v>
      </c>
      <c r="D90" s="345" t="s">
        <v>111</v>
      </c>
      <c r="E90" s="345" t="s">
        <v>111</v>
      </c>
      <c r="F90" s="345" t="s">
        <v>111</v>
      </c>
      <c r="G90" s="345" t="s">
        <v>111</v>
      </c>
      <c r="H90" s="345" t="s">
        <v>111</v>
      </c>
      <c r="I90" s="345">
        <f>I123-11560</f>
        <v>17800</v>
      </c>
      <c r="J90" s="119" t="s">
        <v>111</v>
      </c>
      <c r="K90" s="345">
        <v>14359.05</v>
      </c>
      <c r="L90" s="345">
        <f>K90*0.85</f>
        <v>12205.192499999999</v>
      </c>
      <c r="M90" s="346" t="s">
        <v>111</v>
      </c>
      <c r="N90" s="110"/>
      <c r="O90" s="465"/>
    </row>
    <row r="91" spans="1:15" x14ac:dyDescent="0.35">
      <c r="A91" s="611" t="s">
        <v>250</v>
      </c>
      <c r="B91" s="137" t="s">
        <v>239</v>
      </c>
      <c r="C91" s="107">
        <v>1770.4</v>
      </c>
      <c r="D91" s="358">
        <f>1770.4-60</f>
        <v>1710.4</v>
      </c>
      <c r="E91" s="358">
        <v>3950</v>
      </c>
      <c r="F91" s="358" t="s">
        <v>111</v>
      </c>
      <c r="G91" s="358" t="s">
        <v>111</v>
      </c>
      <c r="H91" s="358">
        <v>1616.1000000000001</v>
      </c>
      <c r="I91" s="358">
        <f>I124-5480</f>
        <v>2280</v>
      </c>
      <c r="J91" s="108">
        <v>2123.36</v>
      </c>
      <c r="K91" s="358" t="s">
        <v>111</v>
      </c>
      <c r="L91" s="358" t="s">
        <v>111</v>
      </c>
      <c r="M91" s="359">
        <v>1479.8</v>
      </c>
      <c r="N91" s="110"/>
      <c r="O91" s="465"/>
    </row>
    <row r="92" spans="1:15" x14ac:dyDescent="0.35">
      <c r="A92" s="587"/>
      <c r="B92" s="20" t="s">
        <v>240</v>
      </c>
      <c r="C92" s="112">
        <v>2005.4</v>
      </c>
      <c r="D92" s="342">
        <f>2005.4-60</f>
        <v>1945.4</v>
      </c>
      <c r="E92" s="342" t="s">
        <v>111</v>
      </c>
      <c r="F92" s="342" t="s">
        <v>111</v>
      </c>
      <c r="G92" s="342" t="s">
        <v>111</v>
      </c>
      <c r="H92" s="342">
        <v>1691.1750000000002</v>
      </c>
      <c r="I92" s="342">
        <f>I125-6440</f>
        <v>2480</v>
      </c>
      <c r="J92" s="113">
        <v>2220.88</v>
      </c>
      <c r="K92" s="342">
        <v>2007.6</v>
      </c>
      <c r="L92" s="342">
        <f>K92*0.85</f>
        <v>1706.4599999999998</v>
      </c>
      <c r="M92" s="344">
        <v>1555.4</v>
      </c>
      <c r="N92" s="110"/>
      <c r="O92" s="465"/>
    </row>
    <row r="93" spans="1:15" x14ac:dyDescent="0.35">
      <c r="A93" s="587"/>
      <c r="B93" s="20" t="s">
        <v>251</v>
      </c>
      <c r="C93" s="112">
        <v>3063.3</v>
      </c>
      <c r="D93" s="342">
        <f>3063.3-60</f>
        <v>3003.3</v>
      </c>
      <c r="E93" s="342">
        <v>5850</v>
      </c>
      <c r="F93" s="342" t="s">
        <v>111</v>
      </c>
      <c r="G93" s="342" t="s">
        <v>111</v>
      </c>
      <c r="H93" s="342">
        <v>2687.25</v>
      </c>
      <c r="I93" s="342">
        <f>I126-7880</f>
        <v>4180</v>
      </c>
      <c r="J93" s="113">
        <v>3831.8</v>
      </c>
      <c r="K93" s="342">
        <v>3455.6</v>
      </c>
      <c r="L93" s="342">
        <f>K93*0.85</f>
        <v>2937.2599999999998</v>
      </c>
      <c r="M93" s="344">
        <v>2162.3999999999996</v>
      </c>
      <c r="N93" s="110"/>
      <c r="O93" s="465"/>
    </row>
    <row r="94" spans="1:15" x14ac:dyDescent="0.35">
      <c r="A94" s="587"/>
      <c r="B94" s="20" t="s">
        <v>252</v>
      </c>
      <c r="C94" s="112">
        <v>6577.3</v>
      </c>
      <c r="D94" s="342">
        <f>C94-60</f>
        <v>6517.3</v>
      </c>
      <c r="E94" s="342" t="s">
        <v>111</v>
      </c>
      <c r="F94" s="342" t="s">
        <v>111</v>
      </c>
      <c r="G94" s="342" t="s">
        <v>111</v>
      </c>
      <c r="H94" s="342">
        <v>8618.625</v>
      </c>
      <c r="I94" s="342">
        <f>I127-11560</f>
        <v>11430</v>
      </c>
      <c r="J94" s="113" t="s">
        <v>111</v>
      </c>
      <c r="K94" s="342">
        <v>9109.25</v>
      </c>
      <c r="L94" s="342">
        <f>K94*0.85</f>
        <v>7742.8625000000002</v>
      </c>
      <c r="M94" s="344">
        <v>5650.7999999999993</v>
      </c>
      <c r="N94" s="110"/>
      <c r="O94" s="465"/>
    </row>
    <row r="95" spans="1:15" x14ac:dyDescent="0.35">
      <c r="A95" s="587"/>
      <c r="B95" s="20" t="s">
        <v>253</v>
      </c>
      <c r="C95" s="112">
        <v>16964.05</v>
      </c>
      <c r="D95" s="471">
        <f>C95-60</f>
        <v>16904.05</v>
      </c>
      <c r="E95" s="342" t="s">
        <v>111</v>
      </c>
      <c r="F95" s="342">
        <v>15006</v>
      </c>
      <c r="G95" s="472">
        <f>15006/0.8*0.85</f>
        <v>15943.875</v>
      </c>
      <c r="H95" s="342" t="s">
        <v>111</v>
      </c>
      <c r="I95" s="342" t="s">
        <v>111</v>
      </c>
      <c r="J95" s="113" t="s">
        <v>111</v>
      </c>
      <c r="K95" s="342" t="s">
        <v>111</v>
      </c>
      <c r="L95" s="342" t="s">
        <v>111</v>
      </c>
      <c r="M95" s="344" t="s">
        <v>111</v>
      </c>
      <c r="N95" s="110"/>
      <c r="O95" s="465"/>
    </row>
    <row r="96" spans="1:15" ht="15" thickBot="1" x14ac:dyDescent="0.4">
      <c r="A96" s="612"/>
      <c r="B96" s="117" t="s">
        <v>254</v>
      </c>
      <c r="C96" s="118" t="s">
        <v>111</v>
      </c>
      <c r="D96" s="345" t="s">
        <v>111</v>
      </c>
      <c r="E96" s="345" t="s">
        <v>111</v>
      </c>
      <c r="F96" s="345" t="s">
        <v>111</v>
      </c>
      <c r="G96" s="345" t="s">
        <v>111</v>
      </c>
      <c r="H96" s="345" t="s">
        <v>111</v>
      </c>
      <c r="I96" s="345">
        <f>I129-12280</f>
        <v>22850</v>
      </c>
      <c r="J96" s="119" t="s">
        <v>111</v>
      </c>
      <c r="K96" s="345">
        <v>18610.8</v>
      </c>
      <c r="L96" s="345">
        <f>K96*0.85</f>
        <v>15819.179999999998</v>
      </c>
      <c r="M96" s="346" t="s">
        <v>111</v>
      </c>
      <c r="N96" s="110"/>
      <c r="O96" s="465"/>
    </row>
    <row r="97" spans="1:15" x14ac:dyDescent="0.35">
      <c r="A97" s="611" t="s">
        <v>255</v>
      </c>
      <c r="B97" s="137" t="s">
        <v>239</v>
      </c>
      <c r="C97" s="107">
        <v>2475.9</v>
      </c>
      <c r="D97" s="358">
        <f>2475.9-60</f>
        <v>2415.9</v>
      </c>
      <c r="E97" s="358">
        <v>5400</v>
      </c>
      <c r="F97" s="358" t="s">
        <v>111</v>
      </c>
      <c r="G97" s="358" t="s">
        <v>111</v>
      </c>
      <c r="H97" s="358">
        <v>2332.875</v>
      </c>
      <c r="I97" s="358">
        <f>I130-8120</f>
        <v>3090</v>
      </c>
      <c r="J97" s="108">
        <v>2853.8399999999997</v>
      </c>
      <c r="K97" s="358" t="s">
        <v>111</v>
      </c>
      <c r="L97" s="358" t="s">
        <v>111</v>
      </c>
      <c r="M97" s="359">
        <v>2035.6000000000001</v>
      </c>
      <c r="N97" s="110"/>
      <c r="O97" s="465"/>
    </row>
    <row r="98" spans="1:15" x14ac:dyDescent="0.35">
      <c r="A98" s="587"/>
      <c r="B98" s="20" t="s">
        <v>240</v>
      </c>
      <c r="C98" s="112">
        <v>2976.7</v>
      </c>
      <c r="D98" s="342">
        <f>2976.7-60</f>
        <v>2916.7</v>
      </c>
      <c r="E98" s="342" t="s">
        <v>111</v>
      </c>
      <c r="F98" s="342" t="s">
        <v>111</v>
      </c>
      <c r="G98" s="342" t="s">
        <v>111</v>
      </c>
      <c r="H98" s="342">
        <v>2574</v>
      </c>
      <c r="I98" s="342">
        <f>I131-8920</f>
        <v>3640</v>
      </c>
      <c r="J98" s="113">
        <v>3238.4</v>
      </c>
      <c r="K98" s="342">
        <v>3219.1</v>
      </c>
      <c r="L98" s="342">
        <f>K98*0.85</f>
        <v>2736.2349999999997</v>
      </c>
      <c r="M98" s="344">
        <v>2436</v>
      </c>
      <c r="N98" s="110"/>
      <c r="O98" s="465"/>
    </row>
    <row r="99" spans="1:15" x14ac:dyDescent="0.35">
      <c r="A99" s="587"/>
      <c r="B99" s="20" t="s">
        <v>256</v>
      </c>
      <c r="C99" s="112">
        <v>4037.85</v>
      </c>
      <c r="D99" s="342">
        <f>4037.85-60</f>
        <v>3977.85</v>
      </c>
      <c r="E99" s="342">
        <v>7200</v>
      </c>
      <c r="F99" s="342" t="s">
        <v>111</v>
      </c>
      <c r="G99" s="342" t="s">
        <v>111</v>
      </c>
      <c r="H99" s="342">
        <v>3561.6000000000004</v>
      </c>
      <c r="I99" s="342">
        <f>I132-9980</f>
        <v>4900</v>
      </c>
      <c r="J99" s="113">
        <v>5083</v>
      </c>
      <c r="K99" s="342">
        <v>4517.1499999999996</v>
      </c>
      <c r="L99" s="342">
        <f>K99*0.85</f>
        <v>3839.5774999999994</v>
      </c>
      <c r="M99" s="344">
        <v>2882.3999999999996</v>
      </c>
      <c r="N99" s="110"/>
      <c r="O99" s="465"/>
    </row>
    <row r="100" spans="1:15" x14ac:dyDescent="0.35">
      <c r="A100" s="587"/>
      <c r="B100" s="20" t="s">
        <v>257</v>
      </c>
      <c r="C100" s="112">
        <v>8737.65</v>
      </c>
      <c r="D100" s="342">
        <f>8737.65-60</f>
        <v>8677.65</v>
      </c>
      <c r="E100" s="342" t="s">
        <v>111</v>
      </c>
      <c r="F100" s="342" t="s">
        <v>111</v>
      </c>
      <c r="G100" s="342" t="s">
        <v>111</v>
      </c>
      <c r="H100" s="342">
        <v>11111.662499999999</v>
      </c>
      <c r="I100" s="342">
        <f>I133-15360</f>
        <v>15410</v>
      </c>
      <c r="J100" s="113">
        <v>14770.6</v>
      </c>
      <c r="K100" s="342">
        <v>11924.55</v>
      </c>
      <c r="L100" s="342">
        <f>K100*0.85</f>
        <v>10135.867499999998</v>
      </c>
      <c r="M100" s="344">
        <v>7981.2000000000007</v>
      </c>
      <c r="N100" s="110"/>
      <c r="O100" s="465"/>
    </row>
    <row r="101" spans="1:15" x14ac:dyDescent="0.35">
      <c r="A101" s="587"/>
      <c r="B101" s="20" t="s">
        <v>258</v>
      </c>
      <c r="C101" s="112">
        <v>22499.85</v>
      </c>
      <c r="D101" s="471">
        <f>22499.85-60</f>
        <v>22439.85</v>
      </c>
      <c r="E101" s="342" t="s">
        <v>111</v>
      </c>
      <c r="F101" s="342">
        <v>20748</v>
      </c>
      <c r="G101" s="472">
        <f>20748/0.8*0.85</f>
        <v>22044.75</v>
      </c>
      <c r="H101" s="342" t="s">
        <v>111</v>
      </c>
      <c r="I101" s="342" t="s">
        <v>111</v>
      </c>
      <c r="J101" s="113" t="s">
        <v>111</v>
      </c>
      <c r="K101" s="342" t="s">
        <v>111</v>
      </c>
      <c r="L101" s="342" t="s">
        <v>111</v>
      </c>
      <c r="M101" s="344" t="s">
        <v>111</v>
      </c>
      <c r="N101" s="110"/>
      <c r="O101" s="465"/>
    </row>
    <row r="102" spans="1:15" ht="15" thickBot="1" x14ac:dyDescent="0.4">
      <c r="A102" s="612"/>
      <c r="B102" s="117" t="s">
        <v>259</v>
      </c>
      <c r="C102" s="118" t="s">
        <v>111</v>
      </c>
      <c r="D102" s="345" t="s">
        <v>111</v>
      </c>
      <c r="E102" s="345" t="s">
        <v>111</v>
      </c>
      <c r="F102" s="345" t="s">
        <v>111</v>
      </c>
      <c r="G102" s="345" t="s">
        <v>111</v>
      </c>
      <c r="H102" s="345" t="s">
        <v>111</v>
      </c>
      <c r="I102" s="345">
        <f>I135-19060</f>
        <v>29380</v>
      </c>
      <c r="J102" s="119" t="s">
        <v>111</v>
      </c>
      <c r="K102" s="345">
        <v>26098.95</v>
      </c>
      <c r="L102" s="345">
        <f>K102*0.85</f>
        <v>22184.107499999998</v>
      </c>
      <c r="M102" s="346" t="s">
        <v>111</v>
      </c>
      <c r="N102" s="110"/>
      <c r="O102" s="465"/>
    </row>
    <row r="103" spans="1:15" x14ac:dyDescent="0.35">
      <c r="A103" s="620" t="s">
        <v>260</v>
      </c>
      <c r="B103" s="138" t="s">
        <v>239</v>
      </c>
      <c r="C103" s="142">
        <v>3738.1</v>
      </c>
      <c r="D103" s="356">
        <f>3738.1-60</f>
        <v>3678.1</v>
      </c>
      <c r="E103" s="356">
        <v>7000</v>
      </c>
      <c r="F103" s="356" t="s">
        <v>111</v>
      </c>
      <c r="G103" s="356" t="s">
        <v>111</v>
      </c>
      <c r="H103" s="356">
        <v>3466.7250000000004</v>
      </c>
      <c r="I103" s="356">
        <f>I136-10740</f>
        <v>4530</v>
      </c>
      <c r="J103" s="143">
        <v>4460.16</v>
      </c>
      <c r="K103" s="356" t="s">
        <v>111</v>
      </c>
      <c r="L103" s="356" t="s">
        <v>111</v>
      </c>
      <c r="M103" s="357">
        <v>3185</v>
      </c>
      <c r="N103" s="110"/>
      <c r="O103" s="465"/>
    </row>
    <row r="104" spans="1:15" x14ac:dyDescent="0.35">
      <c r="A104" s="587"/>
      <c r="B104" s="20" t="s">
        <v>240</v>
      </c>
      <c r="C104" s="112">
        <v>4518.3</v>
      </c>
      <c r="D104" s="342">
        <f>4518.3-60</f>
        <v>4458.3</v>
      </c>
      <c r="E104" s="342" t="s">
        <v>111</v>
      </c>
      <c r="F104" s="342" t="s">
        <v>111</v>
      </c>
      <c r="G104" s="342" t="s">
        <v>111</v>
      </c>
      <c r="H104" s="342">
        <v>3813.8999999999996</v>
      </c>
      <c r="I104" s="342">
        <f>I137-11180</f>
        <v>5420</v>
      </c>
      <c r="J104" s="113">
        <v>4646.92</v>
      </c>
      <c r="K104" s="342">
        <v>4771</v>
      </c>
      <c r="L104" s="342">
        <f>K104*0.7</f>
        <v>3339.7</v>
      </c>
      <c r="M104" s="344">
        <v>3733.7999999999997</v>
      </c>
      <c r="N104" s="110"/>
      <c r="O104" s="465"/>
    </row>
    <row r="105" spans="1:15" x14ac:dyDescent="0.35">
      <c r="A105" s="587"/>
      <c r="B105" s="20" t="s">
        <v>261</v>
      </c>
      <c r="C105" s="112">
        <v>5091.8999999999996</v>
      </c>
      <c r="D105" s="342">
        <f>5091.9-60</f>
        <v>5031.8999999999996</v>
      </c>
      <c r="E105" s="342">
        <v>8800</v>
      </c>
      <c r="F105" s="342" t="s">
        <v>111</v>
      </c>
      <c r="G105" s="342" t="s">
        <v>111</v>
      </c>
      <c r="H105" s="342">
        <v>4618.5</v>
      </c>
      <c r="I105" s="342">
        <f>I138-11680</f>
        <v>6510</v>
      </c>
      <c r="J105" s="113">
        <v>5869.6</v>
      </c>
      <c r="K105" s="342">
        <v>5342.1</v>
      </c>
      <c r="L105" s="342">
        <f>K105*0.7</f>
        <v>3739.47</v>
      </c>
      <c r="M105" s="344">
        <v>3766.7999999999997</v>
      </c>
      <c r="N105" s="110"/>
      <c r="O105" s="465"/>
    </row>
    <row r="106" spans="1:15" x14ac:dyDescent="0.35">
      <c r="A106" s="587"/>
      <c r="B106" s="20" t="s">
        <v>262</v>
      </c>
      <c r="C106" s="112">
        <v>11664.1</v>
      </c>
      <c r="D106" s="342">
        <f>11664.1-60</f>
        <v>11604.1</v>
      </c>
      <c r="E106" s="342" t="s">
        <v>111</v>
      </c>
      <c r="F106" s="342" t="s">
        <v>111</v>
      </c>
      <c r="G106" s="342" t="s">
        <v>111</v>
      </c>
      <c r="H106" s="342">
        <v>14202.262499999999</v>
      </c>
      <c r="I106" s="342">
        <f>I139-17840</f>
        <v>18600</v>
      </c>
      <c r="J106" s="113">
        <v>21371.600000000002</v>
      </c>
      <c r="K106" s="342">
        <v>14970.55</v>
      </c>
      <c r="L106" s="342">
        <f>K106*0.7</f>
        <v>10479.384999999998</v>
      </c>
      <c r="M106" s="344">
        <v>10513.2</v>
      </c>
      <c r="N106" s="110"/>
      <c r="O106" s="465"/>
    </row>
    <row r="107" spans="1:15" x14ac:dyDescent="0.35">
      <c r="A107" s="587"/>
      <c r="B107" s="20" t="s">
        <v>263</v>
      </c>
      <c r="C107" s="112">
        <v>29281.15</v>
      </c>
      <c r="D107" s="472">
        <f>29281.15-60</f>
        <v>29221.15</v>
      </c>
      <c r="E107" s="342" t="s">
        <v>111</v>
      </c>
      <c r="F107" s="342">
        <v>28853</v>
      </c>
      <c r="G107" s="471">
        <f>28853/0.8*0.85</f>
        <v>30656.3125</v>
      </c>
      <c r="H107" s="342" t="s">
        <v>111</v>
      </c>
      <c r="I107" s="342" t="s">
        <v>111</v>
      </c>
      <c r="J107" s="113" t="s">
        <v>111</v>
      </c>
      <c r="K107" s="342" t="s">
        <v>111</v>
      </c>
      <c r="L107" s="342" t="s">
        <v>111</v>
      </c>
      <c r="M107" s="344" t="s">
        <v>111</v>
      </c>
      <c r="N107" s="110"/>
      <c r="O107" s="465"/>
    </row>
    <row r="108" spans="1:15" ht="15" thickBot="1" x14ac:dyDescent="0.4">
      <c r="A108" s="612"/>
      <c r="B108" s="117" t="s">
        <v>264</v>
      </c>
      <c r="C108" s="118" t="s">
        <v>111</v>
      </c>
      <c r="D108" s="345" t="s">
        <v>111</v>
      </c>
      <c r="E108" s="345" t="s">
        <v>111</v>
      </c>
      <c r="F108" s="345" t="s">
        <v>111</v>
      </c>
      <c r="G108" s="345" t="s">
        <v>111</v>
      </c>
      <c r="H108" s="345" t="s">
        <v>111</v>
      </c>
      <c r="I108" s="345">
        <f>I141-22560</f>
        <v>38220</v>
      </c>
      <c r="J108" s="119" t="s">
        <v>111</v>
      </c>
      <c r="K108" s="345">
        <v>36933.15</v>
      </c>
      <c r="L108" s="345">
        <f>K108*0.7</f>
        <v>25853.204999999998</v>
      </c>
      <c r="M108" s="346" t="s">
        <v>111</v>
      </c>
      <c r="N108" s="110"/>
      <c r="O108" s="465"/>
    </row>
    <row r="109" spans="1:15" ht="29" x14ac:dyDescent="0.35">
      <c r="A109" s="622" t="s">
        <v>221</v>
      </c>
      <c r="B109" s="622"/>
      <c r="C109" s="145" t="s">
        <v>310</v>
      </c>
      <c r="D109" s="145" t="s">
        <v>310</v>
      </c>
      <c r="E109" s="338" t="s">
        <v>267</v>
      </c>
      <c r="F109" s="338" t="s">
        <v>111</v>
      </c>
      <c r="G109" s="338" t="s">
        <v>111</v>
      </c>
      <c r="H109" s="338" t="s">
        <v>265</v>
      </c>
      <c r="I109" s="338" t="s">
        <v>268</v>
      </c>
      <c r="J109" s="338" t="s">
        <v>265</v>
      </c>
      <c r="K109" s="145" t="s">
        <v>270</v>
      </c>
      <c r="L109" s="145" t="s">
        <v>270</v>
      </c>
      <c r="M109" s="145" t="s">
        <v>266</v>
      </c>
      <c r="N109" s="110"/>
      <c r="O109" s="465"/>
    </row>
    <row r="110" spans="1:15" ht="29" x14ac:dyDescent="0.35">
      <c r="A110" s="619"/>
      <c r="B110" s="619"/>
      <c r="C110" s="274" t="s">
        <v>154</v>
      </c>
      <c r="D110" s="274" t="s">
        <v>154</v>
      </c>
      <c r="E110" s="274" t="s">
        <v>222</v>
      </c>
      <c r="F110" s="274" t="s">
        <v>111</v>
      </c>
      <c r="G110" s="274" t="s">
        <v>111</v>
      </c>
      <c r="H110" s="274" t="s">
        <v>223</v>
      </c>
      <c r="I110" s="275" t="s">
        <v>224</v>
      </c>
      <c r="J110" s="274" t="s">
        <v>225</v>
      </c>
      <c r="K110" s="353" t="s">
        <v>111</v>
      </c>
      <c r="L110" s="276" t="s">
        <v>379</v>
      </c>
      <c r="M110" s="274" t="s">
        <v>226</v>
      </c>
      <c r="N110" s="110"/>
      <c r="O110" s="465"/>
    </row>
    <row r="111" spans="1:15" ht="15" thickBot="1" x14ac:dyDescent="0.4">
      <c r="A111" s="367" t="s">
        <v>176</v>
      </c>
      <c r="B111" s="154" t="s">
        <v>140</v>
      </c>
      <c r="C111" s="150" t="s">
        <v>141</v>
      </c>
      <c r="D111" s="150" t="s">
        <v>141</v>
      </c>
      <c r="E111" s="360" t="s">
        <v>142</v>
      </c>
      <c r="F111" s="360" t="s">
        <v>111</v>
      </c>
      <c r="G111" s="360" t="s">
        <v>111</v>
      </c>
      <c r="H111" s="360" t="s">
        <v>141</v>
      </c>
      <c r="I111" s="150" t="s">
        <v>141</v>
      </c>
      <c r="J111" s="361" t="s">
        <v>142</v>
      </c>
      <c r="K111" s="162" t="s">
        <v>142</v>
      </c>
      <c r="L111" s="162" t="s">
        <v>142</v>
      </c>
      <c r="M111" s="150" t="s">
        <v>141</v>
      </c>
      <c r="N111" s="110"/>
      <c r="O111" s="465"/>
    </row>
    <row r="112" spans="1:15" ht="14.5" customHeight="1" x14ac:dyDescent="0.35">
      <c r="A112" s="616" t="s">
        <v>238</v>
      </c>
      <c r="B112" s="137" t="s">
        <v>239</v>
      </c>
      <c r="C112" s="107">
        <v>2173.5</v>
      </c>
      <c r="D112" s="358">
        <v>2173.5</v>
      </c>
      <c r="E112" s="358">
        <v>3820</v>
      </c>
      <c r="F112" s="358" t="s">
        <v>111</v>
      </c>
      <c r="G112" s="358" t="s">
        <v>111</v>
      </c>
      <c r="H112" s="358">
        <v>2112.375</v>
      </c>
      <c r="I112" s="358">
        <v>4280</v>
      </c>
      <c r="J112" s="108">
        <v>2618.3200000000002</v>
      </c>
      <c r="K112" s="358" t="s">
        <v>111</v>
      </c>
      <c r="L112" s="358" t="s">
        <v>111</v>
      </c>
      <c r="M112" s="359">
        <v>1909.6000000000001</v>
      </c>
      <c r="N112" s="110"/>
      <c r="O112" s="465"/>
    </row>
    <row r="113" spans="1:15" x14ac:dyDescent="0.35">
      <c r="A113" s="585"/>
      <c r="B113" s="20" t="s">
        <v>240</v>
      </c>
      <c r="C113" s="112">
        <v>2791.1</v>
      </c>
      <c r="D113" s="342">
        <f>2791.1-60</f>
        <v>2731.1</v>
      </c>
      <c r="E113" s="342" t="s">
        <v>111</v>
      </c>
      <c r="F113" s="342" t="s">
        <v>111</v>
      </c>
      <c r="G113" s="342" t="s">
        <v>111</v>
      </c>
      <c r="H113" s="342">
        <v>2371.875</v>
      </c>
      <c r="I113" s="342">
        <v>4390</v>
      </c>
      <c r="J113" s="113">
        <v>2778.4</v>
      </c>
      <c r="K113" s="342" t="s">
        <v>111</v>
      </c>
      <c r="L113" s="342" t="s">
        <v>111</v>
      </c>
      <c r="M113" s="344">
        <v>1939</v>
      </c>
      <c r="N113" s="110"/>
      <c r="O113" s="465"/>
    </row>
    <row r="114" spans="1:15" x14ac:dyDescent="0.35">
      <c r="A114" s="585"/>
      <c r="B114" s="20" t="s">
        <v>241</v>
      </c>
      <c r="C114" s="112">
        <v>5036.6000000000004</v>
      </c>
      <c r="D114" s="342">
        <f>5036.6-60</f>
        <v>4976.6000000000004</v>
      </c>
      <c r="E114" s="342">
        <v>8230</v>
      </c>
      <c r="F114" s="342" t="s">
        <v>111</v>
      </c>
      <c r="G114" s="342" t="s">
        <v>111</v>
      </c>
      <c r="H114" s="342">
        <v>4809.4500000000007</v>
      </c>
      <c r="I114" s="342">
        <v>8390</v>
      </c>
      <c r="J114" s="113">
        <v>6108.8</v>
      </c>
      <c r="K114" s="342" t="s">
        <v>111</v>
      </c>
      <c r="L114" s="342" t="s">
        <v>111</v>
      </c>
      <c r="M114" s="344">
        <v>3070.8</v>
      </c>
      <c r="N114" s="110"/>
      <c r="O114" s="465"/>
    </row>
    <row r="115" spans="1:15" x14ac:dyDescent="0.35">
      <c r="A115" s="585"/>
      <c r="B115" s="20" t="s">
        <v>242</v>
      </c>
      <c r="C115" s="112">
        <v>7963.9</v>
      </c>
      <c r="D115" s="342">
        <f>C115-60</f>
        <v>7903.9</v>
      </c>
      <c r="E115" s="342" t="s">
        <v>111</v>
      </c>
      <c r="F115" s="342" t="s">
        <v>111</v>
      </c>
      <c r="G115" s="342" t="s">
        <v>111</v>
      </c>
      <c r="H115" s="342">
        <v>9592.2000000000007</v>
      </c>
      <c r="I115" s="342">
        <v>15860</v>
      </c>
      <c r="J115" s="113" t="s">
        <v>111</v>
      </c>
      <c r="K115" s="342" t="s">
        <v>111</v>
      </c>
      <c r="L115" s="342" t="s">
        <v>111</v>
      </c>
      <c r="M115" s="344">
        <v>5912.4</v>
      </c>
      <c r="N115" s="110"/>
      <c r="O115" s="465"/>
    </row>
    <row r="116" spans="1:15" x14ac:dyDescent="0.35">
      <c r="A116" s="585"/>
      <c r="B116" s="20" t="s">
        <v>243</v>
      </c>
      <c r="C116" s="112">
        <v>14779.2</v>
      </c>
      <c r="D116" s="342">
        <f>C116-60</f>
        <v>14719.2</v>
      </c>
      <c r="E116" s="342" t="s">
        <v>111</v>
      </c>
      <c r="F116" s="342" t="s">
        <v>111</v>
      </c>
      <c r="G116" s="342" t="s">
        <v>111</v>
      </c>
      <c r="H116" s="342" t="s">
        <v>111</v>
      </c>
      <c r="I116" s="342" t="s">
        <v>111</v>
      </c>
      <c r="J116" s="113" t="s">
        <v>111</v>
      </c>
      <c r="K116" s="342" t="s">
        <v>111</v>
      </c>
      <c r="L116" s="342" t="s">
        <v>111</v>
      </c>
      <c r="M116" s="344" t="s">
        <v>111</v>
      </c>
      <c r="N116" s="110"/>
      <c r="O116" s="465"/>
    </row>
    <row r="117" spans="1:15" ht="15" thickBot="1" x14ac:dyDescent="0.4">
      <c r="A117" s="586"/>
      <c r="B117" s="117" t="s">
        <v>244</v>
      </c>
      <c r="C117" s="118" t="s">
        <v>111</v>
      </c>
      <c r="D117" s="345" t="s">
        <v>111</v>
      </c>
      <c r="E117" s="345" t="s">
        <v>111</v>
      </c>
      <c r="F117" s="345" t="s">
        <v>111</v>
      </c>
      <c r="G117" s="345" t="s">
        <v>111</v>
      </c>
      <c r="H117" s="345" t="s">
        <v>111</v>
      </c>
      <c r="I117" s="345">
        <v>22740</v>
      </c>
      <c r="J117" s="119" t="s">
        <v>111</v>
      </c>
      <c r="K117" s="345" t="s">
        <v>111</v>
      </c>
      <c r="L117" s="345" t="s">
        <v>111</v>
      </c>
      <c r="M117" s="346" t="s">
        <v>111</v>
      </c>
      <c r="N117" s="110"/>
      <c r="O117" s="465"/>
    </row>
    <row r="118" spans="1:15" x14ac:dyDescent="0.35">
      <c r="A118" s="616" t="s">
        <v>245</v>
      </c>
      <c r="B118" s="137" t="s">
        <v>239</v>
      </c>
      <c r="C118" s="107">
        <v>3309.15</v>
      </c>
      <c r="D118" s="358">
        <f>3309.15-60</f>
        <v>3249.15</v>
      </c>
      <c r="E118" s="358">
        <v>5710</v>
      </c>
      <c r="F118" s="358" t="s">
        <v>111</v>
      </c>
      <c r="G118" s="358" t="s">
        <v>111</v>
      </c>
      <c r="H118" s="358">
        <v>3029.9250000000002</v>
      </c>
      <c r="I118" s="358">
        <v>5190</v>
      </c>
      <c r="J118" s="108">
        <v>3830.88</v>
      </c>
      <c r="K118" s="358" t="s">
        <v>111</v>
      </c>
      <c r="L118" s="358" t="s">
        <v>111</v>
      </c>
      <c r="M118" s="359">
        <v>2542.4000000000005</v>
      </c>
      <c r="N118" s="110"/>
      <c r="O118" s="465"/>
    </row>
    <row r="119" spans="1:15" x14ac:dyDescent="0.35">
      <c r="A119" s="585"/>
      <c r="B119" s="20" t="s">
        <v>240</v>
      </c>
      <c r="C119" s="112">
        <v>4461.7</v>
      </c>
      <c r="D119" s="342">
        <f>4461.7-60</f>
        <v>4401.7</v>
      </c>
      <c r="E119" s="342" t="s">
        <v>111</v>
      </c>
      <c r="F119" s="342" t="s">
        <v>111</v>
      </c>
      <c r="G119" s="342" t="s">
        <v>111</v>
      </c>
      <c r="H119" s="342">
        <v>3427.9500000000003</v>
      </c>
      <c r="I119" s="342">
        <v>5880</v>
      </c>
      <c r="J119" s="113">
        <v>3979</v>
      </c>
      <c r="K119" s="342" t="s">
        <v>111</v>
      </c>
      <c r="L119" s="342" t="s">
        <v>111</v>
      </c>
      <c r="M119" s="344">
        <v>2879.8</v>
      </c>
      <c r="N119" s="110"/>
      <c r="O119" s="465"/>
    </row>
    <row r="120" spans="1:15" x14ac:dyDescent="0.35">
      <c r="A120" s="585"/>
      <c r="B120" s="20" t="s">
        <v>246</v>
      </c>
      <c r="C120" s="112">
        <v>6748.6</v>
      </c>
      <c r="D120" s="342">
        <f>6748.6-60</f>
        <v>6688.6</v>
      </c>
      <c r="E120" s="342">
        <v>10720</v>
      </c>
      <c r="F120" s="342" t="s">
        <v>111</v>
      </c>
      <c r="G120" s="342" t="s">
        <v>111</v>
      </c>
      <c r="H120" s="342">
        <v>6019.2000000000007</v>
      </c>
      <c r="I120" s="342">
        <v>9430</v>
      </c>
      <c r="J120" s="113">
        <v>6843.88</v>
      </c>
      <c r="K120" s="342" t="s">
        <v>111</v>
      </c>
      <c r="L120" s="342" t="s">
        <v>111</v>
      </c>
      <c r="M120" s="344">
        <v>4111.2</v>
      </c>
      <c r="N120" s="110"/>
      <c r="O120" s="465"/>
    </row>
    <row r="121" spans="1:15" x14ac:dyDescent="0.35">
      <c r="A121" s="585"/>
      <c r="B121" s="20" t="s">
        <v>247</v>
      </c>
      <c r="C121" s="112">
        <v>10298.25</v>
      </c>
      <c r="D121" s="342">
        <f>C121-60</f>
        <v>10238.25</v>
      </c>
      <c r="E121" s="342" t="s">
        <v>111</v>
      </c>
      <c r="F121" s="342" t="s">
        <v>111</v>
      </c>
      <c r="G121" s="342" t="s">
        <v>111</v>
      </c>
      <c r="H121" s="342">
        <v>12358.199999999999</v>
      </c>
      <c r="I121" s="342">
        <v>19800</v>
      </c>
      <c r="J121" s="113" t="s">
        <v>111</v>
      </c>
      <c r="K121" s="342" t="s">
        <v>111</v>
      </c>
      <c r="L121" s="342" t="s">
        <v>111</v>
      </c>
      <c r="M121" s="344">
        <v>8044.7999999999984</v>
      </c>
      <c r="N121" s="110"/>
      <c r="O121" s="465"/>
    </row>
    <row r="122" spans="1:15" x14ac:dyDescent="0.35">
      <c r="A122" s="585"/>
      <c r="B122" s="20" t="s">
        <v>248</v>
      </c>
      <c r="C122" s="112">
        <v>19321.75</v>
      </c>
      <c r="D122" s="342">
        <f>C122-60</f>
        <v>19261.75</v>
      </c>
      <c r="E122" s="342" t="s">
        <v>111</v>
      </c>
      <c r="F122" s="342" t="s">
        <v>111</v>
      </c>
      <c r="G122" s="342" t="s">
        <v>111</v>
      </c>
      <c r="H122" s="342" t="s">
        <v>111</v>
      </c>
      <c r="I122" s="342" t="s">
        <v>111</v>
      </c>
      <c r="J122" s="113" t="s">
        <v>111</v>
      </c>
      <c r="K122" s="342" t="s">
        <v>111</v>
      </c>
      <c r="L122" s="342" t="s">
        <v>111</v>
      </c>
      <c r="M122" s="344" t="s">
        <v>111</v>
      </c>
      <c r="N122" s="110"/>
      <c r="O122" s="465"/>
    </row>
    <row r="123" spans="1:15" ht="15" thickBot="1" x14ac:dyDescent="0.4">
      <c r="A123" s="586"/>
      <c r="B123" s="117" t="s">
        <v>249</v>
      </c>
      <c r="C123" s="118" t="s">
        <v>111</v>
      </c>
      <c r="D123" s="345" t="s">
        <v>111</v>
      </c>
      <c r="E123" s="345" t="s">
        <v>111</v>
      </c>
      <c r="F123" s="345" t="s">
        <v>111</v>
      </c>
      <c r="G123" s="345" t="s">
        <v>111</v>
      </c>
      <c r="H123" s="345" t="s">
        <v>111</v>
      </c>
      <c r="I123" s="345">
        <v>29360</v>
      </c>
      <c r="J123" s="119" t="s">
        <v>111</v>
      </c>
      <c r="K123" s="345" t="s">
        <v>111</v>
      </c>
      <c r="L123" s="345" t="s">
        <v>111</v>
      </c>
      <c r="M123" s="346" t="s">
        <v>111</v>
      </c>
      <c r="N123" s="110"/>
      <c r="O123" s="465"/>
    </row>
    <row r="124" spans="1:15" x14ac:dyDescent="0.35">
      <c r="A124" s="616" t="s">
        <v>250</v>
      </c>
      <c r="B124" s="137" t="s">
        <v>239</v>
      </c>
      <c r="C124" s="107">
        <v>5507.6</v>
      </c>
      <c r="D124" s="358">
        <f>5507.6-60</f>
        <v>5447.6</v>
      </c>
      <c r="E124" s="358">
        <v>9650</v>
      </c>
      <c r="F124" s="358" t="s">
        <v>111</v>
      </c>
      <c r="G124" s="358" t="s">
        <v>111</v>
      </c>
      <c r="H124" s="358">
        <v>4608.6000000000004</v>
      </c>
      <c r="I124" s="358">
        <v>7760</v>
      </c>
      <c r="J124" s="108">
        <v>5643.2800000000007</v>
      </c>
      <c r="K124" s="358" t="s">
        <v>111</v>
      </c>
      <c r="L124" s="358" t="s">
        <v>111</v>
      </c>
      <c r="M124" s="359">
        <v>3957.7999999999997</v>
      </c>
      <c r="N124" s="110"/>
      <c r="O124" s="465"/>
    </row>
    <row r="125" spans="1:15" x14ac:dyDescent="0.35">
      <c r="A125" s="585"/>
      <c r="B125" s="20" t="s">
        <v>240</v>
      </c>
      <c r="C125" s="112">
        <v>7057.85</v>
      </c>
      <c r="D125" s="342">
        <f>7057.85-60</f>
        <v>6997.85</v>
      </c>
      <c r="E125" s="342" t="s">
        <v>111</v>
      </c>
      <c r="F125" s="342" t="s">
        <v>111</v>
      </c>
      <c r="G125" s="342" t="s">
        <v>111</v>
      </c>
      <c r="H125" s="342">
        <v>5411.1749999999993</v>
      </c>
      <c r="I125" s="342">
        <v>8920</v>
      </c>
      <c r="J125" s="113">
        <v>5880.64</v>
      </c>
      <c r="K125" s="342" t="s">
        <v>111</v>
      </c>
      <c r="L125" s="342" t="s">
        <v>111</v>
      </c>
      <c r="M125" s="344">
        <v>4425.4000000000005</v>
      </c>
      <c r="N125" s="110"/>
      <c r="O125" s="465"/>
    </row>
    <row r="126" spans="1:15" x14ac:dyDescent="0.35">
      <c r="A126" s="585"/>
      <c r="B126" s="20" t="s">
        <v>251</v>
      </c>
      <c r="C126" s="112">
        <v>9190</v>
      </c>
      <c r="D126" s="342">
        <f>9190-60</f>
        <v>9130</v>
      </c>
      <c r="E126" s="342">
        <v>14430</v>
      </c>
      <c r="F126" s="342" t="s">
        <v>111</v>
      </c>
      <c r="G126" s="342" t="s">
        <v>111</v>
      </c>
      <c r="H126" s="342">
        <v>7550.25</v>
      </c>
      <c r="I126" s="342">
        <v>12060</v>
      </c>
      <c r="J126" s="113">
        <v>8880.76</v>
      </c>
      <c r="K126" s="342" t="s">
        <v>111</v>
      </c>
      <c r="L126" s="342" t="s">
        <v>111</v>
      </c>
      <c r="M126" s="344">
        <v>5318.4</v>
      </c>
      <c r="N126" s="110"/>
      <c r="O126" s="465"/>
    </row>
    <row r="127" spans="1:15" x14ac:dyDescent="0.35">
      <c r="A127" s="585"/>
      <c r="B127" s="20" t="s">
        <v>252</v>
      </c>
      <c r="C127" s="112">
        <v>13721.5</v>
      </c>
      <c r="D127" s="342">
        <f>C127-60</f>
        <v>13661.5</v>
      </c>
      <c r="E127" s="342" t="s">
        <v>111</v>
      </c>
      <c r="F127" s="342" t="s">
        <v>111</v>
      </c>
      <c r="G127" s="342" t="s">
        <v>111</v>
      </c>
      <c r="H127" s="342">
        <v>15406.125</v>
      </c>
      <c r="I127" s="342">
        <v>22990</v>
      </c>
      <c r="J127" s="113" t="s">
        <v>111</v>
      </c>
      <c r="K127" s="342" t="s">
        <v>111</v>
      </c>
      <c r="L127" s="342" t="s">
        <v>111</v>
      </c>
      <c r="M127" s="344">
        <v>10042.799999999999</v>
      </c>
      <c r="N127" s="110"/>
      <c r="O127" s="465"/>
    </row>
    <row r="128" spans="1:15" x14ac:dyDescent="0.35">
      <c r="A128" s="585"/>
      <c r="B128" s="20" t="s">
        <v>253</v>
      </c>
      <c r="C128" s="112">
        <v>25014.95</v>
      </c>
      <c r="D128" s="342">
        <f>C128-60</f>
        <v>24954.95</v>
      </c>
      <c r="E128" s="342" t="s">
        <v>111</v>
      </c>
      <c r="F128" s="342" t="s">
        <v>111</v>
      </c>
      <c r="G128" s="342" t="s">
        <v>111</v>
      </c>
      <c r="H128" s="342" t="s">
        <v>111</v>
      </c>
      <c r="I128" s="342" t="s">
        <v>111</v>
      </c>
      <c r="J128" s="113" t="s">
        <v>111</v>
      </c>
      <c r="K128" s="342" t="s">
        <v>111</v>
      </c>
      <c r="L128" s="342" t="s">
        <v>111</v>
      </c>
      <c r="M128" s="344" t="s">
        <v>111</v>
      </c>
      <c r="N128" s="110"/>
      <c r="O128" s="465"/>
    </row>
    <row r="129" spans="1:15" ht="15" thickBot="1" x14ac:dyDescent="0.4">
      <c r="A129" s="586"/>
      <c r="B129" s="117" t="s">
        <v>254</v>
      </c>
      <c r="C129" s="118" t="s">
        <v>111</v>
      </c>
      <c r="D129" s="345" t="s">
        <v>111</v>
      </c>
      <c r="E129" s="345" t="s">
        <v>111</v>
      </c>
      <c r="F129" s="345" t="s">
        <v>111</v>
      </c>
      <c r="G129" s="345" t="s">
        <v>111</v>
      </c>
      <c r="H129" s="345" t="s">
        <v>111</v>
      </c>
      <c r="I129" s="345">
        <v>35130</v>
      </c>
      <c r="J129" s="119" t="s">
        <v>111</v>
      </c>
      <c r="K129" s="345" t="s">
        <v>111</v>
      </c>
      <c r="L129" s="345" t="s">
        <v>111</v>
      </c>
      <c r="M129" s="346" t="s">
        <v>111</v>
      </c>
      <c r="N129" s="110"/>
      <c r="O129" s="465"/>
    </row>
    <row r="130" spans="1:15" x14ac:dyDescent="0.35">
      <c r="A130" s="616" t="s">
        <v>255</v>
      </c>
      <c r="B130" s="137" t="s">
        <v>239</v>
      </c>
      <c r="C130" s="107">
        <v>8375.9500000000007</v>
      </c>
      <c r="D130" s="358">
        <f>8375.95-60</f>
        <v>8315.9500000000007</v>
      </c>
      <c r="E130" s="358">
        <v>14580</v>
      </c>
      <c r="F130" s="358" t="s">
        <v>111</v>
      </c>
      <c r="G130" s="358" t="s">
        <v>111</v>
      </c>
      <c r="H130" s="358">
        <v>7342.875</v>
      </c>
      <c r="I130" s="358">
        <v>11210</v>
      </c>
      <c r="J130" s="108">
        <v>8055.52</v>
      </c>
      <c r="K130" s="358" t="s">
        <v>111</v>
      </c>
      <c r="L130" s="358" t="s">
        <v>111</v>
      </c>
      <c r="M130" s="359">
        <v>5773.6</v>
      </c>
      <c r="N130" s="110"/>
      <c r="O130" s="465"/>
    </row>
    <row r="131" spans="1:15" x14ac:dyDescent="0.35">
      <c r="A131" s="585"/>
      <c r="B131" s="20" t="s">
        <v>240</v>
      </c>
      <c r="C131" s="112">
        <v>10475.15</v>
      </c>
      <c r="D131" s="342">
        <f>10475.15-60</f>
        <v>10415.15</v>
      </c>
      <c r="E131" s="342" t="s">
        <v>111</v>
      </c>
      <c r="F131" s="342" t="s">
        <v>111</v>
      </c>
      <c r="G131" s="342" t="s">
        <v>111</v>
      </c>
      <c r="H131" s="342">
        <v>7815</v>
      </c>
      <c r="I131" s="342">
        <v>12560</v>
      </c>
      <c r="J131" s="113">
        <v>8469.52</v>
      </c>
      <c r="K131" s="342" t="s">
        <v>111</v>
      </c>
      <c r="L131" s="342" t="s">
        <v>111</v>
      </c>
      <c r="M131" s="344">
        <v>6328</v>
      </c>
      <c r="N131" s="110"/>
      <c r="O131" s="465"/>
    </row>
    <row r="132" spans="1:15" x14ac:dyDescent="0.35">
      <c r="A132" s="585"/>
      <c r="B132" s="20" t="s">
        <v>256</v>
      </c>
      <c r="C132" s="112">
        <v>11980</v>
      </c>
      <c r="D132" s="342">
        <f>11980-60</f>
        <v>11920</v>
      </c>
      <c r="E132" s="342">
        <v>17660</v>
      </c>
      <c r="F132" s="342" t="s">
        <v>111</v>
      </c>
      <c r="G132" s="342" t="s">
        <v>111</v>
      </c>
      <c r="H132" s="342">
        <v>9486.5999999999985</v>
      </c>
      <c r="I132" s="342">
        <v>14880</v>
      </c>
      <c r="J132" s="113">
        <v>11414.44</v>
      </c>
      <c r="K132" s="342" t="s">
        <v>111</v>
      </c>
      <c r="L132" s="342" t="s">
        <v>111</v>
      </c>
      <c r="M132" s="344">
        <v>6854.4</v>
      </c>
      <c r="N132" s="110"/>
      <c r="O132" s="465"/>
    </row>
    <row r="133" spans="1:15" x14ac:dyDescent="0.35">
      <c r="A133" s="585"/>
      <c r="B133" s="20" t="s">
        <v>257</v>
      </c>
      <c r="C133" s="112">
        <v>18059.849999999999</v>
      </c>
      <c r="D133" s="342">
        <f>18059.85-60</f>
        <v>17999.849999999999</v>
      </c>
      <c r="E133" s="342" t="s">
        <v>111</v>
      </c>
      <c r="F133" s="342" t="s">
        <v>111</v>
      </c>
      <c r="G133" s="342" t="s">
        <v>111</v>
      </c>
      <c r="H133" s="342">
        <v>19376.662499999999</v>
      </c>
      <c r="I133" s="342">
        <v>30770</v>
      </c>
      <c r="J133" s="113">
        <v>24585.16</v>
      </c>
      <c r="K133" s="342" t="s">
        <v>111</v>
      </c>
      <c r="L133" s="342" t="s">
        <v>111</v>
      </c>
      <c r="M133" s="344">
        <v>13945.199999999999</v>
      </c>
      <c r="N133" s="110"/>
      <c r="O133" s="465"/>
    </row>
    <row r="134" spans="1:15" x14ac:dyDescent="0.35">
      <c r="A134" s="585"/>
      <c r="B134" s="20" t="s">
        <v>258</v>
      </c>
      <c r="C134" s="112">
        <v>32549.1</v>
      </c>
      <c r="D134" s="342">
        <f>32549.1-60</f>
        <v>32489.1</v>
      </c>
      <c r="E134" s="342" t="s">
        <v>111</v>
      </c>
      <c r="F134" s="342" t="s">
        <v>111</v>
      </c>
      <c r="G134" s="342" t="s">
        <v>111</v>
      </c>
      <c r="H134" s="342" t="s">
        <v>111</v>
      </c>
      <c r="I134" s="342" t="s">
        <v>111</v>
      </c>
      <c r="J134" s="113" t="s">
        <v>111</v>
      </c>
      <c r="K134" s="342" t="s">
        <v>111</v>
      </c>
      <c r="L134" s="342" t="s">
        <v>111</v>
      </c>
      <c r="M134" s="344" t="s">
        <v>111</v>
      </c>
      <c r="N134" s="110"/>
      <c r="O134" s="465"/>
    </row>
    <row r="135" spans="1:15" ht="15" thickBot="1" x14ac:dyDescent="0.4">
      <c r="A135" s="586"/>
      <c r="B135" s="117" t="s">
        <v>259</v>
      </c>
      <c r="C135" s="118" t="s">
        <v>111</v>
      </c>
      <c r="D135" s="345" t="s">
        <v>111</v>
      </c>
      <c r="E135" s="345" t="s">
        <v>111</v>
      </c>
      <c r="F135" s="345" t="s">
        <v>111</v>
      </c>
      <c r="G135" s="345" t="s">
        <v>111</v>
      </c>
      <c r="H135" s="345" t="s">
        <v>111</v>
      </c>
      <c r="I135" s="345">
        <v>48440</v>
      </c>
      <c r="J135" s="119" t="s">
        <v>111</v>
      </c>
      <c r="K135" s="345" t="s">
        <v>111</v>
      </c>
      <c r="L135" s="345" t="s">
        <v>111</v>
      </c>
      <c r="M135" s="346" t="s">
        <v>111</v>
      </c>
      <c r="N135" s="110"/>
      <c r="O135" s="465"/>
    </row>
    <row r="136" spans="1:15" x14ac:dyDescent="0.35">
      <c r="A136" s="616" t="s">
        <v>260</v>
      </c>
      <c r="B136" s="137" t="s">
        <v>239</v>
      </c>
      <c r="C136" s="107">
        <v>11775.1</v>
      </c>
      <c r="D136" s="358">
        <f>11775.1-60</f>
        <v>11715.1</v>
      </c>
      <c r="E136" s="358">
        <v>18840</v>
      </c>
      <c r="F136" s="358" t="s">
        <v>111</v>
      </c>
      <c r="G136" s="358" t="s">
        <v>111</v>
      </c>
      <c r="H136" s="358">
        <v>9391.7249999999985</v>
      </c>
      <c r="I136" s="358">
        <v>15270</v>
      </c>
      <c r="J136" s="108">
        <v>11746.56</v>
      </c>
      <c r="K136" s="358" t="s">
        <v>111</v>
      </c>
      <c r="L136" s="358" t="s">
        <v>111</v>
      </c>
      <c r="M136" s="359">
        <v>8015</v>
      </c>
      <c r="N136" s="110"/>
      <c r="O136" s="465"/>
    </row>
    <row r="137" spans="1:15" x14ac:dyDescent="0.35">
      <c r="A137" s="585"/>
      <c r="B137" s="20" t="s">
        <v>240</v>
      </c>
      <c r="C137" s="112">
        <v>14304.9</v>
      </c>
      <c r="D137" s="342">
        <f>14304.9-60</f>
        <v>14244.9</v>
      </c>
      <c r="E137" s="342" t="s">
        <v>111</v>
      </c>
      <c r="F137" s="342" t="s">
        <v>111</v>
      </c>
      <c r="G137" s="342" t="s">
        <v>111</v>
      </c>
      <c r="H137" s="342">
        <v>10337.400000000001</v>
      </c>
      <c r="I137" s="342">
        <v>16600</v>
      </c>
      <c r="J137" s="113">
        <v>12183.56</v>
      </c>
      <c r="K137" s="342" t="s">
        <v>111</v>
      </c>
      <c r="L137" s="342" t="s">
        <v>111</v>
      </c>
      <c r="M137" s="344">
        <v>8913.8000000000011</v>
      </c>
      <c r="N137" s="110"/>
      <c r="O137" s="465"/>
    </row>
    <row r="138" spans="1:15" x14ac:dyDescent="0.35">
      <c r="A138" s="585"/>
      <c r="B138" s="20" t="s">
        <v>261</v>
      </c>
      <c r="C138" s="112">
        <v>14997.5</v>
      </c>
      <c r="D138" s="342">
        <f>14997.5-60</f>
        <v>14937.5</v>
      </c>
      <c r="E138" s="342">
        <v>21480</v>
      </c>
      <c r="F138" s="342" t="s">
        <v>111</v>
      </c>
      <c r="G138" s="342" t="s">
        <v>111</v>
      </c>
      <c r="H138" s="342">
        <v>11556</v>
      </c>
      <c r="I138" s="342">
        <v>18190</v>
      </c>
      <c r="J138" s="113">
        <v>14272.880000000001</v>
      </c>
      <c r="K138" s="342" t="s">
        <v>111</v>
      </c>
      <c r="L138" s="342" t="s">
        <v>111</v>
      </c>
      <c r="M138" s="344">
        <v>8386.7999999999993</v>
      </c>
      <c r="N138" s="110"/>
      <c r="O138" s="465"/>
    </row>
    <row r="139" spans="1:15" x14ac:dyDescent="0.35">
      <c r="A139" s="585"/>
      <c r="B139" s="20" t="s">
        <v>262</v>
      </c>
      <c r="C139" s="112">
        <v>23233.25</v>
      </c>
      <c r="D139" s="342">
        <f>23233.25-60</f>
        <v>23173.25</v>
      </c>
      <c r="E139" s="342" t="s">
        <v>111</v>
      </c>
      <c r="F139" s="342" t="s">
        <v>111</v>
      </c>
      <c r="G139" s="342" t="s">
        <v>111</v>
      </c>
      <c r="H139" s="342">
        <v>23911.762499999997</v>
      </c>
      <c r="I139" s="342">
        <v>36440</v>
      </c>
      <c r="J139" s="113">
        <v>34192.720000000001</v>
      </c>
      <c r="K139" s="342" t="s">
        <v>111</v>
      </c>
      <c r="L139" s="342" t="s">
        <v>111</v>
      </c>
      <c r="M139" s="344">
        <v>17893.199999999997</v>
      </c>
      <c r="N139" s="110"/>
      <c r="O139" s="465"/>
    </row>
    <row r="140" spans="1:15" x14ac:dyDescent="0.35">
      <c r="A140" s="585"/>
      <c r="B140" s="20" t="s">
        <v>263</v>
      </c>
      <c r="C140" s="112">
        <v>41491.300000000003</v>
      </c>
      <c r="D140" s="342">
        <f>41491.3-60</f>
        <v>41431.300000000003</v>
      </c>
      <c r="E140" s="342" t="s">
        <v>111</v>
      </c>
      <c r="F140" s="342" t="s">
        <v>111</v>
      </c>
      <c r="G140" s="342" t="s">
        <v>111</v>
      </c>
      <c r="H140" s="342" t="s">
        <v>111</v>
      </c>
      <c r="I140" s="342" t="s">
        <v>111</v>
      </c>
      <c r="J140" s="113" t="s">
        <v>111</v>
      </c>
      <c r="K140" s="342" t="s">
        <v>111</v>
      </c>
      <c r="L140" s="342" t="s">
        <v>111</v>
      </c>
      <c r="M140" s="344" t="s">
        <v>111</v>
      </c>
      <c r="N140" s="110"/>
      <c r="O140" s="465"/>
    </row>
    <row r="141" spans="1:15" ht="15" thickBot="1" x14ac:dyDescent="0.4">
      <c r="A141" s="586"/>
      <c r="B141" s="117" t="s">
        <v>264</v>
      </c>
      <c r="C141" s="118" t="s">
        <v>111</v>
      </c>
      <c r="D141" s="345" t="s">
        <v>111</v>
      </c>
      <c r="E141" s="345" t="s">
        <v>111</v>
      </c>
      <c r="F141" s="345" t="s">
        <v>111</v>
      </c>
      <c r="G141" s="345" t="s">
        <v>111</v>
      </c>
      <c r="H141" s="345" t="s">
        <v>111</v>
      </c>
      <c r="I141" s="345">
        <v>60780</v>
      </c>
      <c r="J141" s="119" t="s">
        <v>111</v>
      </c>
      <c r="K141" s="345" t="s">
        <v>111</v>
      </c>
      <c r="L141" s="345" t="s">
        <v>111</v>
      </c>
      <c r="M141" s="346" t="s">
        <v>111</v>
      </c>
      <c r="N141" s="110"/>
      <c r="O141" s="465"/>
    </row>
  </sheetData>
  <sheetProtection algorithmName="SHA-512" hashValue="pNtTxZU5H+Zc5agVVesuhKpApKtjrOK8DBQ1l4FbyVIua6x+AqOuF6r6ts+L0jdp5uo/d5HaqQC4CxK/Je1arw==" saltValue="kTFnsRnM/MckS4cWX8BSkA==" spinCount="100000" sheet="1" objects="1" scenarios="1"/>
  <mergeCells count="33">
    <mergeCell ref="A130:A135"/>
    <mergeCell ref="A136:A141"/>
    <mergeCell ref="A97:A102"/>
    <mergeCell ref="A103:A108"/>
    <mergeCell ref="A112:A117"/>
    <mergeCell ref="A118:A123"/>
    <mergeCell ref="A124:A129"/>
    <mergeCell ref="A109:B110"/>
    <mergeCell ref="A2:B2"/>
    <mergeCell ref="A3:B3"/>
    <mergeCell ref="A4:B4"/>
    <mergeCell ref="A5:B5"/>
    <mergeCell ref="A6:B6"/>
    <mergeCell ref="A85:A90"/>
    <mergeCell ref="A91:A96"/>
    <mergeCell ref="A59:A64"/>
    <mergeCell ref="A65:A70"/>
    <mergeCell ref="A73:B73"/>
    <mergeCell ref="A74:B74"/>
    <mergeCell ref="A75:B75"/>
    <mergeCell ref="A76:B76"/>
    <mergeCell ref="A41:A46"/>
    <mergeCell ref="A47:A52"/>
    <mergeCell ref="A53:A58"/>
    <mergeCell ref="A77:B77"/>
    <mergeCell ref="A79:A84"/>
    <mergeCell ref="O6:O38"/>
    <mergeCell ref="A8:A13"/>
    <mergeCell ref="A14:A19"/>
    <mergeCell ref="A20:A25"/>
    <mergeCell ref="A26:A31"/>
    <mergeCell ref="A32:A37"/>
    <mergeCell ref="A38:B39"/>
  </mergeCells>
  <conditionalFormatting sqref="D9 H9:J9 L9:M9">
    <cfRule type="top10" dxfId="523" priority="282" bottom="1" rank="2"/>
    <cfRule type="top10" dxfId="522" priority="281" bottom="1" rank="1"/>
  </conditionalFormatting>
  <conditionalFormatting sqref="D11 H11:I11 L11:M11">
    <cfRule type="top10" dxfId="521" priority="272" bottom="1" rank="2"/>
    <cfRule type="top10" dxfId="520" priority="271" bottom="1" rank="1"/>
  </conditionalFormatting>
  <conditionalFormatting sqref="D15 H15:J15 L15:M15">
    <cfRule type="top10" dxfId="519" priority="268" bottom="1" rank="2"/>
    <cfRule type="top10" dxfId="518" priority="267" bottom="1" rank="1"/>
  </conditionalFormatting>
  <conditionalFormatting sqref="D17 H17:I17 L17:M17">
    <cfRule type="top10" dxfId="517" priority="258" bottom="1" rank="2"/>
    <cfRule type="top10" dxfId="516" priority="257" bottom="1" rank="1"/>
  </conditionalFormatting>
  <conditionalFormatting sqref="D21 H21:J21 L21:M21">
    <cfRule type="top10" dxfId="515" priority="254" bottom="1" rank="2"/>
    <cfRule type="top10" dxfId="514" priority="253" bottom="1" rank="1"/>
  </conditionalFormatting>
  <conditionalFormatting sqref="D23 H23:I23 L23:M23">
    <cfRule type="top10" dxfId="513" priority="244" bottom="1" rank="2"/>
    <cfRule type="top10" dxfId="512" priority="243" bottom="1" rank="1"/>
  </conditionalFormatting>
  <conditionalFormatting sqref="D27 H27:J27 L27:M27">
    <cfRule type="top10" dxfId="511" priority="239" bottom="1" rank="1"/>
    <cfRule type="top10" dxfId="510" priority="240" bottom="1" rank="2"/>
  </conditionalFormatting>
  <conditionalFormatting sqref="D29 H29:I29 L29:M29">
    <cfRule type="top10" dxfId="509" priority="230" bottom="1" rank="2"/>
    <cfRule type="top10" dxfId="508" priority="229" bottom="1" rank="1"/>
  </conditionalFormatting>
  <conditionalFormatting sqref="D33 H33:J33 L33:M33">
    <cfRule type="top10" dxfId="507" priority="225" bottom="1" rank="1"/>
    <cfRule type="top10" dxfId="506" priority="226" bottom="1" rank="2"/>
  </conditionalFormatting>
  <conditionalFormatting sqref="D35 H35:I35 L35:M35">
    <cfRule type="top10" dxfId="505" priority="215" bottom="1" rank="1"/>
    <cfRule type="top10" dxfId="504" priority="216" bottom="1" rank="2"/>
  </conditionalFormatting>
  <conditionalFormatting sqref="D38 M38 D40 M40 D109 M109 D111 M111">
    <cfRule type="expression" dxfId="503" priority="2593">
      <formula>RANK(D38,$D38:$M38,1)=1</formula>
    </cfRule>
    <cfRule type="expression" dxfId="502" priority="2592">
      <formula>RANK(D38,$D38:$M38,1)=2</formula>
    </cfRule>
  </conditionalFormatting>
  <conditionalFormatting sqref="D42 H42:J42 M42">
    <cfRule type="top10" dxfId="501" priority="69" bottom="1" rank="1"/>
    <cfRule type="top10" dxfId="500" priority="70" bottom="1" rank="2"/>
  </conditionalFormatting>
  <conditionalFormatting sqref="D44 H44:I44 M44">
    <cfRule type="top10" dxfId="499" priority="59" bottom="1" rank="1"/>
    <cfRule type="top10" dxfId="498" priority="60" bottom="1" rank="2"/>
  </conditionalFormatting>
  <conditionalFormatting sqref="D45 F45:G45">
    <cfRule type="top10" dxfId="497" priority="61" bottom="1" rank="1"/>
    <cfRule type="top10" dxfId="496" priority="62" bottom="1" rank="2"/>
  </conditionalFormatting>
  <conditionalFormatting sqref="D48 H48:J48 M48">
    <cfRule type="top10" dxfId="495" priority="56" bottom="1" rank="2"/>
    <cfRule type="top10" dxfId="494" priority="55" bottom="1" rank="1"/>
  </conditionalFormatting>
  <conditionalFormatting sqref="D50 H50:I50 M50">
    <cfRule type="top10" dxfId="493" priority="45" bottom="1" rank="1"/>
    <cfRule type="top10" dxfId="492" priority="46" bottom="1" rank="2"/>
  </conditionalFormatting>
  <conditionalFormatting sqref="D51 F51:G51">
    <cfRule type="top10" dxfId="491" priority="48" bottom="1" rank="2"/>
    <cfRule type="top10" dxfId="490" priority="47" bottom="1" rank="1"/>
  </conditionalFormatting>
  <conditionalFormatting sqref="D54 H54:J54 M54">
    <cfRule type="top10" dxfId="489" priority="41" bottom="1" rank="1"/>
    <cfRule type="top10" dxfId="488" priority="42" bottom="1" rank="2"/>
  </conditionalFormatting>
  <conditionalFormatting sqref="D56 H56:I56 M56">
    <cfRule type="top10" dxfId="487" priority="31" bottom="1" rank="1"/>
    <cfRule type="top10" dxfId="486" priority="32" bottom="1" rank="2"/>
  </conditionalFormatting>
  <conditionalFormatting sqref="D57 F57:G57">
    <cfRule type="top10" dxfId="485" priority="34" bottom="1" rank="2"/>
    <cfRule type="top10" dxfId="484" priority="33" bottom="1" rank="1"/>
  </conditionalFormatting>
  <conditionalFormatting sqref="D60 H60:J60 M60">
    <cfRule type="top10" dxfId="483" priority="27" bottom="1" rank="1"/>
    <cfRule type="top10" dxfId="482" priority="28" bottom="1" rank="2"/>
  </conditionalFormatting>
  <conditionalFormatting sqref="D62 H62:I62 M62">
    <cfRule type="top10" dxfId="481" priority="18" bottom="1" rank="2"/>
    <cfRule type="top10" dxfId="480" priority="17" bottom="1" rank="1"/>
  </conditionalFormatting>
  <conditionalFormatting sqref="D63 F63:G63">
    <cfRule type="top10" dxfId="479" priority="20" bottom="1" rank="2"/>
    <cfRule type="top10" dxfId="478" priority="19" bottom="1" rank="1"/>
  </conditionalFormatting>
  <conditionalFormatting sqref="D66 H66:J66 M66">
    <cfRule type="top10" dxfId="477" priority="14" bottom="1" rank="2"/>
    <cfRule type="top10" dxfId="476" priority="13" bottom="1" rank="1"/>
  </conditionalFormatting>
  <conditionalFormatting sqref="D68 H68:I68 M68">
    <cfRule type="top10" dxfId="475" priority="4" bottom="1" rank="2"/>
    <cfRule type="top10" dxfId="474" priority="3" bottom="1" rank="1"/>
  </conditionalFormatting>
  <conditionalFormatting sqref="D69 F69:G69">
    <cfRule type="top10" dxfId="473" priority="6" bottom="1" rank="2"/>
    <cfRule type="top10" dxfId="472" priority="5" bottom="1" rank="1"/>
  </conditionalFormatting>
  <conditionalFormatting sqref="D80 H80:J80 L80:M80">
    <cfRule type="top10" dxfId="471" priority="212" bottom="1" rank="2"/>
    <cfRule type="top10" dxfId="470" priority="211" bottom="1" rank="1"/>
  </conditionalFormatting>
  <conditionalFormatting sqref="D82 H82:I82 L82:M82">
    <cfRule type="top10" dxfId="469" priority="202" bottom="1" rank="2"/>
    <cfRule type="top10" dxfId="468" priority="201" bottom="1" rank="1"/>
  </conditionalFormatting>
  <conditionalFormatting sqref="D86 H86:J86 L86:M86">
    <cfRule type="top10" dxfId="467" priority="197" bottom="1" rank="1"/>
    <cfRule type="top10" dxfId="466" priority="198" bottom="1" rank="2"/>
  </conditionalFormatting>
  <conditionalFormatting sqref="D88 H88:I88 L88:M88">
    <cfRule type="top10" dxfId="465" priority="188" bottom="1" rank="2"/>
    <cfRule type="top10" dxfId="464" priority="187" bottom="1" rank="1"/>
  </conditionalFormatting>
  <conditionalFormatting sqref="D92 H92:J92 L92:M92">
    <cfRule type="top10" dxfId="463" priority="184" bottom="1" rank="2"/>
    <cfRule type="top10" dxfId="462" priority="183" bottom="1" rank="1"/>
  </conditionalFormatting>
  <conditionalFormatting sqref="D95 F95:G95">
    <cfRule type="top10" dxfId="461" priority="176" bottom="1" rank="2"/>
    <cfRule type="top10" dxfId="460" priority="175" bottom="1" rank="1"/>
  </conditionalFormatting>
  <conditionalFormatting sqref="D98 H98:J98 L98:M98">
    <cfRule type="top10" dxfId="459" priority="170" bottom="1" rank="2"/>
    <cfRule type="top10" dxfId="458" priority="169" bottom="1" rank="1"/>
  </conditionalFormatting>
  <conditionalFormatting sqref="D100 H100:I100 L100:M100">
    <cfRule type="top10" dxfId="457" priority="160" bottom="1" rank="2"/>
    <cfRule type="top10" dxfId="456" priority="159" bottom="1" rank="1"/>
  </conditionalFormatting>
  <conditionalFormatting sqref="D104 H104:J104 L104:M104">
    <cfRule type="top10" dxfId="455" priority="156" bottom="1" rank="2"/>
    <cfRule type="top10" dxfId="454" priority="155" bottom="1" rank="1"/>
  </conditionalFormatting>
  <conditionalFormatting sqref="D106 H106:I106 L106:M106">
    <cfRule type="top10" dxfId="453" priority="146" bottom="1" rank="2"/>
    <cfRule type="top10" dxfId="452" priority="145" bottom="1" rank="1"/>
  </conditionalFormatting>
  <conditionalFormatting sqref="D113 H113:J113 M113">
    <cfRule type="top10" dxfId="451" priority="142" bottom="1" rank="2"/>
    <cfRule type="top10" dxfId="450" priority="141" bottom="1" rank="1"/>
  </conditionalFormatting>
  <conditionalFormatting sqref="D115 H115:I115 M115">
    <cfRule type="top10" dxfId="449" priority="131" bottom="1" rank="1"/>
    <cfRule type="top10" dxfId="448" priority="132" bottom="1" rank="2"/>
  </conditionalFormatting>
  <conditionalFormatting sqref="D116 F116:G116">
    <cfRule type="top10" dxfId="447" priority="133" bottom="1" rank="1"/>
    <cfRule type="top10" dxfId="446" priority="134" bottom="1" rank="2"/>
  </conditionalFormatting>
  <conditionalFormatting sqref="D119 H119:J119 M119">
    <cfRule type="top10" dxfId="445" priority="128" bottom="1" rank="2"/>
    <cfRule type="top10" dxfId="444" priority="127" bottom="1" rank="1"/>
  </conditionalFormatting>
  <conditionalFormatting sqref="D121 H121:I121 M121">
    <cfRule type="top10" dxfId="443" priority="117" bottom="1" rank="1"/>
    <cfRule type="top10" dxfId="442" priority="118" bottom="1" rank="2"/>
  </conditionalFormatting>
  <conditionalFormatting sqref="D122 F122:G122">
    <cfRule type="top10" dxfId="441" priority="119" bottom="1" rank="1"/>
    <cfRule type="top10" dxfId="440" priority="120" bottom="1" rank="2"/>
  </conditionalFormatting>
  <conditionalFormatting sqref="D125 H125:J125 M125">
    <cfRule type="top10" dxfId="439" priority="114" bottom="1" rank="2"/>
    <cfRule type="top10" dxfId="438" priority="113" bottom="1" rank="1"/>
  </conditionalFormatting>
  <conditionalFormatting sqref="D127 H127:I127 M127">
    <cfRule type="top10" dxfId="437" priority="103" bottom="1" rank="1"/>
    <cfRule type="top10" dxfId="436" priority="104" bottom="1" rank="2"/>
  </conditionalFormatting>
  <conditionalFormatting sqref="D128 F128:G128">
    <cfRule type="top10" dxfId="435" priority="105" bottom="1" rank="1"/>
    <cfRule type="top10" dxfId="434" priority="106" bottom="1" rank="2"/>
  </conditionalFormatting>
  <conditionalFormatting sqref="D131 H131:J131 M131">
    <cfRule type="top10" dxfId="433" priority="99" bottom="1" rank="1"/>
    <cfRule type="top10" dxfId="432" priority="100" bottom="1" rank="2"/>
  </conditionalFormatting>
  <conditionalFormatting sqref="D133 H133:I133 M133">
    <cfRule type="top10" dxfId="431" priority="90" bottom="1" rank="2"/>
    <cfRule type="top10" dxfId="430" priority="89" bottom="1" rank="1"/>
  </conditionalFormatting>
  <conditionalFormatting sqref="D134 F134:G134">
    <cfRule type="top10" dxfId="429" priority="91" bottom="1" rank="1"/>
    <cfRule type="top10" dxfId="428" priority="92" bottom="1" rank="2"/>
  </conditionalFormatting>
  <conditionalFormatting sqref="D137 H137:J137 M137">
    <cfRule type="top10" dxfId="427" priority="86" bottom="1" rank="2"/>
    <cfRule type="top10" dxfId="426" priority="85" bottom="1" rank="1"/>
  </conditionalFormatting>
  <conditionalFormatting sqref="D139 H139:I139 M139">
    <cfRule type="top10" dxfId="425" priority="75" bottom="1" rank="1"/>
    <cfRule type="top10" dxfId="424" priority="76" bottom="1" rank="2"/>
  </conditionalFormatting>
  <conditionalFormatting sqref="D140 F140:G140">
    <cfRule type="top10" dxfId="423" priority="77" bottom="1" rank="1"/>
    <cfRule type="top10" dxfId="422" priority="78" bottom="1" rank="2"/>
  </conditionalFormatting>
  <conditionalFormatting sqref="D8:E8 H8:J8 M8">
    <cfRule type="top10" dxfId="421" priority="284" bottom="1" rank="2"/>
    <cfRule type="top10" dxfId="420" priority="283" bottom="1" rank="1"/>
  </conditionalFormatting>
  <conditionalFormatting sqref="D10:E10 H10:J10 L10:M10">
    <cfRule type="top10" dxfId="419" priority="279" bottom="1" rank="1"/>
    <cfRule type="top10" dxfId="418" priority="280" bottom="1" rank="2"/>
  </conditionalFormatting>
  <conditionalFormatting sqref="D14:E14 H14:J14 M14">
    <cfRule type="top10" dxfId="417" priority="269" bottom="1" rank="1"/>
    <cfRule type="top10" dxfId="416" priority="270" bottom="1" rank="2"/>
  </conditionalFormatting>
  <conditionalFormatting sqref="D16:E16 H16:J16 L16:M16">
    <cfRule type="top10" dxfId="415" priority="265" bottom="1" rank="1"/>
    <cfRule type="top10" dxfId="414" priority="266" bottom="1" rank="2"/>
  </conditionalFormatting>
  <conditionalFormatting sqref="D20:E20 H20:J20 M20">
    <cfRule type="top10" dxfId="413" priority="256" bottom="1" rank="2"/>
    <cfRule type="top10" dxfId="412" priority="255" bottom="1" rank="1"/>
  </conditionalFormatting>
  <conditionalFormatting sqref="D22:E22 H22:J22 L22:M22">
    <cfRule type="top10" dxfId="411" priority="251" bottom="1" rank="1"/>
    <cfRule type="top10" dxfId="410" priority="252" bottom="1" rank="2"/>
  </conditionalFormatting>
  <conditionalFormatting sqref="D26:E26 H26:J26 M26">
    <cfRule type="top10" dxfId="409" priority="242" bottom="1" rank="2"/>
    <cfRule type="top10" dxfId="408" priority="241" bottom="1" rank="1"/>
  </conditionalFormatting>
  <conditionalFormatting sqref="D28:E28 H28:J28 L28:M28">
    <cfRule type="top10" dxfId="407" priority="238" bottom="1" rank="2"/>
    <cfRule type="top10" dxfId="406" priority="237" bottom="1" rank="1"/>
  </conditionalFormatting>
  <conditionalFormatting sqref="D32:E32 H32:J32 M32">
    <cfRule type="top10" dxfId="405" priority="228" bottom="1" rank="2"/>
    <cfRule type="top10" dxfId="404" priority="227" bottom="1" rank="1"/>
  </conditionalFormatting>
  <conditionalFormatting sqref="D34:E34 H34:J34 L34:M34">
    <cfRule type="top10" dxfId="403" priority="224" bottom="1" rank="2"/>
    <cfRule type="top10" dxfId="402" priority="223" bottom="1" rank="1"/>
  </conditionalFormatting>
  <conditionalFormatting sqref="D41:E41 H41:J41 M41">
    <cfRule type="top10" dxfId="401" priority="71" bottom="1" rank="1"/>
    <cfRule type="top10" dxfId="400" priority="72" bottom="1" rank="2"/>
  </conditionalFormatting>
  <conditionalFormatting sqref="D43:E43 H43:J43 M43">
    <cfRule type="top10" dxfId="399" priority="67" bottom="1" rank="1"/>
    <cfRule type="top10" dxfId="398" priority="68" bottom="1" rank="2"/>
  </conditionalFormatting>
  <conditionalFormatting sqref="D47:E47 H47:J47 M47">
    <cfRule type="top10" dxfId="397" priority="57" bottom="1" rank="1"/>
    <cfRule type="top10" dxfId="396" priority="58" bottom="1" rank="2"/>
  </conditionalFormatting>
  <conditionalFormatting sqref="D49:E49 H49:J49 M49">
    <cfRule type="top10" dxfId="395" priority="53" bottom="1" rank="1"/>
    <cfRule type="top10" dxfId="394" priority="54" bottom="1" rank="2"/>
  </conditionalFormatting>
  <conditionalFormatting sqref="D53:E53 H53:J53 M53">
    <cfRule type="top10" dxfId="393" priority="43" bottom="1" rank="1"/>
    <cfRule type="top10" dxfId="392" priority="44" bottom="1" rank="2"/>
  </conditionalFormatting>
  <conditionalFormatting sqref="D55:E55 H55:J55 M55">
    <cfRule type="top10" dxfId="391" priority="39" bottom="1" rank="1"/>
    <cfRule type="top10" dxfId="390" priority="40" bottom="1" rank="2"/>
  </conditionalFormatting>
  <conditionalFormatting sqref="D59:E59 H59:J59 M59">
    <cfRule type="top10" dxfId="389" priority="30" bottom="1" rank="2"/>
    <cfRule type="top10" dxfId="388" priority="29" bottom="1" rank="1"/>
  </conditionalFormatting>
  <conditionalFormatting sqref="D61:E61 H61:J61 M61">
    <cfRule type="top10" dxfId="387" priority="26" bottom="1" rank="2"/>
    <cfRule type="top10" dxfId="386" priority="25" bottom="1" rank="1"/>
  </conditionalFormatting>
  <conditionalFormatting sqref="D65:E65 H65:J65 M65">
    <cfRule type="top10" dxfId="385" priority="16" bottom="1" rank="2"/>
    <cfRule type="top10" dxfId="384" priority="15" bottom="1" rank="1"/>
  </conditionalFormatting>
  <conditionalFormatting sqref="D67:E67 H67:J67 M67">
    <cfRule type="top10" dxfId="383" priority="11" bottom="1" rank="1"/>
    <cfRule type="top10" dxfId="382" priority="12" bottom="1" rank="2"/>
  </conditionalFormatting>
  <conditionalFormatting sqref="D79:E79 H79:J79 M79">
    <cfRule type="top10" dxfId="381" priority="213" bottom="1" rank="1"/>
    <cfRule type="top10" dxfId="380" priority="214" bottom="1" rank="2"/>
  </conditionalFormatting>
  <conditionalFormatting sqref="D81:E81 H81:J81 L81:M81">
    <cfRule type="top10" dxfId="379" priority="209" bottom="1" rank="1"/>
    <cfRule type="top10" dxfId="378" priority="210" bottom="1" rank="2"/>
  </conditionalFormatting>
  <conditionalFormatting sqref="D85:E85 H85:J85 M85">
    <cfRule type="top10" dxfId="377" priority="199" bottom="1" rank="1"/>
    <cfRule type="top10" dxfId="376" priority="200" bottom="1" rank="2"/>
  </conditionalFormatting>
  <conditionalFormatting sqref="D87:E87 H87:J87 L87:M87">
    <cfRule type="top10" dxfId="375" priority="196" bottom="1" rank="2"/>
    <cfRule type="top10" dxfId="374" priority="195" bottom="1" rank="1"/>
  </conditionalFormatting>
  <conditionalFormatting sqref="D91:E91 H91:J91 M91">
    <cfRule type="top10" dxfId="373" priority="185" bottom="1" rank="1"/>
    <cfRule type="top10" dxfId="372" priority="186" bottom="1" rank="2"/>
  </conditionalFormatting>
  <conditionalFormatting sqref="D93:E93 H93:J93 L93:M93">
    <cfRule type="top10" dxfId="371" priority="181" bottom="1" rank="1"/>
    <cfRule type="top10" dxfId="370" priority="182" bottom="1" rank="2"/>
  </conditionalFormatting>
  <conditionalFormatting sqref="D97:E97 H97:J97 M97">
    <cfRule type="top10" dxfId="369" priority="171" bottom="1" rank="1"/>
    <cfRule type="top10" dxfId="368" priority="172" bottom="1" rank="2"/>
  </conditionalFormatting>
  <conditionalFormatting sqref="D99:E99 H99:J99 L99:M99">
    <cfRule type="top10" dxfId="367" priority="167" bottom="1" rank="1"/>
    <cfRule type="top10" dxfId="366" priority="168" bottom="1" rank="2"/>
  </conditionalFormatting>
  <conditionalFormatting sqref="D103:E103 H103:J103 M103">
    <cfRule type="top10" dxfId="365" priority="157" bottom="1" rank="1"/>
    <cfRule type="top10" dxfId="364" priority="158" bottom="1" rank="2"/>
  </conditionalFormatting>
  <conditionalFormatting sqref="D105:E105 H105:J105 L105:M105">
    <cfRule type="top10" dxfId="363" priority="153" bottom="1" rank="1"/>
    <cfRule type="top10" dxfId="362" priority="154" bottom="1" rank="2"/>
  </conditionalFormatting>
  <conditionalFormatting sqref="D112:E112 H112:J112 M112">
    <cfRule type="top10" dxfId="361" priority="144" bottom="1" rank="2"/>
    <cfRule type="top10" dxfId="360" priority="143" bottom="1" rank="1"/>
  </conditionalFormatting>
  <conditionalFormatting sqref="D114:E114 H114:J114 M114">
    <cfRule type="top10" dxfId="359" priority="139" bottom="1" rank="1"/>
    <cfRule type="top10" dxfId="358" priority="140" bottom="1" rank="2"/>
  </conditionalFormatting>
  <conditionalFormatting sqref="D118:E118 H118:J118 M118">
    <cfRule type="top10" dxfId="357" priority="129" bottom="1" rank="1"/>
    <cfRule type="top10" dxfId="356" priority="130" bottom="1" rank="2"/>
  </conditionalFormatting>
  <conditionalFormatting sqref="D120:E120 H120:J120 M120">
    <cfRule type="top10" dxfId="355" priority="126" bottom="1" rank="2"/>
    <cfRule type="top10" dxfId="354" priority="125" bottom="1" rank="1"/>
  </conditionalFormatting>
  <conditionalFormatting sqref="D124:E124 H124:J124 M124">
    <cfRule type="top10" dxfId="353" priority="116" bottom="1" rank="2"/>
    <cfRule type="top10" dxfId="352" priority="115" bottom="1" rank="1"/>
  </conditionalFormatting>
  <conditionalFormatting sqref="D126:E126 H126:J126 M126">
    <cfRule type="top10" dxfId="351" priority="111" bottom="1" rank="1"/>
    <cfRule type="top10" dxfId="350" priority="112" bottom="1" rank="2"/>
  </conditionalFormatting>
  <conditionalFormatting sqref="D130:E130 H130:J130 M130">
    <cfRule type="top10" dxfId="349" priority="101" bottom="1" rank="1"/>
    <cfRule type="top10" dxfId="348" priority="102" bottom="1" rank="2"/>
  </conditionalFormatting>
  <conditionalFormatting sqref="D132:E132 H132:J132 M132">
    <cfRule type="top10" dxfId="347" priority="98" bottom="1" rank="2"/>
    <cfRule type="top10" dxfId="346" priority="97" bottom="1" rank="1"/>
  </conditionalFormatting>
  <conditionalFormatting sqref="D136:E136 H136:J136 M136">
    <cfRule type="top10" dxfId="345" priority="87" bottom="1" rank="1"/>
    <cfRule type="top10" dxfId="344" priority="88" bottom="1" rank="2"/>
  </conditionalFormatting>
  <conditionalFormatting sqref="D138:E138 H138:J138 M138">
    <cfRule type="top10" dxfId="343" priority="84" bottom="1" rank="2"/>
    <cfRule type="top10" dxfId="342" priority="83" bottom="1" rank="1"/>
  </conditionalFormatting>
  <conditionalFormatting sqref="H45:K45 M45">
    <cfRule type="top10" dxfId="341" priority="65" bottom="1" rank="1"/>
    <cfRule type="top10" dxfId="340" priority="66" bottom="1" rank="2"/>
  </conditionalFormatting>
  <conditionalFormatting sqref="H51:K51 M51">
    <cfRule type="top10" dxfId="339" priority="52" bottom="1" rank="2"/>
    <cfRule type="top10" dxfId="338" priority="51" bottom="1" rank="1"/>
  </conditionalFormatting>
  <conditionalFormatting sqref="H57:K57 M57">
    <cfRule type="top10" dxfId="337" priority="38" bottom="1" rank="2"/>
    <cfRule type="top10" dxfId="336" priority="37" bottom="1" rank="1"/>
  </conditionalFormatting>
  <conditionalFormatting sqref="H63:K63 M63">
    <cfRule type="top10" dxfId="335" priority="23" bottom="1" rank="1"/>
    <cfRule type="top10" dxfId="334" priority="24" bottom="1" rank="2"/>
  </conditionalFormatting>
  <conditionalFormatting sqref="H69:K69 M69">
    <cfRule type="top10" dxfId="333" priority="9" bottom="1" rank="1"/>
    <cfRule type="top10" dxfId="332" priority="10" bottom="1" rank="2"/>
  </conditionalFormatting>
  <conditionalFormatting sqref="H116:K116 M116">
    <cfRule type="top10" dxfId="331" priority="137" bottom="1" rank="1"/>
    <cfRule type="top10" dxfId="330" priority="138" bottom="1" rank="2"/>
  </conditionalFormatting>
  <conditionalFormatting sqref="H122:K122 M122">
    <cfRule type="top10" dxfId="329" priority="123" bottom="1" rank="1"/>
    <cfRule type="top10" dxfId="328" priority="124" bottom="1" rank="2"/>
  </conditionalFormatting>
  <conditionalFormatting sqref="H128:K128 M128">
    <cfRule type="top10" dxfId="327" priority="109" bottom="1" rank="1"/>
    <cfRule type="top10" dxfId="326" priority="110" bottom="1" rank="2"/>
  </conditionalFormatting>
  <conditionalFormatting sqref="H134:K134 M134">
    <cfRule type="top10" dxfId="325" priority="96" bottom="1" rank="2"/>
    <cfRule type="top10" dxfId="324" priority="95" bottom="1" rank="1"/>
  </conditionalFormatting>
  <conditionalFormatting sqref="H140:K140 M140">
    <cfRule type="top10" dxfId="323" priority="82" bottom="1" rank="2"/>
    <cfRule type="top10" dxfId="322" priority="81" bottom="1" rank="1"/>
  </conditionalFormatting>
  <conditionalFormatting sqref="H95:M95">
    <cfRule type="top10" dxfId="321" priority="180" bottom="1" rank="2"/>
    <cfRule type="top10" dxfId="320" priority="179" bottom="1" rank="1"/>
  </conditionalFormatting>
  <conditionalFormatting sqref="I13 L13">
    <cfRule type="top10" dxfId="319" priority="276" bottom="1" rank="2"/>
    <cfRule type="top10" dxfId="318" priority="275" bottom="1" rank="1"/>
  </conditionalFormatting>
  <conditionalFormatting sqref="I19 L19">
    <cfRule type="top10" dxfId="317" priority="262" bottom="1" rank="2"/>
    <cfRule type="top10" dxfId="316" priority="261" bottom="1" rank="1"/>
  </conditionalFormatting>
  <conditionalFormatting sqref="I25 L25">
    <cfRule type="top10" dxfId="315" priority="247" bottom="1" rank="1"/>
    <cfRule type="top10" dxfId="314" priority="248" bottom="1" rank="2"/>
  </conditionalFormatting>
  <conditionalFormatting sqref="I31 L31">
    <cfRule type="top10" dxfId="313" priority="233" bottom="1" rank="1"/>
    <cfRule type="top10" dxfId="312" priority="234" bottom="1" rank="2"/>
  </conditionalFormatting>
  <conditionalFormatting sqref="I37 L37">
    <cfRule type="top10" dxfId="311" priority="219" bottom="1" rank="1"/>
    <cfRule type="top10" dxfId="310" priority="220" bottom="1" rank="2"/>
  </conditionalFormatting>
  <conditionalFormatting sqref="I46">
    <cfRule type="top10" dxfId="309" priority="63" bottom="1" rank="1"/>
    <cfRule type="top10" dxfId="308" priority="64" bottom="1" rank="2"/>
  </conditionalFormatting>
  <conditionalFormatting sqref="I52">
    <cfRule type="top10" dxfId="307" priority="50" bottom="1" rank="2"/>
    <cfRule type="top10" dxfId="306" priority="49" bottom="1" rank="1"/>
  </conditionalFormatting>
  <conditionalFormatting sqref="I58">
    <cfRule type="top10" dxfId="305" priority="36" bottom="1" rank="2"/>
    <cfRule type="top10" dxfId="304" priority="35" bottom="1" rank="1"/>
  </conditionalFormatting>
  <conditionalFormatting sqref="I64">
    <cfRule type="top10" dxfId="303" priority="22" bottom="1" rank="2"/>
    <cfRule type="top10" dxfId="302" priority="21" bottom="1" rank="1"/>
  </conditionalFormatting>
  <conditionalFormatting sqref="I70">
    <cfRule type="top10" dxfId="301" priority="8" bottom="1" rank="2"/>
    <cfRule type="top10" dxfId="300" priority="7" bottom="1" rank="1"/>
  </conditionalFormatting>
  <conditionalFormatting sqref="I84 L84">
    <cfRule type="top10" dxfId="299" priority="205" bottom="1" rank="1"/>
    <cfRule type="top10" dxfId="298" priority="206" bottom="1" rank="2"/>
  </conditionalFormatting>
  <conditionalFormatting sqref="I90 L90">
    <cfRule type="top10" dxfId="297" priority="191" bottom="1" rank="1"/>
    <cfRule type="top10" dxfId="296" priority="192" bottom="1" rank="2"/>
  </conditionalFormatting>
  <conditionalFormatting sqref="I96 L96">
    <cfRule type="top10" dxfId="295" priority="177" bottom="1" rank="1"/>
    <cfRule type="top10" dxfId="294" priority="178" bottom="1" rank="2"/>
  </conditionalFormatting>
  <conditionalFormatting sqref="I102 L102">
    <cfRule type="top10" dxfId="293" priority="163" bottom="1" rank="1"/>
    <cfRule type="top10" dxfId="292" priority="164" bottom="1" rank="2"/>
  </conditionalFormatting>
  <conditionalFormatting sqref="I108 L108">
    <cfRule type="top10" dxfId="291" priority="149" bottom="1" rank="1"/>
    <cfRule type="top10" dxfId="290" priority="150" bottom="1" rank="2"/>
  </conditionalFormatting>
  <conditionalFormatting sqref="I117">
    <cfRule type="top10" dxfId="289" priority="135" bottom="1" rank="1"/>
    <cfRule type="top10" dxfId="288" priority="136" bottom="1" rank="2"/>
  </conditionalFormatting>
  <conditionalFormatting sqref="I123">
    <cfRule type="top10" dxfId="287" priority="122" bottom="1" rank="2"/>
    <cfRule type="top10" dxfId="286" priority="121" bottom="1" rank="1"/>
  </conditionalFormatting>
  <conditionalFormatting sqref="I129">
    <cfRule type="top10" dxfId="285" priority="108" bottom="1" rank="2"/>
    <cfRule type="top10" dxfId="284" priority="107" bottom="1" rank="1"/>
  </conditionalFormatting>
  <conditionalFormatting sqref="I135">
    <cfRule type="top10" dxfId="283" priority="94" bottom="1" rank="2"/>
    <cfRule type="top10" dxfId="282" priority="93" bottom="1" rank="1"/>
  </conditionalFormatting>
  <conditionalFormatting sqref="I141">
    <cfRule type="top10" dxfId="281" priority="80" bottom="1" rank="2"/>
    <cfRule type="top10" dxfId="280" priority="79" bottom="1" rank="1"/>
  </conditionalFormatting>
  <conditionalFormatting sqref="L70">
    <cfRule type="top10" dxfId="279" priority="1" bottom="1" rank="1"/>
    <cfRule type="top10" dxfId="278" priority="2" bottom="1" rank="2"/>
  </conditionalFormatting>
  <conditionalFormatting sqref="L141">
    <cfRule type="top10" dxfId="277" priority="74" bottom="1" rank="2"/>
    <cfRule type="top10" dxfId="276" priority="73" bottom="1" rank="1"/>
  </conditionalFormatting>
  <conditionalFormatting sqref="N8:N70 N79:N141">
    <cfRule type="expression" dxfId="275" priority="2938">
      <formula>RANK(N8,$D8:$M8,1)=1</formula>
    </cfRule>
  </conditionalFormatting>
  <conditionalFormatting sqref="N8:N70">
    <cfRule type="expression" dxfId="274" priority="2940">
      <formula>RANK(N8,$D8:$M8,1)=2</formula>
    </cfRule>
  </conditionalFormatting>
  <printOptions horizontalCentered="1" verticalCentered="1"/>
  <pageMargins left="0" right="0" top="0" bottom="0" header="0" footer="0"/>
  <pageSetup paperSize="9" scale="36" orientation="portrait" r:id="rId1"/>
  <headerFooter>
    <oddFooter>&amp;L_x000D_&amp;1#&amp;"Calibri"&amp;8&amp;K008000 Public</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36592-1171-4F9E-B100-0249123BDCD3}">
  <sheetPr codeName="Sheet14">
    <pageSetUpPr fitToPage="1"/>
  </sheetPr>
  <dimension ref="A1:O141"/>
  <sheetViews>
    <sheetView showGridLines="0" topLeftCell="A2" zoomScale="75" zoomScaleNormal="75" zoomScaleSheetLayoutView="70" workbookViewId="0">
      <selection activeCell="J87" sqref="J87"/>
    </sheetView>
  </sheetViews>
  <sheetFormatPr defaultColWidth="22.54296875" defaultRowHeight="14.5" x14ac:dyDescent="0.35"/>
  <cols>
    <col min="1" max="1" width="12.54296875" style="157" customWidth="1"/>
    <col min="2" max="2" width="18.453125" style="158" customWidth="1"/>
    <col min="3" max="3" width="25.54296875" style="124" hidden="1" customWidth="1"/>
    <col min="4" max="4" width="25.54296875" style="124" customWidth="1"/>
    <col min="5" max="5" width="16" style="124" customWidth="1"/>
    <col min="6" max="6" width="19" style="124" hidden="1" customWidth="1"/>
    <col min="7" max="7" width="19" style="124" customWidth="1"/>
    <col min="8" max="9" width="16" style="124" customWidth="1"/>
    <col min="10" max="10" width="17.81640625" style="124" customWidth="1"/>
    <col min="11" max="11" width="1.54296875" style="124" hidden="1" customWidth="1"/>
    <col min="12" max="13" width="16" style="124" customWidth="1"/>
    <col min="14" max="14" width="11.81640625" style="124" customWidth="1"/>
    <col min="15" max="15" width="79.81640625" customWidth="1"/>
    <col min="16" max="16" width="23" style="124" customWidth="1"/>
    <col min="17" max="16384" width="22.54296875" style="124"/>
  </cols>
  <sheetData>
    <row r="1" spans="1:15" ht="21" hidden="1" customHeight="1" x14ac:dyDescent="0.35">
      <c r="A1" s="122"/>
      <c r="B1" s="122"/>
      <c r="C1" s="122" t="s">
        <v>375</v>
      </c>
      <c r="D1" s="389" t="s">
        <v>378</v>
      </c>
      <c r="E1" s="122"/>
      <c r="F1" s="122"/>
      <c r="G1" s="122"/>
      <c r="H1" s="122"/>
      <c r="I1" s="122"/>
      <c r="J1" s="122"/>
      <c r="K1" s="122"/>
      <c r="L1" s="122"/>
      <c r="M1" s="122"/>
      <c r="N1" s="122"/>
    </row>
    <row r="2" spans="1:15" ht="15.5" x14ac:dyDescent="0.35">
      <c r="A2" s="610" t="s">
        <v>127</v>
      </c>
      <c r="B2" s="610"/>
      <c r="C2" s="125"/>
      <c r="D2" s="125"/>
      <c r="E2" s="635"/>
      <c r="F2" s="635"/>
      <c r="G2" s="635"/>
      <c r="H2" s="635"/>
      <c r="I2" s="208"/>
      <c r="J2" s="207"/>
      <c r="K2" t="s">
        <v>128</v>
      </c>
      <c r="L2" s="46" t="s">
        <v>128</v>
      </c>
      <c r="M2"/>
      <c r="N2"/>
    </row>
    <row r="3" spans="1:15" x14ac:dyDescent="0.35">
      <c r="A3" s="635" t="s">
        <v>274</v>
      </c>
      <c r="B3" s="635"/>
      <c r="C3" s="209">
        <v>10000000</v>
      </c>
      <c r="D3" s="209">
        <v>10000000</v>
      </c>
      <c r="E3" s="223" t="s">
        <v>275</v>
      </c>
      <c r="F3" s="126"/>
      <c r="G3" s="126"/>
      <c r="H3" s="223"/>
      <c r="I3" s="209">
        <v>2000000</v>
      </c>
      <c r="J3" s="210"/>
      <c r="K3" t="s">
        <v>211</v>
      </c>
      <c r="L3" s="46" t="s">
        <v>211</v>
      </c>
      <c r="M3"/>
      <c r="N3"/>
    </row>
    <row r="4" spans="1:15" ht="15" thickBot="1" x14ac:dyDescent="0.4">
      <c r="A4" s="614"/>
      <c r="B4" s="614"/>
      <c r="C4" s="127"/>
      <c r="D4" s="127"/>
      <c r="E4" s="127"/>
      <c r="F4" s="127"/>
      <c r="G4" s="127"/>
      <c r="H4" s="127"/>
      <c r="I4" s="127"/>
      <c r="J4"/>
      <c r="K4"/>
      <c r="L4"/>
      <c r="M4"/>
      <c r="N4"/>
    </row>
    <row r="5" spans="1:15" s="35" customFormat="1" ht="45.5" customHeight="1" thickBot="1" x14ac:dyDescent="0.4">
      <c r="A5" s="592"/>
      <c r="B5" s="615"/>
      <c r="C5" s="328" t="s">
        <v>385</v>
      </c>
      <c r="D5" s="328" t="s">
        <v>385</v>
      </c>
      <c r="E5" s="128" t="s">
        <v>228</v>
      </c>
      <c r="F5" s="128" t="s">
        <v>354</v>
      </c>
      <c r="G5" s="128" t="s">
        <v>354</v>
      </c>
      <c r="H5" s="128" t="s">
        <v>229</v>
      </c>
      <c r="I5" s="128" t="s">
        <v>230</v>
      </c>
      <c r="J5" s="128" t="s">
        <v>231</v>
      </c>
      <c r="K5" s="128" t="s">
        <v>232</v>
      </c>
      <c r="L5" s="128" t="s">
        <v>334</v>
      </c>
      <c r="M5" s="129" t="s">
        <v>233</v>
      </c>
      <c r="O5" s="434" t="s">
        <v>131</v>
      </c>
    </row>
    <row r="6" spans="1:15" ht="30" customHeight="1" x14ac:dyDescent="0.35">
      <c r="A6" s="594" t="s">
        <v>213</v>
      </c>
      <c r="B6" s="613"/>
      <c r="C6" s="130" t="s">
        <v>311</v>
      </c>
      <c r="D6" s="130" t="s">
        <v>311</v>
      </c>
      <c r="E6" s="130" t="s">
        <v>235</v>
      </c>
      <c r="F6" s="130" t="s">
        <v>353</v>
      </c>
      <c r="G6" s="130" t="s">
        <v>353</v>
      </c>
      <c r="H6" s="130" t="s">
        <v>234</v>
      </c>
      <c r="I6" s="130" t="s">
        <v>236</v>
      </c>
      <c r="J6" s="159" t="s">
        <v>234</v>
      </c>
      <c r="K6" s="159" t="s">
        <v>237</v>
      </c>
      <c r="L6" s="159" t="s">
        <v>237</v>
      </c>
      <c r="M6" s="179" t="s">
        <v>234</v>
      </c>
      <c r="O6" s="529" t="s">
        <v>414</v>
      </c>
    </row>
    <row r="7" spans="1:15" ht="15.75" customHeight="1" thickBot="1" x14ac:dyDescent="0.4">
      <c r="A7" s="211" t="s">
        <v>176</v>
      </c>
      <c r="B7" s="212" t="s">
        <v>140</v>
      </c>
      <c r="C7" s="213" t="s">
        <v>141</v>
      </c>
      <c r="D7" s="213" t="s">
        <v>141</v>
      </c>
      <c r="E7" s="213" t="s">
        <v>142</v>
      </c>
      <c r="F7" s="213" t="s">
        <v>141</v>
      </c>
      <c r="G7" s="213" t="s">
        <v>141</v>
      </c>
      <c r="H7" s="215" t="s">
        <v>141</v>
      </c>
      <c r="I7" s="215" t="s">
        <v>141</v>
      </c>
      <c r="J7" s="215" t="s">
        <v>142</v>
      </c>
      <c r="K7" s="215" t="s">
        <v>142</v>
      </c>
      <c r="L7" s="215" t="s">
        <v>142</v>
      </c>
      <c r="M7" s="214" t="s">
        <v>141</v>
      </c>
      <c r="O7" s="530"/>
    </row>
    <row r="8" spans="1:15" x14ac:dyDescent="0.35">
      <c r="A8" s="611" t="s">
        <v>238</v>
      </c>
      <c r="B8" s="137" t="s">
        <v>239</v>
      </c>
      <c r="C8" s="107">
        <v>2256.4499999999998</v>
      </c>
      <c r="D8" s="358">
        <f>2256.45-60</f>
        <v>2196.4499999999998</v>
      </c>
      <c r="E8" s="358">
        <v>5600</v>
      </c>
      <c r="F8" s="358" t="s">
        <v>111</v>
      </c>
      <c r="G8" s="358" t="s">
        <v>111</v>
      </c>
      <c r="H8" s="358">
        <v>2273.1000000000004</v>
      </c>
      <c r="I8" s="358">
        <f>I41-1900</f>
        <v>3380</v>
      </c>
      <c r="J8" s="108">
        <v>2840.96</v>
      </c>
      <c r="K8" s="358" t="s">
        <v>111</v>
      </c>
      <c r="L8" s="358" t="s">
        <v>111</v>
      </c>
      <c r="M8" s="359">
        <v>2129.4</v>
      </c>
      <c r="N8" s="110"/>
      <c r="O8" s="530"/>
    </row>
    <row r="9" spans="1:15" x14ac:dyDescent="0.35">
      <c r="A9" s="587"/>
      <c r="B9" s="20" t="s">
        <v>240</v>
      </c>
      <c r="C9" s="112">
        <v>2279.9499999999998</v>
      </c>
      <c r="D9" s="342">
        <f>2279.95-60</f>
        <v>2219.9499999999998</v>
      </c>
      <c r="E9" s="342" t="s">
        <v>111</v>
      </c>
      <c r="F9" s="342" t="s">
        <v>111</v>
      </c>
      <c r="G9" s="342" t="s">
        <v>111</v>
      </c>
      <c r="H9" s="342">
        <v>2273.1000000000004</v>
      </c>
      <c r="I9" s="342">
        <f>I42-1940</f>
        <v>3500</v>
      </c>
      <c r="J9" s="113">
        <v>2877.76</v>
      </c>
      <c r="K9" s="342">
        <v>2273</v>
      </c>
      <c r="L9" s="342">
        <f>K9*0.85</f>
        <v>1932.05</v>
      </c>
      <c r="M9" s="344">
        <v>2130.8000000000002</v>
      </c>
      <c r="N9" s="110"/>
      <c r="O9" s="530"/>
    </row>
    <row r="10" spans="1:15" x14ac:dyDescent="0.35">
      <c r="A10" s="587"/>
      <c r="B10" s="20" t="s">
        <v>241</v>
      </c>
      <c r="C10" s="112">
        <v>4069.85</v>
      </c>
      <c r="D10" s="342">
        <f>4069.85-60</f>
        <v>4009.85</v>
      </c>
      <c r="E10" s="342">
        <v>10800</v>
      </c>
      <c r="F10" s="342" t="s">
        <v>111</v>
      </c>
      <c r="G10" s="342" t="s">
        <v>111</v>
      </c>
      <c r="H10" s="342">
        <v>4513.5</v>
      </c>
      <c r="I10" s="342">
        <f>I43-3800</f>
        <v>8060</v>
      </c>
      <c r="J10" s="113">
        <v>6960.72</v>
      </c>
      <c r="K10" s="342">
        <v>5145.95</v>
      </c>
      <c r="L10" s="342">
        <f>K10*0.85</f>
        <v>4374.0574999999999</v>
      </c>
      <c r="M10" s="344">
        <v>3591.6000000000004</v>
      </c>
      <c r="N10" s="110"/>
      <c r="O10" s="530"/>
    </row>
    <row r="11" spans="1:15" x14ac:dyDescent="0.35">
      <c r="A11" s="587"/>
      <c r="B11" s="20" t="s">
        <v>242</v>
      </c>
      <c r="C11" s="112">
        <v>8403.7000000000007</v>
      </c>
      <c r="D11" s="342">
        <f>C11-60</f>
        <v>8343.7000000000007</v>
      </c>
      <c r="E11" s="342" t="s">
        <v>111</v>
      </c>
      <c r="F11" s="342" t="s">
        <v>111</v>
      </c>
      <c r="G11" s="342" t="s">
        <v>111</v>
      </c>
      <c r="H11" s="342">
        <v>13331.849999999999</v>
      </c>
      <c r="I11" s="342">
        <f>I44-6760</f>
        <v>19120</v>
      </c>
      <c r="J11" s="113" t="s">
        <v>111</v>
      </c>
      <c r="K11" s="342">
        <v>13603.3</v>
      </c>
      <c r="L11" s="342">
        <f>K11*0.85</f>
        <v>11562.804999999998</v>
      </c>
      <c r="M11" s="344">
        <v>8950.7999999999993</v>
      </c>
      <c r="N11" s="110"/>
      <c r="O11" s="530"/>
    </row>
    <row r="12" spans="1:15" x14ac:dyDescent="0.35">
      <c r="A12" s="587"/>
      <c r="B12" s="20" t="s">
        <v>243</v>
      </c>
      <c r="C12" s="112">
        <v>23508.15</v>
      </c>
      <c r="D12" s="471">
        <f>C12-60</f>
        <v>23448.15</v>
      </c>
      <c r="E12" s="342" t="s">
        <v>111</v>
      </c>
      <c r="F12" s="342">
        <v>18756</v>
      </c>
      <c r="G12" s="472">
        <f>18756/0.8*0.85</f>
        <v>19928.25</v>
      </c>
      <c r="H12" s="342" t="s">
        <v>111</v>
      </c>
      <c r="I12" s="342" t="s">
        <v>111</v>
      </c>
      <c r="J12" s="113" t="s">
        <v>111</v>
      </c>
      <c r="K12" s="342" t="s">
        <v>111</v>
      </c>
      <c r="L12" s="342" t="s">
        <v>111</v>
      </c>
      <c r="M12" s="344" t="s">
        <v>111</v>
      </c>
      <c r="O12" s="530"/>
    </row>
    <row r="13" spans="1:15" ht="15.75" customHeight="1" thickBot="1" x14ac:dyDescent="0.4">
      <c r="A13" s="612"/>
      <c r="B13" s="117" t="s">
        <v>244</v>
      </c>
      <c r="C13" s="118" t="s">
        <v>111</v>
      </c>
      <c r="D13" s="345" t="s">
        <v>111</v>
      </c>
      <c r="E13" s="345" t="s">
        <v>111</v>
      </c>
      <c r="F13" s="345" t="s">
        <v>111</v>
      </c>
      <c r="G13" s="345" t="s">
        <v>111</v>
      </c>
      <c r="H13" s="345" t="s">
        <v>111</v>
      </c>
      <c r="I13" s="345">
        <f>I46-7860</f>
        <v>31240</v>
      </c>
      <c r="J13" s="119" t="s">
        <v>111</v>
      </c>
      <c r="K13" s="345">
        <v>25337.45</v>
      </c>
      <c r="L13" s="345">
        <f>K13*0.85</f>
        <v>21536.8325</v>
      </c>
      <c r="M13" s="346" t="s">
        <v>111</v>
      </c>
      <c r="O13" s="530"/>
    </row>
    <row r="14" spans="1:15" ht="15" customHeight="1" x14ac:dyDescent="0.35">
      <c r="A14" s="611" t="s">
        <v>245</v>
      </c>
      <c r="B14" s="137" t="s">
        <v>239</v>
      </c>
      <c r="C14" s="107">
        <v>2570.6</v>
      </c>
      <c r="D14" s="358">
        <f>2570.6-60</f>
        <v>2510.6</v>
      </c>
      <c r="E14" s="358">
        <v>6600</v>
      </c>
      <c r="F14" s="358" t="s">
        <v>111</v>
      </c>
      <c r="G14" s="358" t="s">
        <v>111</v>
      </c>
      <c r="H14" s="358">
        <v>2711.8500000000004</v>
      </c>
      <c r="I14" s="358">
        <f>I47-2140</f>
        <v>3780</v>
      </c>
      <c r="J14" s="108">
        <v>3818</v>
      </c>
      <c r="K14" s="358" t="s">
        <v>111</v>
      </c>
      <c r="L14" s="358" t="s">
        <v>111</v>
      </c>
      <c r="M14" s="359">
        <v>2275</v>
      </c>
      <c r="N14" s="110"/>
      <c r="O14" s="530"/>
    </row>
    <row r="15" spans="1:15" x14ac:dyDescent="0.35">
      <c r="A15" s="587"/>
      <c r="B15" s="20" t="s">
        <v>240</v>
      </c>
      <c r="C15" s="112">
        <v>2810.55</v>
      </c>
      <c r="D15" s="342">
        <f>2810.55-60</f>
        <v>2750.55</v>
      </c>
      <c r="E15" s="342" t="s">
        <v>111</v>
      </c>
      <c r="F15" s="342" t="s">
        <v>111</v>
      </c>
      <c r="G15" s="342" t="s">
        <v>111</v>
      </c>
      <c r="H15" s="342">
        <v>2716.3500000000004</v>
      </c>
      <c r="I15" s="342">
        <f>I48-2500</f>
        <v>4000</v>
      </c>
      <c r="J15" s="113">
        <v>3818</v>
      </c>
      <c r="K15" s="342">
        <v>2919.15</v>
      </c>
      <c r="L15" s="342">
        <f>K15*0.85</f>
        <v>2481.2775000000001</v>
      </c>
      <c r="M15" s="344">
        <v>2564.8000000000002</v>
      </c>
      <c r="N15" s="110"/>
      <c r="O15" s="530"/>
    </row>
    <row r="16" spans="1:15" x14ac:dyDescent="0.35">
      <c r="A16" s="587"/>
      <c r="B16" s="20" t="s">
        <v>246</v>
      </c>
      <c r="C16" s="112">
        <v>5148</v>
      </c>
      <c r="D16" s="342">
        <f>5148-60</f>
        <v>5088</v>
      </c>
      <c r="E16" s="342">
        <v>13000</v>
      </c>
      <c r="F16" s="342" t="s">
        <v>111</v>
      </c>
      <c r="G16" s="342" t="s">
        <v>111</v>
      </c>
      <c r="H16" s="342">
        <v>5549.1</v>
      </c>
      <c r="I16" s="342">
        <f>I49-4560</f>
        <v>8180</v>
      </c>
      <c r="J16" s="113">
        <v>7459.3600000000006</v>
      </c>
      <c r="K16" s="342">
        <v>6876.65</v>
      </c>
      <c r="L16" s="342">
        <f>K16*0.85</f>
        <v>5845.1524999999992</v>
      </c>
      <c r="M16" s="344">
        <v>4384.7999999999993</v>
      </c>
      <c r="N16" s="110"/>
      <c r="O16" s="530"/>
    </row>
    <row r="17" spans="1:15" x14ac:dyDescent="0.35">
      <c r="A17" s="587"/>
      <c r="B17" s="20" t="s">
        <v>247</v>
      </c>
      <c r="C17" s="112">
        <v>11316.25</v>
      </c>
      <c r="D17" s="342">
        <f>C17-60</f>
        <v>11256.25</v>
      </c>
      <c r="E17" s="342" t="s">
        <v>111</v>
      </c>
      <c r="F17" s="342" t="s">
        <v>111</v>
      </c>
      <c r="G17" s="342" t="s">
        <v>111</v>
      </c>
      <c r="H17" s="342">
        <v>17514</v>
      </c>
      <c r="I17" s="342">
        <f>I50-8440</f>
        <v>23200</v>
      </c>
      <c r="J17" s="113" t="s">
        <v>111</v>
      </c>
      <c r="K17" s="342">
        <v>17203.150000000001</v>
      </c>
      <c r="L17" s="342">
        <f>K17*0.85</f>
        <v>14622.677500000002</v>
      </c>
      <c r="M17" s="344">
        <v>11503.2</v>
      </c>
      <c r="N17" s="110"/>
      <c r="O17" s="530"/>
    </row>
    <row r="18" spans="1:15" x14ac:dyDescent="0.35">
      <c r="A18" s="587"/>
      <c r="B18" s="20" t="s">
        <v>248</v>
      </c>
      <c r="C18" s="112">
        <v>30094.45</v>
      </c>
      <c r="D18" s="471">
        <f>C18-60</f>
        <v>30034.45</v>
      </c>
      <c r="E18" s="342" t="s">
        <v>111</v>
      </c>
      <c r="F18" s="342">
        <v>25694</v>
      </c>
      <c r="G18" s="472">
        <f>25694/0.8*0.85</f>
        <v>27299.875</v>
      </c>
      <c r="H18" s="342" t="s">
        <v>111</v>
      </c>
      <c r="I18" s="342" t="s">
        <v>111</v>
      </c>
      <c r="J18" s="113" t="s">
        <v>111</v>
      </c>
      <c r="K18" s="342" t="s">
        <v>111</v>
      </c>
      <c r="L18" s="342" t="s">
        <v>111</v>
      </c>
      <c r="M18" s="344" t="s">
        <v>111</v>
      </c>
      <c r="O18" s="530"/>
    </row>
    <row r="19" spans="1:15" ht="15" thickBot="1" x14ac:dyDescent="0.4">
      <c r="A19" s="612"/>
      <c r="B19" s="117" t="s">
        <v>249</v>
      </c>
      <c r="C19" s="118" t="s">
        <v>111</v>
      </c>
      <c r="D19" s="345" t="s">
        <v>111</v>
      </c>
      <c r="E19" s="345" t="s">
        <v>111</v>
      </c>
      <c r="F19" s="345" t="s">
        <v>111</v>
      </c>
      <c r="G19" s="345" t="s">
        <v>111</v>
      </c>
      <c r="H19" s="345" t="s">
        <v>111</v>
      </c>
      <c r="I19" s="345">
        <f>I52-10060</f>
        <v>40020</v>
      </c>
      <c r="J19" s="119" t="s">
        <v>111</v>
      </c>
      <c r="K19" s="345">
        <v>33921.699999999997</v>
      </c>
      <c r="L19" s="345">
        <f>K19*0.85</f>
        <v>28833.444999999996</v>
      </c>
      <c r="M19" s="346" t="s">
        <v>111</v>
      </c>
      <c r="O19" s="530"/>
    </row>
    <row r="20" spans="1:15" x14ac:dyDescent="0.35">
      <c r="A20" s="611" t="s">
        <v>250</v>
      </c>
      <c r="B20" s="137" t="s">
        <v>239</v>
      </c>
      <c r="C20" s="107">
        <v>3398.4</v>
      </c>
      <c r="D20" s="358">
        <f>3398.4-60</f>
        <v>3338.4</v>
      </c>
      <c r="E20" s="358">
        <v>9200</v>
      </c>
      <c r="F20" s="358" t="s">
        <v>111</v>
      </c>
      <c r="G20" s="358" t="s">
        <v>111</v>
      </c>
      <c r="H20" s="358">
        <v>3447.6000000000004</v>
      </c>
      <c r="I20" s="358">
        <f>I53-3180</f>
        <v>5020</v>
      </c>
      <c r="J20" s="108">
        <v>4778.4800000000005</v>
      </c>
      <c r="K20" s="358" t="s">
        <v>111</v>
      </c>
      <c r="L20" s="358" t="s">
        <v>111</v>
      </c>
      <c r="M20" s="359">
        <v>3420.2000000000003</v>
      </c>
      <c r="N20" s="110"/>
      <c r="O20" s="530"/>
    </row>
    <row r="21" spans="1:15" x14ac:dyDescent="0.35">
      <c r="A21" s="587"/>
      <c r="B21" s="20" t="s">
        <v>240</v>
      </c>
      <c r="C21" s="112">
        <v>3762.4</v>
      </c>
      <c r="D21" s="342">
        <f>3762.4-60</f>
        <v>3702.4</v>
      </c>
      <c r="E21" s="342" t="s">
        <v>111</v>
      </c>
      <c r="F21" s="342" t="s">
        <v>111</v>
      </c>
      <c r="G21" s="342" t="s">
        <v>111</v>
      </c>
      <c r="H21" s="342">
        <v>3823.5</v>
      </c>
      <c r="I21" s="342">
        <f>I54-3720</f>
        <v>5240</v>
      </c>
      <c r="J21" s="113">
        <v>5050.8</v>
      </c>
      <c r="K21" s="342">
        <v>4292.1499999999996</v>
      </c>
      <c r="L21" s="342">
        <f>K21*0.85</f>
        <v>3648.3274999999994</v>
      </c>
      <c r="M21" s="344">
        <v>3707.2000000000003</v>
      </c>
      <c r="N21" s="110"/>
      <c r="O21" s="530"/>
    </row>
    <row r="22" spans="1:15" x14ac:dyDescent="0.35">
      <c r="A22" s="587"/>
      <c r="B22" s="20" t="s">
        <v>251</v>
      </c>
      <c r="C22" s="112">
        <v>6848.8</v>
      </c>
      <c r="D22" s="342">
        <f>6848.8-60</f>
        <v>6788.8</v>
      </c>
      <c r="E22" s="342">
        <v>17600</v>
      </c>
      <c r="F22" s="342" t="s">
        <v>111</v>
      </c>
      <c r="G22" s="342" t="s">
        <v>111</v>
      </c>
      <c r="H22" s="342">
        <v>7022.0999999999995</v>
      </c>
      <c r="I22" s="342">
        <f>I55-5880</f>
        <v>10920</v>
      </c>
      <c r="J22" s="113">
        <v>9028.880000000001</v>
      </c>
      <c r="K22" s="342">
        <v>8791.9500000000007</v>
      </c>
      <c r="L22" s="342">
        <f>K22*0.85</f>
        <v>7473.1575000000003</v>
      </c>
      <c r="M22" s="344">
        <v>5601.6</v>
      </c>
      <c r="N22" s="110"/>
      <c r="O22" s="530"/>
    </row>
    <row r="23" spans="1:15" x14ac:dyDescent="0.35">
      <c r="A23" s="587"/>
      <c r="B23" s="20" t="s">
        <v>252</v>
      </c>
      <c r="C23" s="112">
        <v>15239.2</v>
      </c>
      <c r="D23" s="342">
        <f>C23-60</f>
        <v>15179.2</v>
      </c>
      <c r="E23" s="342" t="s">
        <v>111</v>
      </c>
      <c r="F23" s="342" t="s">
        <v>111</v>
      </c>
      <c r="G23" s="342" t="s">
        <v>111</v>
      </c>
      <c r="H23" s="342">
        <v>22022.25</v>
      </c>
      <c r="I23" s="342">
        <f>I56-10720</f>
        <v>29440</v>
      </c>
      <c r="J23" s="113" t="s">
        <v>111</v>
      </c>
      <c r="K23" s="342">
        <v>21945.3</v>
      </c>
      <c r="L23" s="342">
        <f>K23*0.85</f>
        <v>18653.504999999997</v>
      </c>
      <c r="M23" s="344">
        <v>14851.199999999999</v>
      </c>
      <c r="N23" s="110"/>
      <c r="O23" s="530"/>
    </row>
    <row r="24" spans="1:15" x14ac:dyDescent="0.35">
      <c r="A24" s="587"/>
      <c r="B24" s="20" t="s">
        <v>253</v>
      </c>
      <c r="C24" s="112">
        <v>39380.9</v>
      </c>
      <c r="D24" s="471">
        <f>C24-60</f>
        <v>39320.9</v>
      </c>
      <c r="E24" s="342" t="s">
        <v>111</v>
      </c>
      <c r="F24" s="342">
        <v>32888</v>
      </c>
      <c r="G24" s="472">
        <f>32888/0.8*0.85</f>
        <v>34943.5</v>
      </c>
      <c r="H24" s="342" t="s">
        <v>111</v>
      </c>
      <c r="I24" s="342" t="s">
        <v>111</v>
      </c>
      <c r="J24" s="113" t="s">
        <v>111</v>
      </c>
      <c r="K24" s="342" t="s">
        <v>111</v>
      </c>
      <c r="L24" s="342" t="s">
        <v>111</v>
      </c>
      <c r="M24" s="344" t="s">
        <v>111</v>
      </c>
      <c r="O24" s="530"/>
    </row>
    <row r="25" spans="1:15" ht="15" thickBot="1" x14ac:dyDescent="0.4">
      <c r="A25" s="612"/>
      <c r="B25" s="117" t="s">
        <v>254</v>
      </c>
      <c r="C25" s="118" t="s">
        <v>111</v>
      </c>
      <c r="D25" s="345" t="s">
        <v>111</v>
      </c>
      <c r="E25" s="345" t="s">
        <v>111</v>
      </c>
      <c r="F25" s="345" t="s">
        <v>111</v>
      </c>
      <c r="G25" s="345" t="s">
        <v>111</v>
      </c>
      <c r="H25" s="345" t="s">
        <v>111</v>
      </c>
      <c r="I25" s="345">
        <f>I58-11960</f>
        <v>51460</v>
      </c>
      <c r="J25" s="119" t="s">
        <v>111</v>
      </c>
      <c r="K25" s="345">
        <v>46140.45</v>
      </c>
      <c r="L25" s="345">
        <f>K25*0.85</f>
        <v>39219.3825</v>
      </c>
      <c r="M25" s="346" t="s">
        <v>111</v>
      </c>
      <c r="O25" s="530"/>
    </row>
    <row r="26" spans="1:15" x14ac:dyDescent="0.35">
      <c r="A26" s="611" t="s">
        <v>255</v>
      </c>
      <c r="B26" s="137" t="s">
        <v>239</v>
      </c>
      <c r="C26" s="107">
        <v>4828.05</v>
      </c>
      <c r="D26" s="358">
        <f>4828.05-60</f>
        <v>4768.05</v>
      </c>
      <c r="E26" s="358">
        <v>14400</v>
      </c>
      <c r="F26" s="358" t="s">
        <v>111</v>
      </c>
      <c r="G26" s="358" t="s">
        <v>111</v>
      </c>
      <c r="H26" s="358">
        <v>5416.0499999999993</v>
      </c>
      <c r="I26" s="358">
        <f>I59-5400</f>
        <v>7360</v>
      </c>
      <c r="J26" s="108">
        <v>7091.3600000000006</v>
      </c>
      <c r="K26" s="358" t="s">
        <v>111</v>
      </c>
      <c r="L26" s="358" t="s">
        <v>111</v>
      </c>
      <c r="M26" s="359">
        <v>4495.4000000000005</v>
      </c>
      <c r="N26" s="110"/>
      <c r="O26" s="530"/>
    </row>
    <row r="27" spans="1:15" x14ac:dyDescent="0.35">
      <c r="A27" s="587"/>
      <c r="B27" s="20" t="s">
        <v>240</v>
      </c>
      <c r="C27" s="112">
        <v>5821.95</v>
      </c>
      <c r="D27" s="342">
        <f>5821.95-60</f>
        <v>5761.95</v>
      </c>
      <c r="E27" s="342" t="s">
        <v>111</v>
      </c>
      <c r="F27" s="342" t="s">
        <v>111</v>
      </c>
      <c r="G27" s="342" t="s">
        <v>111</v>
      </c>
      <c r="H27" s="342">
        <v>6367.2000000000007</v>
      </c>
      <c r="I27" s="342">
        <f>I60-5820</f>
        <v>8680</v>
      </c>
      <c r="J27" s="113">
        <v>7166.8</v>
      </c>
      <c r="K27" s="342">
        <v>7188.15</v>
      </c>
      <c r="L27" s="342">
        <f>K27*0.85</f>
        <v>6109.9274999999998</v>
      </c>
      <c r="M27" s="344">
        <v>5630.8000000000011</v>
      </c>
      <c r="N27" s="110"/>
      <c r="O27" s="530"/>
    </row>
    <row r="28" spans="1:15" x14ac:dyDescent="0.35">
      <c r="A28" s="587"/>
      <c r="B28" s="20" t="s">
        <v>256</v>
      </c>
      <c r="C28" s="112">
        <v>8876.6</v>
      </c>
      <c r="D28" s="342">
        <f>8876.6-60</f>
        <v>8816.6</v>
      </c>
      <c r="E28" s="342">
        <v>23100</v>
      </c>
      <c r="F28" s="342" t="s">
        <v>111</v>
      </c>
      <c r="G28" s="342" t="s">
        <v>111</v>
      </c>
      <c r="H28" s="342">
        <v>9000</v>
      </c>
      <c r="I28" s="342">
        <f>I61-7680</f>
        <v>12880</v>
      </c>
      <c r="J28" s="113">
        <v>12565.36</v>
      </c>
      <c r="K28" s="342">
        <v>11480.3</v>
      </c>
      <c r="L28" s="342">
        <f>K28*0.85</f>
        <v>9758.2549999999992</v>
      </c>
      <c r="M28" s="344">
        <v>7123.2000000000007</v>
      </c>
      <c r="N28" s="110"/>
      <c r="O28" s="530"/>
    </row>
    <row r="29" spans="1:15" x14ac:dyDescent="0.35">
      <c r="A29" s="587"/>
      <c r="B29" s="20" t="s">
        <v>257</v>
      </c>
      <c r="C29" s="112">
        <v>20910.45</v>
      </c>
      <c r="D29" s="342">
        <f>20910.45-60</f>
        <v>20850.45</v>
      </c>
      <c r="E29" s="342" t="s">
        <v>111</v>
      </c>
      <c r="F29" s="342" t="s">
        <v>111</v>
      </c>
      <c r="G29" s="342" t="s">
        <v>111</v>
      </c>
      <c r="H29" s="342">
        <v>28600.462499999998</v>
      </c>
      <c r="I29" s="342">
        <f>I62-14380</f>
        <v>39560</v>
      </c>
      <c r="J29" s="113">
        <v>38102.720000000001</v>
      </c>
      <c r="K29" s="342">
        <v>28925.75</v>
      </c>
      <c r="L29" s="342">
        <f>K29*0.85</f>
        <v>24586.887500000001</v>
      </c>
      <c r="M29" s="344">
        <v>19724.400000000001</v>
      </c>
      <c r="N29" s="110"/>
      <c r="O29" s="530"/>
    </row>
    <row r="30" spans="1:15" x14ac:dyDescent="0.35">
      <c r="A30" s="587"/>
      <c r="B30" s="20" t="s">
        <v>258</v>
      </c>
      <c r="C30" s="112">
        <v>53023.5</v>
      </c>
      <c r="D30" s="471">
        <f>53023.5-60</f>
        <v>52963.5</v>
      </c>
      <c r="E30" s="342" t="s">
        <v>111</v>
      </c>
      <c r="F30" s="342">
        <v>47260</v>
      </c>
      <c r="G30" s="472">
        <f>47260/0.8*0.85</f>
        <v>50213.75</v>
      </c>
      <c r="H30" s="342" t="s">
        <v>111</v>
      </c>
      <c r="I30" s="342" t="s">
        <v>111</v>
      </c>
      <c r="J30" s="113" t="s">
        <v>111</v>
      </c>
      <c r="K30" s="342" t="s">
        <v>111</v>
      </c>
      <c r="L30" s="342" t="s">
        <v>111</v>
      </c>
      <c r="M30" s="344" t="s">
        <v>111</v>
      </c>
      <c r="O30" s="530"/>
    </row>
    <row r="31" spans="1:15" ht="15" thickBot="1" x14ac:dyDescent="0.4">
      <c r="A31" s="612"/>
      <c r="B31" s="117" t="s">
        <v>259</v>
      </c>
      <c r="C31" s="118" t="s">
        <v>111</v>
      </c>
      <c r="D31" s="345" t="s">
        <v>111</v>
      </c>
      <c r="E31" s="345" t="s">
        <v>111</v>
      </c>
      <c r="F31" s="345" t="s">
        <v>111</v>
      </c>
      <c r="G31" s="345" t="s">
        <v>111</v>
      </c>
      <c r="H31" s="345" t="s">
        <v>111</v>
      </c>
      <c r="I31" s="345">
        <f>I64-16700</f>
        <v>66380</v>
      </c>
      <c r="J31" s="119" t="s">
        <v>111</v>
      </c>
      <c r="K31" s="345">
        <v>66620.399999999994</v>
      </c>
      <c r="L31" s="345">
        <f>K31*0.85</f>
        <v>56627.34</v>
      </c>
      <c r="M31" s="346" t="s">
        <v>111</v>
      </c>
      <c r="O31" s="530"/>
    </row>
    <row r="32" spans="1:15" x14ac:dyDescent="0.35">
      <c r="A32" s="620" t="s">
        <v>260</v>
      </c>
      <c r="B32" s="138" t="s">
        <v>239</v>
      </c>
      <c r="C32" s="142">
        <v>7879.1</v>
      </c>
      <c r="D32" s="356">
        <f>7879.1-60</f>
        <v>7819.1</v>
      </c>
      <c r="E32" s="356">
        <v>25200</v>
      </c>
      <c r="F32" s="356" t="s">
        <v>111</v>
      </c>
      <c r="G32" s="356" t="s">
        <v>111</v>
      </c>
      <c r="H32" s="356">
        <v>9114.5999999999985</v>
      </c>
      <c r="I32" s="356">
        <f>I65-9280</f>
        <v>11760</v>
      </c>
      <c r="J32" s="143">
        <v>10920.4</v>
      </c>
      <c r="K32" s="356" t="s">
        <v>111</v>
      </c>
      <c r="L32" s="356" t="s">
        <v>111</v>
      </c>
      <c r="M32" s="357">
        <v>7718.2000000000007</v>
      </c>
      <c r="N32" s="110"/>
      <c r="O32" s="530"/>
    </row>
    <row r="33" spans="1:15" x14ac:dyDescent="0.35">
      <c r="A33" s="587"/>
      <c r="B33" s="20" t="s">
        <v>240</v>
      </c>
      <c r="C33" s="112">
        <v>10107.9</v>
      </c>
      <c r="D33" s="342">
        <f>10107.9-60</f>
        <v>10047.9</v>
      </c>
      <c r="E33" s="342" t="s">
        <v>111</v>
      </c>
      <c r="F33" s="342" t="s">
        <v>111</v>
      </c>
      <c r="G33" s="342" t="s">
        <v>111</v>
      </c>
      <c r="H33" s="342">
        <v>9985.5</v>
      </c>
      <c r="I33" s="342">
        <f>I66-9840</f>
        <v>14100</v>
      </c>
      <c r="J33" s="113">
        <v>11917.68</v>
      </c>
      <c r="K33" s="342">
        <v>11041.9</v>
      </c>
      <c r="L33" s="342">
        <f>K33*0.7</f>
        <v>7729.329999999999</v>
      </c>
      <c r="M33" s="344">
        <v>9640.4</v>
      </c>
      <c r="N33" s="110"/>
      <c r="O33" s="530"/>
    </row>
    <row r="34" spans="1:15" x14ac:dyDescent="0.35">
      <c r="A34" s="587"/>
      <c r="B34" s="20" t="s">
        <v>261</v>
      </c>
      <c r="C34" s="112">
        <v>12343.3</v>
      </c>
      <c r="D34" s="342">
        <f>12343.3-60</f>
        <v>12283.3</v>
      </c>
      <c r="E34" s="342">
        <v>30200</v>
      </c>
      <c r="F34" s="342" t="s">
        <v>111</v>
      </c>
      <c r="G34" s="342" t="s">
        <v>111</v>
      </c>
      <c r="H34" s="342">
        <v>12738</v>
      </c>
      <c r="I34" s="342">
        <f>I67-10340</f>
        <v>17780</v>
      </c>
      <c r="J34" s="113">
        <v>15829.52</v>
      </c>
      <c r="K34" s="342">
        <v>15437.85</v>
      </c>
      <c r="L34" s="342">
        <f>K34*0.7</f>
        <v>10806.494999999999</v>
      </c>
      <c r="M34" s="344">
        <v>10711.2</v>
      </c>
      <c r="N34" s="110"/>
      <c r="O34" s="530"/>
    </row>
    <row r="35" spans="1:15" x14ac:dyDescent="0.35">
      <c r="A35" s="587"/>
      <c r="B35" s="20" t="s">
        <v>262</v>
      </c>
      <c r="C35" s="112">
        <v>28907.95</v>
      </c>
      <c r="D35" s="342">
        <f>28907.95-60</f>
        <v>28847.95</v>
      </c>
      <c r="E35" s="342" t="s">
        <v>111</v>
      </c>
      <c r="F35" s="342" t="s">
        <v>111</v>
      </c>
      <c r="G35" s="342" t="s">
        <v>111</v>
      </c>
      <c r="H35" s="342">
        <v>36870.5625</v>
      </c>
      <c r="I35" s="342">
        <f>I68-17480</f>
        <v>51720</v>
      </c>
      <c r="J35" s="113">
        <v>54101.520000000004</v>
      </c>
      <c r="K35" s="342">
        <v>40186.85</v>
      </c>
      <c r="L35" s="342">
        <f>K35*0.7</f>
        <v>28130.794999999998</v>
      </c>
      <c r="M35" s="344">
        <v>27659.999999999993</v>
      </c>
      <c r="N35" s="110"/>
      <c r="O35" s="530"/>
    </row>
    <row r="36" spans="1:15" x14ac:dyDescent="0.35">
      <c r="A36" s="587"/>
      <c r="B36" s="20" t="s">
        <v>263</v>
      </c>
      <c r="C36" s="112">
        <v>73398.850000000006</v>
      </c>
      <c r="D36" s="471">
        <f>73398.85-60</f>
        <v>73338.850000000006</v>
      </c>
      <c r="E36" s="342" t="s">
        <v>111</v>
      </c>
      <c r="F36" s="342">
        <v>66131</v>
      </c>
      <c r="G36" s="472">
        <f>66131/0.8*0.85</f>
        <v>70264.1875</v>
      </c>
      <c r="H36" s="342" t="s">
        <v>111</v>
      </c>
      <c r="I36" s="342" t="s">
        <v>111</v>
      </c>
      <c r="J36" s="113" t="s">
        <v>111</v>
      </c>
      <c r="K36" s="342" t="s">
        <v>111</v>
      </c>
      <c r="L36" s="342" t="s">
        <v>111</v>
      </c>
      <c r="M36" s="344" t="s">
        <v>111</v>
      </c>
      <c r="O36" s="530"/>
    </row>
    <row r="37" spans="1:15" ht="15" thickBot="1" x14ac:dyDescent="0.4">
      <c r="A37" s="612"/>
      <c r="B37" s="117" t="s">
        <v>264</v>
      </c>
      <c r="C37" s="118" t="s">
        <v>111</v>
      </c>
      <c r="D37" s="345" t="s">
        <v>111</v>
      </c>
      <c r="E37" s="345" t="s">
        <v>111</v>
      </c>
      <c r="F37" s="345" t="s">
        <v>111</v>
      </c>
      <c r="G37" s="345" t="s">
        <v>111</v>
      </c>
      <c r="H37" s="345" t="s">
        <v>111</v>
      </c>
      <c r="I37" s="345">
        <f>I70-20140</f>
        <v>86240</v>
      </c>
      <c r="J37" s="119" t="s">
        <v>111</v>
      </c>
      <c r="K37" s="345">
        <v>85254.3</v>
      </c>
      <c r="L37" s="345">
        <f>K37*0.7</f>
        <v>59678.009999999995</v>
      </c>
      <c r="M37" s="346" t="s">
        <v>111</v>
      </c>
      <c r="O37" s="530"/>
    </row>
    <row r="38" spans="1:15" ht="58" customHeight="1" thickBot="1" x14ac:dyDescent="0.4">
      <c r="A38" s="608" t="s">
        <v>221</v>
      </c>
      <c r="B38" s="618"/>
      <c r="C38" s="216" t="s">
        <v>310</v>
      </c>
      <c r="D38" s="216" t="s">
        <v>310</v>
      </c>
      <c r="E38" s="277" t="s">
        <v>267</v>
      </c>
      <c r="F38" s="277" t="s">
        <v>111</v>
      </c>
      <c r="G38" s="277" t="s">
        <v>111</v>
      </c>
      <c r="H38" s="277" t="s">
        <v>265</v>
      </c>
      <c r="I38" s="277" t="s">
        <v>268</v>
      </c>
      <c r="J38" s="277" t="s">
        <v>265</v>
      </c>
      <c r="K38" s="216" t="s">
        <v>270</v>
      </c>
      <c r="L38" s="216" t="s">
        <v>270</v>
      </c>
      <c r="M38" s="217" t="s">
        <v>266</v>
      </c>
      <c r="O38" s="531"/>
    </row>
    <row r="39" spans="1:15" ht="29" x14ac:dyDescent="0.35">
      <c r="A39" s="588"/>
      <c r="B39" s="619"/>
      <c r="C39" s="274" t="s">
        <v>154</v>
      </c>
      <c r="D39" s="274" t="s">
        <v>154</v>
      </c>
      <c r="E39" s="274" t="s">
        <v>222</v>
      </c>
      <c r="F39" s="274" t="s">
        <v>111</v>
      </c>
      <c r="G39" s="274" t="s">
        <v>111</v>
      </c>
      <c r="H39" s="274" t="s">
        <v>223</v>
      </c>
      <c r="I39" s="275" t="s">
        <v>224</v>
      </c>
      <c r="J39" s="274" t="s">
        <v>225</v>
      </c>
      <c r="K39" s="353" t="s">
        <v>111</v>
      </c>
      <c r="L39" s="276" t="s">
        <v>379</v>
      </c>
      <c r="M39" s="278" t="s">
        <v>226</v>
      </c>
      <c r="O39" s="465"/>
    </row>
    <row r="40" spans="1:15" ht="15" thickBot="1" x14ac:dyDescent="0.4">
      <c r="A40" s="218" t="s">
        <v>176</v>
      </c>
      <c r="B40" s="369" t="s">
        <v>140</v>
      </c>
      <c r="C40" s="370" t="s">
        <v>141</v>
      </c>
      <c r="D40" s="370" t="s">
        <v>141</v>
      </c>
      <c r="E40" s="279" t="s">
        <v>142</v>
      </c>
      <c r="F40" s="279" t="s">
        <v>111</v>
      </c>
      <c r="G40" s="279" t="s">
        <v>111</v>
      </c>
      <c r="H40" s="279" t="s">
        <v>141</v>
      </c>
      <c r="I40" s="370" t="s">
        <v>141</v>
      </c>
      <c r="J40" s="371" t="s">
        <v>142</v>
      </c>
      <c r="K40" s="372" t="s">
        <v>142</v>
      </c>
      <c r="L40" s="372" t="s">
        <v>142</v>
      </c>
      <c r="M40" s="373" t="s">
        <v>141</v>
      </c>
      <c r="O40" s="465"/>
    </row>
    <row r="41" spans="1:15" ht="14.5" customHeight="1" x14ac:dyDescent="0.35">
      <c r="A41" s="616" t="s">
        <v>238</v>
      </c>
      <c r="B41" s="137" t="s">
        <v>239</v>
      </c>
      <c r="C41" s="107">
        <v>3163.85</v>
      </c>
      <c r="D41" s="358">
        <f>3163.85-60</f>
        <v>3103.85</v>
      </c>
      <c r="E41" s="358">
        <v>6800</v>
      </c>
      <c r="F41" s="358" t="s">
        <v>111</v>
      </c>
      <c r="G41" s="358" t="s">
        <v>111</v>
      </c>
      <c r="H41" s="358">
        <v>2933.1000000000004</v>
      </c>
      <c r="I41" s="358">
        <v>5280</v>
      </c>
      <c r="J41" s="108">
        <v>3772</v>
      </c>
      <c r="K41" s="358" t="s">
        <v>111</v>
      </c>
      <c r="L41" s="358" t="s">
        <v>111</v>
      </c>
      <c r="M41" s="359">
        <v>2689.4000000000005</v>
      </c>
      <c r="N41" s="110"/>
      <c r="O41" s="465"/>
    </row>
    <row r="42" spans="1:15" x14ac:dyDescent="0.35">
      <c r="A42" s="585"/>
      <c r="B42" s="20" t="s">
        <v>240</v>
      </c>
      <c r="C42" s="112">
        <v>3524.5</v>
      </c>
      <c r="D42" s="342">
        <f>3524.5-60</f>
        <v>3464.5</v>
      </c>
      <c r="E42" s="342" t="s">
        <v>111</v>
      </c>
      <c r="F42" s="342" t="s">
        <v>111</v>
      </c>
      <c r="G42" s="342" t="s">
        <v>111</v>
      </c>
      <c r="H42" s="342">
        <v>3138.6000000000004</v>
      </c>
      <c r="I42" s="342">
        <v>5440</v>
      </c>
      <c r="J42" s="113">
        <v>3834.56</v>
      </c>
      <c r="K42" s="342" t="s">
        <v>111</v>
      </c>
      <c r="L42" s="342" t="s">
        <v>111</v>
      </c>
      <c r="M42" s="344">
        <v>2718.8</v>
      </c>
      <c r="N42" s="110"/>
      <c r="O42" s="465"/>
    </row>
    <row r="43" spans="1:15" x14ac:dyDescent="0.35">
      <c r="A43" s="585"/>
      <c r="B43" s="20" t="s">
        <v>241</v>
      </c>
      <c r="C43" s="112">
        <v>6798.3</v>
      </c>
      <c r="D43" s="342">
        <f>6798.3-60</f>
        <v>6738.3</v>
      </c>
      <c r="E43" s="342">
        <v>14960</v>
      </c>
      <c r="F43" s="342" t="s">
        <v>111</v>
      </c>
      <c r="G43" s="342" t="s">
        <v>111</v>
      </c>
      <c r="H43" s="342">
        <v>7054.5</v>
      </c>
      <c r="I43" s="342">
        <v>11860</v>
      </c>
      <c r="J43" s="113">
        <v>9930.48</v>
      </c>
      <c r="K43" s="342" t="s">
        <v>111</v>
      </c>
      <c r="L43" s="342" t="s">
        <v>111</v>
      </c>
      <c r="M43" s="344">
        <v>4971.6000000000004</v>
      </c>
      <c r="N43" s="110"/>
      <c r="O43" s="465"/>
    </row>
    <row r="44" spans="1:15" x14ac:dyDescent="0.35">
      <c r="A44" s="585"/>
      <c r="B44" s="20" t="s">
        <v>242</v>
      </c>
      <c r="C44" s="112">
        <v>13383.6</v>
      </c>
      <c r="D44" s="342">
        <f>C44-60</f>
        <v>13323.6</v>
      </c>
      <c r="E44" s="342" t="s">
        <v>111</v>
      </c>
      <c r="F44" s="342" t="s">
        <v>111</v>
      </c>
      <c r="G44" s="342" t="s">
        <v>111</v>
      </c>
      <c r="H44" s="342">
        <v>18232.349999999999</v>
      </c>
      <c r="I44" s="342">
        <v>25880</v>
      </c>
      <c r="J44" s="113" t="s">
        <v>111</v>
      </c>
      <c r="K44" s="342" t="s">
        <v>111</v>
      </c>
      <c r="L44" s="342" t="s">
        <v>111</v>
      </c>
      <c r="M44" s="344">
        <v>11170.8</v>
      </c>
      <c r="N44" s="110"/>
      <c r="O44" s="465"/>
    </row>
    <row r="45" spans="1:15" x14ac:dyDescent="0.35">
      <c r="A45" s="585"/>
      <c r="B45" s="20" t="s">
        <v>243</v>
      </c>
      <c r="C45" s="112">
        <v>30424.65</v>
      </c>
      <c r="D45" s="342">
        <f>C45-60</f>
        <v>30364.65</v>
      </c>
      <c r="E45" s="342" t="s">
        <v>111</v>
      </c>
      <c r="F45" s="342" t="s">
        <v>111</v>
      </c>
      <c r="G45" s="342" t="s">
        <v>111</v>
      </c>
      <c r="H45" s="342" t="s">
        <v>111</v>
      </c>
      <c r="I45" s="342" t="s">
        <v>111</v>
      </c>
      <c r="J45" s="113" t="s">
        <v>111</v>
      </c>
      <c r="K45" s="342" t="s">
        <v>111</v>
      </c>
      <c r="L45" s="342" t="s">
        <v>111</v>
      </c>
      <c r="M45" s="344" t="s">
        <v>111</v>
      </c>
      <c r="O45" s="465"/>
    </row>
    <row r="46" spans="1:15" ht="15" thickBot="1" x14ac:dyDescent="0.4">
      <c r="A46" s="586"/>
      <c r="B46" s="117" t="s">
        <v>244</v>
      </c>
      <c r="C46" s="118" t="s">
        <v>111</v>
      </c>
      <c r="D46" s="345" t="s">
        <v>111</v>
      </c>
      <c r="E46" s="345" t="s">
        <v>111</v>
      </c>
      <c r="F46" s="345" t="s">
        <v>111</v>
      </c>
      <c r="G46" s="345" t="s">
        <v>111</v>
      </c>
      <c r="H46" s="345" t="s">
        <v>111</v>
      </c>
      <c r="I46" s="345">
        <v>39100</v>
      </c>
      <c r="J46" s="119" t="s">
        <v>111</v>
      </c>
      <c r="K46" s="345" t="s">
        <v>111</v>
      </c>
      <c r="L46" s="345" t="s">
        <v>111</v>
      </c>
      <c r="M46" s="346" t="s">
        <v>111</v>
      </c>
      <c r="O46" s="465"/>
    </row>
    <row r="47" spans="1:15" x14ac:dyDescent="0.35">
      <c r="A47" s="616" t="s">
        <v>245</v>
      </c>
      <c r="B47" s="137" t="s">
        <v>239</v>
      </c>
      <c r="C47" s="107">
        <v>3922.8</v>
      </c>
      <c r="D47" s="358">
        <f>3922.8-60</f>
        <v>3862.8</v>
      </c>
      <c r="E47" s="358">
        <v>8600</v>
      </c>
      <c r="F47" s="358" t="s">
        <v>111</v>
      </c>
      <c r="G47" s="358" t="s">
        <v>111</v>
      </c>
      <c r="H47" s="358">
        <v>3896.8500000000004</v>
      </c>
      <c r="I47" s="358">
        <v>5920</v>
      </c>
      <c r="J47" s="108">
        <v>5372.8</v>
      </c>
      <c r="K47" s="358" t="s">
        <v>111</v>
      </c>
      <c r="L47" s="358" t="s">
        <v>111</v>
      </c>
      <c r="M47" s="359">
        <v>2989</v>
      </c>
      <c r="N47" s="110"/>
      <c r="O47" s="465"/>
    </row>
    <row r="48" spans="1:15" x14ac:dyDescent="0.35">
      <c r="A48" s="585"/>
      <c r="B48" s="20" t="s">
        <v>240</v>
      </c>
      <c r="C48" s="112">
        <v>4781.05</v>
      </c>
      <c r="D48" s="342">
        <f>4781.05-60</f>
        <v>4721.05</v>
      </c>
      <c r="E48" s="342" t="s">
        <v>111</v>
      </c>
      <c r="F48" s="342" t="s">
        <v>111</v>
      </c>
      <c r="G48" s="342" t="s">
        <v>111</v>
      </c>
      <c r="H48" s="342">
        <v>4159.3500000000004</v>
      </c>
      <c r="I48" s="342">
        <v>6500</v>
      </c>
      <c r="J48" s="113">
        <v>5416.96</v>
      </c>
      <c r="K48" s="342" t="s">
        <v>111</v>
      </c>
      <c r="L48" s="342" t="s">
        <v>111</v>
      </c>
      <c r="M48" s="344">
        <v>3544.8</v>
      </c>
      <c r="N48" s="110"/>
      <c r="O48" s="465"/>
    </row>
    <row r="49" spans="1:15" x14ac:dyDescent="0.35">
      <c r="A49" s="585"/>
      <c r="B49" s="20" t="s">
        <v>246</v>
      </c>
      <c r="C49" s="112">
        <v>8889.5</v>
      </c>
      <c r="D49" s="342">
        <f>8889.5-60</f>
        <v>8829.5</v>
      </c>
      <c r="E49" s="342">
        <v>18520</v>
      </c>
      <c r="F49" s="342" t="s">
        <v>111</v>
      </c>
      <c r="G49" s="342" t="s">
        <v>111</v>
      </c>
      <c r="H49" s="342">
        <v>8823.5999999999985</v>
      </c>
      <c r="I49" s="342">
        <v>12740</v>
      </c>
      <c r="J49" s="113">
        <v>10695.92</v>
      </c>
      <c r="K49" s="342" t="s">
        <v>111</v>
      </c>
      <c r="L49" s="342" t="s">
        <v>111</v>
      </c>
      <c r="M49" s="344">
        <v>6436.7999999999993</v>
      </c>
      <c r="N49" s="110"/>
      <c r="O49" s="465"/>
    </row>
    <row r="50" spans="1:15" x14ac:dyDescent="0.35">
      <c r="A50" s="585"/>
      <c r="B50" s="20" t="s">
        <v>247</v>
      </c>
      <c r="C50" s="112">
        <v>18185.95</v>
      </c>
      <c r="D50" s="342">
        <f>C50-60</f>
        <v>18125.95</v>
      </c>
      <c r="E50" s="342" t="s">
        <v>111</v>
      </c>
      <c r="F50" s="342" t="s">
        <v>111</v>
      </c>
      <c r="G50" s="342" t="s">
        <v>111</v>
      </c>
      <c r="H50" s="342">
        <v>23836.5</v>
      </c>
      <c r="I50" s="342">
        <v>31640</v>
      </c>
      <c r="J50" s="113" t="s">
        <v>111</v>
      </c>
      <c r="K50" s="342" t="s">
        <v>111</v>
      </c>
      <c r="L50" s="342" t="s">
        <v>111</v>
      </c>
      <c r="M50" s="344">
        <v>14911.199999999999</v>
      </c>
      <c r="N50" s="110"/>
      <c r="O50" s="465"/>
    </row>
    <row r="51" spans="1:15" x14ac:dyDescent="0.35">
      <c r="A51" s="585"/>
      <c r="B51" s="20" t="s">
        <v>248</v>
      </c>
      <c r="C51" s="112">
        <v>39202.449999999997</v>
      </c>
      <c r="D51" s="342">
        <f>C51-60</f>
        <v>39142.449999999997</v>
      </c>
      <c r="E51" s="342" t="s">
        <v>111</v>
      </c>
      <c r="F51" s="342" t="s">
        <v>111</v>
      </c>
      <c r="G51" s="342" t="s">
        <v>111</v>
      </c>
      <c r="H51" s="342" t="s">
        <v>111</v>
      </c>
      <c r="I51" s="342" t="s">
        <v>111</v>
      </c>
      <c r="J51" s="113" t="s">
        <v>111</v>
      </c>
      <c r="K51" s="342" t="s">
        <v>111</v>
      </c>
      <c r="L51" s="342" t="s">
        <v>111</v>
      </c>
      <c r="M51" s="344" t="s">
        <v>111</v>
      </c>
      <c r="O51" s="465"/>
    </row>
    <row r="52" spans="1:15" ht="15" thickBot="1" x14ac:dyDescent="0.4">
      <c r="A52" s="586"/>
      <c r="B52" s="117" t="s">
        <v>249</v>
      </c>
      <c r="C52" s="118" t="s">
        <v>111</v>
      </c>
      <c r="D52" s="345" t="s">
        <v>111</v>
      </c>
      <c r="E52" s="345" t="s">
        <v>111</v>
      </c>
      <c r="F52" s="345" t="s">
        <v>111</v>
      </c>
      <c r="G52" s="345" t="s">
        <v>111</v>
      </c>
      <c r="H52" s="345" t="s">
        <v>111</v>
      </c>
      <c r="I52" s="345">
        <v>50080</v>
      </c>
      <c r="J52" s="119" t="s">
        <v>111</v>
      </c>
      <c r="K52" s="345" t="s">
        <v>111</v>
      </c>
      <c r="L52" s="345" t="s">
        <v>111</v>
      </c>
      <c r="M52" s="346" t="s">
        <v>111</v>
      </c>
      <c r="O52" s="465"/>
    </row>
    <row r="53" spans="1:15" x14ac:dyDescent="0.35">
      <c r="A53" s="616" t="s">
        <v>250</v>
      </c>
      <c r="B53" s="137" t="s">
        <v>239</v>
      </c>
      <c r="C53" s="107">
        <v>5697.2</v>
      </c>
      <c r="D53" s="358">
        <f>5697.2-60</f>
        <v>5637.2</v>
      </c>
      <c r="E53" s="358">
        <v>12640</v>
      </c>
      <c r="F53" s="358" t="s">
        <v>111</v>
      </c>
      <c r="G53" s="358" t="s">
        <v>111</v>
      </c>
      <c r="H53" s="358">
        <v>5322.6</v>
      </c>
      <c r="I53" s="358">
        <v>8200</v>
      </c>
      <c r="J53" s="108">
        <v>7639.68</v>
      </c>
      <c r="K53" s="358" t="s">
        <v>111</v>
      </c>
      <c r="L53" s="358" t="s">
        <v>111</v>
      </c>
      <c r="M53" s="359">
        <v>5198.2</v>
      </c>
      <c r="N53" s="110"/>
      <c r="O53" s="465"/>
    </row>
    <row r="54" spans="1:15" x14ac:dyDescent="0.35">
      <c r="A54" s="585"/>
      <c r="B54" s="20" t="s">
        <v>240</v>
      </c>
      <c r="C54" s="112">
        <v>6947.9</v>
      </c>
      <c r="D54" s="342">
        <f>6947.9-60</f>
        <v>6887.9</v>
      </c>
      <c r="E54" s="342" t="s">
        <v>111</v>
      </c>
      <c r="F54" s="342" t="s">
        <v>111</v>
      </c>
      <c r="G54" s="342" t="s">
        <v>111</v>
      </c>
      <c r="H54" s="342">
        <v>6106.5</v>
      </c>
      <c r="I54" s="342">
        <v>8960</v>
      </c>
      <c r="J54" s="113">
        <v>7923.04</v>
      </c>
      <c r="K54" s="342" t="s">
        <v>111</v>
      </c>
      <c r="L54" s="342" t="s">
        <v>111</v>
      </c>
      <c r="M54" s="344">
        <v>5611.2</v>
      </c>
      <c r="N54" s="110"/>
      <c r="O54" s="465"/>
    </row>
    <row r="55" spans="1:15" x14ac:dyDescent="0.35">
      <c r="A55" s="585"/>
      <c r="B55" s="20" t="s">
        <v>251</v>
      </c>
      <c r="C55" s="112">
        <v>12117.6</v>
      </c>
      <c r="D55" s="342">
        <f>12117.6-60</f>
        <v>12057.6</v>
      </c>
      <c r="E55" s="342">
        <v>25340</v>
      </c>
      <c r="F55" s="342" t="s">
        <v>111</v>
      </c>
      <c r="G55" s="342" t="s">
        <v>111</v>
      </c>
      <c r="H55" s="342">
        <v>11234.099999999999</v>
      </c>
      <c r="I55" s="342">
        <v>16800</v>
      </c>
      <c r="J55" s="113">
        <v>13597.6</v>
      </c>
      <c r="K55" s="342" t="s">
        <v>111</v>
      </c>
      <c r="L55" s="342" t="s">
        <v>111</v>
      </c>
      <c r="M55" s="344">
        <v>8253.5999999999985</v>
      </c>
      <c r="N55" s="110"/>
      <c r="O55" s="465"/>
    </row>
    <row r="56" spans="1:15" x14ac:dyDescent="0.35">
      <c r="A56" s="585"/>
      <c r="B56" s="20" t="s">
        <v>252</v>
      </c>
      <c r="C56" s="112">
        <v>24701.45</v>
      </c>
      <c r="D56" s="342">
        <f>C56-60</f>
        <v>24641.45</v>
      </c>
      <c r="E56" s="342" t="s">
        <v>111</v>
      </c>
      <c r="F56" s="342" t="s">
        <v>111</v>
      </c>
      <c r="G56" s="342" t="s">
        <v>111</v>
      </c>
      <c r="H56" s="342">
        <v>30134.25</v>
      </c>
      <c r="I56" s="342">
        <v>40160</v>
      </c>
      <c r="J56" s="113" t="s">
        <v>111</v>
      </c>
      <c r="K56" s="342" t="s">
        <v>111</v>
      </c>
      <c r="L56" s="342" t="s">
        <v>111</v>
      </c>
      <c r="M56" s="344">
        <v>19951.199999999997</v>
      </c>
      <c r="N56" s="110"/>
      <c r="O56" s="465"/>
    </row>
    <row r="57" spans="1:15" x14ac:dyDescent="0.35">
      <c r="A57" s="585"/>
      <c r="B57" s="20" t="s">
        <v>253</v>
      </c>
      <c r="C57" s="112">
        <v>51453.9</v>
      </c>
      <c r="D57" s="342">
        <f>C57-60</f>
        <v>51393.9</v>
      </c>
      <c r="E57" s="342" t="s">
        <v>111</v>
      </c>
      <c r="F57" s="342" t="s">
        <v>111</v>
      </c>
      <c r="G57" s="342" t="s">
        <v>111</v>
      </c>
      <c r="H57" s="342" t="s">
        <v>111</v>
      </c>
      <c r="I57" s="342" t="s">
        <v>111</v>
      </c>
      <c r="J57" s="113" t="s">
        <v>111</v>
      </c>
      <c r="K57" s="342" t="s">
        <v>111</v>
      </c>
      <c r="L57" s="342" t="s">
        <v>111</v>
      </c>
      <c r="M57" s="344" t="s">
        <v>111</v>
      </c>
      <c r="O57" s="465"/>
    </row>
    <row r="58" spans="1:15" ht="15" thickBot="1" x14ac:dyDescent="0.4">
      <c r="A58" s="586"/>
      <c r="B58" s="117" t="s">
        <v>254</v>
      </c>
      <c r="C58" s="118" t="s">
        <v>111</v>
      </c>
      <c r="D58" s="345" t="s">
        <v>111</v>
      </c>
      <c r="E58" s="345" t="s">
        <v>111</v>
      </c>
      <c r="F58" s="345" t="s">
        <v>111</v>
      </c>
      <c r="G58" s="345" t="s">
        <v>111</v>
      </c>
      <c r="H58" s="345" t="s">
        <v>111</v>
      </c>
      <c r="I58" s="345">
        <v>63420</v>
      </c>
      <c r="J58" s="119" t="s">
        <v>111</v>
      </c>
      <c r="K58" s="345" t="s">
        <v>111</v>
      </c>
      <c r="L58" s="345" t="s">
        <v>111</v>
      </c>
      <c r="M58" s="346" t="s">
        <v>111</v>
      </c>
      <c r="O58" s="465"/>
    </row>
    <row r="59" spans="1:15" x14ac:dyDescent="0.35">
      <c r="A59" s="616" t="s">
        <v>255</v>
      </c>
      <c r="B59" s="137" t="s">
        <v>239</v>
      </c>
      <c r="C59" s="107">
        <v>8419.0499999999993</v>
      </c>
      <c r="D59" s="358">
        <f>8419.05-60</f>
        <v>8359.0499999999993</v>
      </c>
      <c r="E59" s="358">
        <v>20460</v>
      </c>
      <c r="F59" s="358" t="s">
        <v>111</v>
      </c>
      <c r="G59" s="358" t="s">
        <v>111</v>
      </c>
      <c r="H59" s="358">
        <v>8423.5499999999993</v>
      </c>
      <c r="I59" s="358">
        <v>12760</v>
      </c>
      <c r="J59" s="108">
        <v>11562.56</v>
      </c>
      <c r="K59" s="358" t="s">
        <v>111</v>
      </c>
      <c r="L59" s="358" t="s">
        <v>111</v>
      </c>
      <c r="M59" s="359">
        <v>7407.4000000000005</v>
      </c>
      <c r="N59" s="110"/>
      <c r="O59" s="465"/>
    </row>
    <row r="60" spans="1:15" x14ac:dyDescent="0.35">
      <c r="A60" s="585"/>
      <c r="B60" s="20" t="s">
        <v>240</v>
      </c>
      <c r="C60" s="112">
        <v>10871.7</v>
      </c>
      <c r="D60" s="342">
        <f>10871.7-60</f>
        <v>10811.7</v>
      </c>
      <c r="E60" s="342" t="s">
        <v>111</v>
      </c>
      <c r="F60" s="342" t="s">
        <v>111</v>
      </c>
      <c r="G60" s="342" t="s">
        <v>111</v>
      </c>
      <c r="H60" s="342">
        <v>10162.200000000001</v>
      </c>
      <c r="I60" s="342">
        <v>14500</v>
      </c>
      <c r="J60" s="113">
        <v>11794.4</v>
      </c>
      <c r="K60" s="342" t="s">
        <v>111</v>
      </c>
      <c r="L60" s="342" t="s">
        <v>111</v>
      </c>
      <c r="M60" s="344">
        <v>9172.8000000000011</v>
      </c>
      <c r="N60" s="110"/>
      <c r="O60" s="465"/>
    </row>
    <row r="61" spans="1:15" x14ac:dyDescent="0.35">
      <c r="A61" s="585"/>
      <c r="B61" s="20" t="s">
        <v>256</v>
      </c>
      <c r="C61" s="112">
        <v>16066.35</v>
      </c>
      <c r="D61" s="342">
        <f>16066.35-60</f>
        <v>16006.35</v>
      </c>
      <c r="E61" s="342">
        <v>33540</v>
      </c>
      <c r="F61" s="342" t="s">
        <v>111</v>
      </c>
      <c r="G61" s="342" t="s">
        <v>111</v>
      </c>
      <c r="H61" s="342">
        <v>14400</v>
      </c>
      <c r="I61" s="342">
        <v>20560</v>
      </c>
      <c r="J61" s="113">
        <v>18878.400000000001</v>
      </c>
      <c r="K61" s="342" t="s">
        <v>111</v>
      </c>
      <c r="L61" s="342" t="s">
        <v>111</v>
      </c>
      <c r="M61" s="344">
        <v>10999.2</v>
      </c>
      <c r="N61" s="110"/>
      <c r="O61" s="465"/>
    </row>
    <row r="62" spans="1:15" x14ac:dyDescent="0.35">
      <c r="A62" s="585"/>
      <c r="B62" s="20" t="s">
        <v>257</v>
      </c>
      <c r="C62" s="112">
        <v>34073.85</v>
      </c>
      <c r="D62" s="342">
        <f>34073.85-60</f>
        <v>34013.85</v>
      </c>
      <c r="E62" s="342" t="s">
        <v>111</v>
      </c>
      <c r="F62" s="342" t="s">
        <v>111</v>
      </c>
      <c r="G62" s="342" t="s">
        <v>111</v>
      </c>
      <c r="H62" s="342">
        <v>39002.962499999994</v>
      </c>
      <c r="I62" s="342">
        <v>53940</v>
      </c>
      <c r="J62" s="113">
        <v>49188.72</v>
      </c>
      <c r="K62" s="342" t="s">
        <v>111</v>
      </c>
      <c r="L62" s="342" t="s">
        <v>111</v>
      </c>
      <c r="M62" s="344">
        <v>27344.399999999998</v>
      </c>
      <c r="N62" s="110"/>
      <c r="O62" s="465"/>
    </row>
    <row r="63" spans="1:15" x14ac:dyDescent="0.35">
      <c r="A63" s="585"/>
      <c r="B63" s="20" t="s">
        <v>258</v>
      </c>
      <c r="C63" s="112">
        <v>69140.55</v>
      </c>
      <c r="D63" s="342">
        <f>69140.55-60</f>
        <v>69080.55</v>
      </c>
      <c r="E63" s="342" t="s">
        <v>111</v>
      </c>
      <c r="F63" s="342" t="s">
        <v>111</v>
      </c>
      <c r="G63" s="342" t="s">
        <v>111</v>
      </c>
      <c r="H63" s="342" t="s">
        <v>111</v>
      </c>
      <c r="I63" s="342" t="s">
        <v>111</v>
      </c>
      <c r="J63" s="113" t="s">
        <v>111</v>
      </c>
      <c r="K63" s="342" t="s">
        <v>111</v>
      </c>
      <c r="L63" s="342" t="s">
        <v>111</v>
      </c>
      <c r="M63" s="344" t="s">
        <v>111</v>
      </c>
      <c r="O63" s="465"/>
    </row>
    <row r="64" spans="1:15" ht="15" thickBot="1" x14ac:dyDescent="0.4">
      <c r="A64" s="586"/>
      <c r="B64" s="117" t="s">
        <v>259</v>
      </c>
      <c r="C64" s="118" t="s">
        <v>111</v>
      </c>
      <c r="D64" s="345" t="s">
        <v>111</v>
      </c>
      <c r="E64" s="345" t="s">
        <v>111</v>
      </c>
      <c r="F64" s="345" t="s">
        <v>111</v>
      </c>
      <c r="G64" s="345" t="s">
        <v>111</v>
      </c>
      <c r="H64" s="345" t="s">
        <v>111</v>
      </c>
      <c r="I64" s="345">
        <v>83080</v>
      </c>
      <c r="J64" s="119" t="s">
        <v>111</v>
      </c>
      <c r="K64" s="345" t="s">
        <v>111</v>
      </c>
      <c r="L64" s="345" t="s">
        <v>111</v>
      </c>
      <c r="M64" s="346" t="s">
        <v>111</v>
      </c>
      <c r="O64" s="465"/>
    </row>
    <row r="65" spans="1:15" x14ac:dyDescent="0.35">
      <c r="A65" s="616" t="s">
        <v>260</v>
      </c>
      <c r="B65" s="137" t="s">
        <v>239</v>
      </c>
      <c r="C65" s="107">
        <v>13958.1</v>
      </c>
      <c r="D65" s="358">
        <f>13958.1-60</f>
        <v>13898.1</v>
      </c>
      <c r="E65" s="358">
        <v>35900</v>
      </c>
      <c r="F65" s="358" t="s">
        <v>111</v>
      </c>
      <c r="G65" s="358" t="s">
        <v>111</v>
      </c>
      <c r="H65" s="358">
        <v>14319.599999999999</v>
      </c>
      <c r="I65" s="358">
        <v>21040</v>
      </c>
      <c r="J65" s="108">
        <v>18745.920000000002</v>
      </c>
      <c r="K65" s="358" t="s">
        <v>111</v>
      </c>
      <c r="L65" s="358" t="s">
        <v>111</v>
      </c>
      <c r="M65" s="359">
        <v>12744.2</v>
      </c>
      <c r="N65" s="110"/>
      <c r="O65" s="465"/>
    </row>
    <row r="66" spans="1:15" x14ac:dyDescent="0.35">
      <c r="A66" s="585"/>
      <c r="B66" s="20" t="s">
        <v>240</v>
      </c>
      <c r="C66" s="112">
        <v>18752.599999999999</v>
      </c>
      <c r="D66" s="342">
        <f>18752.6-60</f>
        <v>18692.599999999999</v>
      </c>
      <c r="E66" s="342" t="s">
        <v>111</v>
      </c>
      <c r="F66" s="342" t="s">
        <v>111</v>
      </c>
      <c r="G66" s="342" t="s">
        <v>111</v>
      </c>
      <c r="H66" s="342">
        <v>16345.5</v>
      </c>
      <c r="I66" s="342">
        <v>23940</v>
      </c>
      <c r="J66" s="113">
        <v>20011.84</v>
      </c>
      <c r="K66" s="342" t="s">
        <v>111</v>
      </c>
      <c r="L66" s="342" t="s">
        <v>111</v>
      </c>
      <c r="M66" s="344">
        <v>15604.400000000001</v>
      </c>
      <c r="N66" s="110"/>
      <c r="O66" s="465"/>
    </row>
    <row r="67" spans="1:15" x14ac:dyDescent="0.35">
      <c r="A67" s="585"/>
      <c r="B67" s="20" t="s">
        <v>261</v>
      </c>
      <c r="C67" s="112">
        <v>22863.599999999999</v>
      </c>
      <c r="D67" s="342">
        <f>-22863.6-60</f>
        <v>-22923.599999999999</v>
      </c>
      <c r="E67" s="342">
        <v>45100</v>
      </c>
      <c r="F67" s="342" t="s">
        <v>111</v>
      </c>
      <c r="G67" s="342" t="s">
        <v>111</v>
      </c>
      <c r="H67" s="342">
        <v>19873.5</v>
      </c>
      <c r="I67" s="342">
        <v>28120</v>
      </c>
      <c r="J67" s="113">
        <v>24227.280000000002</v>
      </c>
      <c r="K67" s="342" t="s">
        <v>111</v>
      </c>
      <c r="L67" s="342" t="s">
        <v>111</v>
      </c>
      <c r="M67" s="344">
        <v>16099.199999999999</v>
      </c>
      <c r="N67" s="110"/>
      <c r="O67" s="465"/>
    </row>
    <row r="68" spans="1:15" x14ac:dyDescent="0.35">
      <c r="A68" s="585"/>
      <c r="B68" s="20" t="s">
        <v>262</v>
      </c>
      <c r="C68" s="112">
        <v>47923.55</v>
      </c>
      <c r="D68" s="342">
        <f>47923.55-60</f>
        <v>47863.55</v>
      </c>
      <c r="E68" s="342" t="s">
        <v>111</v>
      </c>
      <c r="F68" s="342" t="s">
        <v>111</v>
      </c>
      <c r="G68" s="342" t="s">
        <v>111</v>
      </c>
      <c r="H68" s="342">
        <v>50211.5625</v>
      </c>
      <c r="I68" s="342">
        <v>69200</v>
      </c>
      <c r="J68" s="113">
        <v>68808.639999999999</v>
      </c>
      <c r="K68" s="342" t="s">
        <v>111</v>
      </c>
      <c r="L68" s="342" t="s">
        <v>111</v>
      </c>
      <c r="M68" s="344">
        <v>37536</v>
      </c>
      <c r="N68" s="110"/>
      <c r="O68" s="465"/>
    </row>
    <row r="69" spans="1:15" x14ac:dyDescent="0.35">
      <c r="A69" s="585"/>
      <c r="B69" s="20" t="s">
        <v>263</v>
      </c>
      <c r="C69" s="112">
        <v>95054.3</v>
      </c>
      <c r="D69" s="342">
        <f>95054.3-60</f>
        <v>94994.3</v>
      </c>
      <c r="E69" s="342" t="s">
        <v>111</v>
      </c>
      <c r="F69" s="342" t="s">
        <v>111</v>
      </c>
      <c r="G69" s="342" t="s">
        <v>111</v>
      </c>
      <c r="H69" s="342" t="s">
        <v>111</v>
      </c>
      <c r="I69" s="342" t="s">
        <v>111</v>
      </c>
      <c r="J69" s="113" t="s">
        <v>111</v>
      </c>
      <c r="K69" s="342" t="s">
        <v>111</v>
      </c>
      <c r="L69" s="342" t="s">
        <v>111</v>
      </c>
      <c r="M69" s="344" t="s">
        <v>111</v>
      </c>
      <c r="O69" s="465"/>
    </row>
    <row r="70" spans="1:15" ht="15" thickBot="1" x14ac:dyDescent="0.4">
      <c r="A70" s="586"/>
      <c r="B70" s="117" t="s">
        <v>264</v>
      </c>
      <c r="C70" s="118" t="s">
        <v>111</v>
      </c>
      <c r="D70" s="345" t="s">
        <v>111</v>
      </c>
      <c r="E70" s="345" t="s">
        <v>111</v>
      </c>
      <c r="F70" s="345" t="s">
        <v>111</v>
      </c>
      <c r="G70" s="345" t="s">
        <v>111</v>
      </c>
      <c r="H70" s="345" t="s">
        <v>111</v>
      </c>
      <c r="I70" s="345">
        <v>106380</v>
      </c>
      <c r="J70" s="119" t="s">
        <v>111</v>
      </c>
      <c r="K70" s="345" t="s">
        <v>111</v>
      </c>
      <c r="L70" s="345" t="s">
        <v>111</v>
      </c>
      <c r="M70" s="346" t="s">
        <v>111</v>
      </c>
      <c r="O70" s="465"/>
    </row>
    <row r="71" spans="1:15" x14ac:dyDescent="0.35">
      <c r="C71" s="163"/>
      <c r="D71" s="163"/>
      <c r="E71" s="163"/>
      <c r="H71" s="163"/>
      <c r="I71" s="163"/>
      <c r="J71" s="163"/>
      <c r="K71" s="163"/>
      <c r="L71" s="163"/>
      <c r="M71" s="163"/>
      <c r="O71" s="465"/>
    </row>
    <row r="72" spans="1:15" x14ac:dyDescent="0.35">
      <c r="C72" s="163"/>
      <c r="D72" s="163"/>
      <c r="E72" s="163"/>
      <c r="H72" s="163"/>
      <c r="I72" s="163"/>
      <c r="J72" s="163"/>
      <c r="K72" s="163"/>
      <c r="L72" s="163"/>
      <c r="M72" s="163"/>
      <c r="O72" s="465"/>
    </row>
    <row r="73" spans="1:15" ht="15.5" x14ac:dyDescent="0.35">
      <c r="A73" s="610" t="s">
        <v>160</v>
      </c>
      <c r="B73" s="610"/>
      <c r="C73" s="164"/>
      <c r="D73" s="164"/>
      <c r="E73" s="96"/>
      <c r="F73"/>
      <c r="G73"/>
      <c r="H73" s="96"/>
      <c r="I73" s="96"/>
      <c r="J73" s="219"/>
      <c r="K73" s="96" t="s">
        <v>128</v>
      </c>
      <c r="L73" s="46" t="s">
        <v>128</v>
      </c>
      <c r="M73" s="96"/>
      <c r="N73"/>
      <c r="O73" s="465"/>
    </row>
    <row r="74" spans="1:15" ht="15.5" x14ac:dyDescent="0.35">
      <c r="A74" s="590" t="s">
        <v>274</v>
      </c>
      <c r="B74" s="590"/>
      <c r="C74" s="165">
        <v>10000000</v>
      </c>
      <c r="D74" s="165">
        <v>10000000</v>
      </c>
      <c r="E74" s="635" t="s">
        <v>275</v>
      </c>
      <c r="F74" s="635"/>
      <c r="G74" s="635"/>
      <c r="H74" s="635"/>
      <c r="I74" s="209">
        <v>2000000</v>
      </c>
      <c r="J74" s="160"/>
      <c r="K74" s="96" t="s">
        <v>211</v>
      </c>
      <c r="L74" s="46" t="s">
        <v>211</v>
      </c>
      <c r="M74" s="96"/>
      <c r="N74"/>
      <c r="O74" s="465"/>
    </row>
    <row r="75" spans="1:15" ht="15" thickBot="1" x14ac:dyDescent="0.4">
      <c r="A75" s="614"/>
      <c r="B75" s="614"/>
      <c r="C75" s="166"/>
      <c r="D75" s="166"/>
      <c r="E75" s="166"/>
      <c r="F75" s="127"/>
      <c r="G75" s="127"/>
      <c r="H75" s="166"/>
      <c r="I75" s="166"/>
      <c r="J75" s="96"/>
      <c r="K75" s="96"/>
      <c r="L75" s="96"/>
      <c r="M75" s="96"/>
      <c r="N75"/>
      <c r="O75" s="465"/>
    </row>
    <row r="76" spans="1:15" ht="44" customHeight="1" x14ac:dyDescent="0.35">
      <c r="A76" s="592"/>
      <c r="B76" s="615"/>
      <c r="C76" s="328" t="s">
        <v>385</v>
      </c>
      <c r="D76" s="328" t="s">
        <v>385</v>
      </c>
      <c r="E76" s="128" t="s">
        <v>228</v>
      </c>
      <c r="F76" s="128" t="s">
        <v>354</v>
      </c>
      <c r="G76" s="128" t="s">
        <v>354</v>
      </c>
      <c r="H76" s="128" t="s">
        <v>229</v>
      </c>
      <c r="I76" s="128" t="s">
        <v>230</v>
      </c>
      <c r="J76" s="128" t="s">
        <v>231</v>
      </c>
      <c r="K76" s="167" t="s">
        <v>232</v>
      </c>
      <c r="L76" s="128" t="s">
        <v>334</v>
      </c>
      <c r="M76" s="168" t="s">
        <v>233</v>
      </c>
      <c r="O76" s="465"/>
    </row>
    <row r="77" spans="1:15" ht="30" customHeight="1" x14ac:dyDescent="0.35">
      <c r="A77" s="594" t="s">
        <v>213</v>
      </c>
      <c r="B77" s="613"/>
      <c r="C77" s="130" t="s">
        <v>311</v>
      </c>
      <c r="D77" s="130" t="s">
        <v>311</v>
      </c>
      <c r="E77" s="130" t="s">
        <v>235</v>
      </c>
      <c r="F77" s="130" t="s">
        <v>353</v>
      </c>
      <c r="G77" s="130" t="s">
        <v>353</v>
      </c>
      <c r="H77" s="130" t="s">
        <v>234</v>
      </c>
      <c r="I77" s="130" t="s">
        <v>236</v>
      </c>
      <c r="J77" s="159" t="s">
        <v>234</v>
      </c>
      <c r="K77" s="194" t="s">
        <v>237</v>
      </c>
      <c r="L77" s="194" t="s">
        <v>237</v>
      </c>
      <c r="M77" s="195" t="s">
        <v>234</v>
      </c>
      <c r="O77" s="465"/>
    </row>
    <row r="78" spans="1:15" ht="15" thickBot="1" x14ac:dyDescent="0.4">
      <c r="A78" s="211" t="s">
        <v>176</v>
      </c>
      <c r="B78" s="212" t="s">
        <v>140</v>
      </c>
      <c r="C78" s="134" t="s">
        <v>141</v>
      </c>
      <c r="D78" s="134" t="s">
        <v>141</v>
      </c>
      <c r="E78" s="213" t="s">
        <v>142</v>
      </c>
      <c r="F78" s="280" t="s">
        <v>141</v>
      </c>
      <c r="G78" s="280" t="s">
        <v>141</v>
      </c>
      <c r="H78" s="214" t="s">
        <v>141</v>
      </c>
      <c r="I78" s="221" t="s">
        <v>141</v>
      </c>
      <c r="J78" s="215" t="s">
        <v>142</v>
      </c>
      <c r="K78" s="220" t="s">
        <v>142</v>
      </c>
      <c r="L78" s="220" t="s">
        <v>142</v>
      </c>
      <c r="M78" s="222" t="s">
        <v>141</v>
      </c>
      <c r="O78" s="465"/>
    </row>
    <row r="79" spans="1:15" x14ac:dyDescent="0.35">
      <c r="A79" s="620" t="s">
        <v>238</v>
      </c>
      <c r="B79" s="137" t="s">
        <v>239</v>
      </c>
      <c r="C79" s="107">
        <v>1552.9</v>
      </c>
      <c r="D79" s="358">
        <f>1552.9-60</f>
        <v>1492.9</v>
      </c>
      <c r="E79" s="358">
        <v>3800</v>
      </c>
      <c r="F79" s="358" t="s">
        <v>111</v>
      </c>
      <c r="G79" s="358" t="s">
        <v>111</v>
      </c>
      <c r="H79" s="358">
        <v>1797.75</v>
      </c>
      <c r="I79" s="358">
        <f>I112-2820</f>
        <v>2860</v>
      </c>
      <c r="J79" s="108">
        <v>2388.3200000000002</v>
      </c>
      <c r="K79" s="358" t="s">
        <v>111</v>
      </c>
      <c r="L79" s="358" t="s">
        <v>111</v>
      </c>
      <c r="M79" s="359">
        <v>1699.6000000000001</v>
      </c>
      <c r="N79" s="110"/>
      <c r="O79" s="465"/>
    </row>
    <row r="80" spans="1:15" x14ac:dyDescent="0.35">
      <c r="A80" s="587"/>
      <c r="B80" s="20" t="s">
        <v>240</v>
      </c>
      <c r="C80" s="112">
        <v>1689.25</v>
      </c>
      <c r="D80" s="342">
        <f>1689.25-60</f>
        <v>1629.25</v>
      </c>
      <c r="E80" s="342" t="s">
        <v>111</v>
      </c>
      <c r="F80" s="342" t="s">
        <v>111</v>
      </c>
      <c r="G80" s="342" t="s">
        <v>111</v>
      </c>
      <c r="H80" s="342">
        <v>1797.75</v>
      </c>
      <c r="I80" s="342">
        <f>I113-2880</f>
        <v>2960</v>
      </c>
      <c r="J80" s="113">
        <v>2388.3200000000002</v>
      </c>
      <c r="K80" s="342">
        <v>2065.3000000000002</v>
      </c>
      <c r="L80" s="342">
        <f>K80*0.85</f>
        <v>1755.5050000000001</v>
      </c>
      <c r="M80" s="344">
        <v>1701</v>
      </c>
      <c r="N80" s="110"/>
      <c r="O80" s="465"/>
    </row>
    <row r="81" spans="1:15" x14ac:dyDescent="0.35">
      <c r="A81" s="587"/>
      <c r="B81" s="20" t="s">
        <v>241</v>
      </c>
      <c r="C81" s="112">
        <v>3268.1</v>
      </c>
      <c r="D81" s="342">
        <f>3268.1-60</f>
        <v>3208.1</v>
      </c>
      <c r="E81" s="342">
        <v>7300</v>
      </c>
      <c r="F81" s="342" t="s">
        <v>111</v>
      </c>
      <c r="G81" s="342" t="s">
        <v>111</v>
      </c>
      <c r="H81" s="342">
        <v>3288.8999999999996</v>
      </c>
      <c r="I81" s="342">
        <f>I114-5300</f>
        <v>6040</v>
      </c>
      <c r="J81" s="113">
        <v>5004.8</v>
      </c>
      <c r="K81" s="342">
        <v>4476.75</v>
      </c>
      <c r="L81" s="342">
        <f>K81*0.85</f>
        <v>3805.2374999999997</v>
      </c>
      <c r="M81" s="344">
        <v>2674.8</v>
      </c>
      <c r="N81" s="110"/>
      <c r="O81" s="465"/>
    </row>
    <row r="82" spans="1:15" x14ac:dyDescent="0.35">
      <c r="A82" s="587"/>
      <c r="B82" s="20" t="s">
        <v>242</v>
      </c>
      <c r="C82" s="112">
        <v>6734.05</v>
      </c>
      <c r="D82" s="342">
        <f>C82-60</f>
        <v>6674.05</v>
      </c>
      <c r="E82" s="342" t="s">
        <v>111</v>
      </c>
      <c r="F82" s="342" t="s">
        <v>111</v>
      </c>
      <c r="G82" s="342" t="s">
        <v>111</v>
      </c>
      <c r="H82" s="342">
        <v>10161.900000000001</v>
      </c>
      <c r="I82" s="342">
        <f>I115-8020</f>
        <v>15340</v>
      </c>
      <c r="J82" s="113" t="s">
        <v>111</v>
      </c>
      <c r="K82" s="342">
        <v>11272.65</v>
      </c>
      <c r="L82" s="342">
        <f>K82*0.85</f>
        <v>9581.7524999999987</v>
      </c>
      <c r="M82" s="344">
        <v>6962.4</v>
      </c>
      <c r="N82" s="110"/>
      <c r="O82" s="465"/>
    </row>
    <row r="83" spans="1:15" x14ac:dyDescent="0.35">
      <c r="A83" s="587"/>
      <c r="B83" s="20" t="s">
        <v>243</v>
      </c>
      <c r="C83" s="112">
        <v>18083.849999999999</v>
      </c>
      <c r="D83" s="471">
        <f>C83-60</f>
        <v>18023.849999999999</v>
      </c>
      <c r="E83" s="342" t="s">
        <v>111</v>
      </c>
      <c r="F83" s="342">
        <v>15898</v>
      </c>
      <c r="G83" s="472">
        <f>15898/0.8*0.85</f>
        <v>16891.625</v>
      </c>
      <c r="H83" s="342" t="s">
        <v>111</v>
      </c>
      <c r="I83" s="342" t="s">
        <v>111</v>
      </c>
      <c r="J83" s="113" t="s">
        <v>111</v>
      </c>
      <c r="K83" s="342" t="s">
        <v>111</v>
      </c>
      <c r="L83" s="342" t="s">
        <v>111</v>
      </c>
      <c r="M83" s="344" t="s">
        <v>111</v>
      </c>
      <c r="N83" s="110"/>
      <c r="O83" s="465"/>
    </row>
    <row r="84" spans="1:15" ht="15" thickBot="1" x14ac:dyDescent="0.4">
      <c r="A84" s="607"/>
      <c r="B84" s="117" t="s">
        <v>244</v>
      </c>
      <c r="C84" s="118" t="s">
        <v>111</v>
      </c>
      <c r="D84" s="345" t="s">
        <v>111</v>
      </c>
      <c r="E84" s="345" t="s">
        <v>111</v>
      </c>
      <c r="F84" s="345" t="s">
        <v>111</v>
      </c>
      <c r="G84" s="345" t="s">
        <v>111</v>
      </c>
      <c r="H84" s="345" t="s">
        <v>111</v>
      </c>
      <c r="I84" s="345">
        <f>I117-8880</f>
        <v>27360</v>
      </c>
      <c r="J84" s="119" t="s">
        <v>111</v>
      </c>
      <c r="K84" s="345">
        <v>22279.9</v>
      </c>
      <c r="L84" s="345">
        <f>K84*0.85</f>
        <v>18937.915000000001</v>
      </c>
      <c r="M84" s="346" t="s">
        <v>111</v>
      </c>
      <c r="N84" s="110"/>
      <c r="O84" s="465"/>
    </row>
    <row r="85" spans="1:15" x14ac:dyDescent="0.35">
      <c r="A85" s="611" t="s">
        <v>245</v>
      </c>
      <c r="B85" s="138" t="s">
        <v>239</v>
      </c>
      <c r="C85" s="107">
        <v>2213.85</v>
      </c>
      <c r="D85" s="358">
        <f>2213.85-60</f>
        <v>2153.85</v>
      </c>
      <c r="E85" s="358">
        <v>4900</v>
      </c>
      <c r="F85" s="358" t="s">
        <v>111</v>
      </c>
      <c r="G85" s="358" t="s">
        <v>111</v>
      </c>
      <c r="H85" s="358">
        <v>2167.3500000000004</v>
      </c>
      <c r="I85" s="358">
        <f>I118-3580</f>
        <v>3160</v>
      </c>
      <c r="J85" s="108">
        <v>3161.1200000000003</v>
      </c>
      <c r="K85" s="358" t="s">
        <v>111</v>
      </c>
      <c r="L85" s="358" t="s">
        <v>111</v>
      </c>
      <c r="M85" s="359">
        <v>1919.3999999999999</v>
      </c>
      <c r="N85" s="110"/>
      <c r="O85" s="465"/>
    </row>
    <row r="86" spans="1:15" x14ac:dyDescent="0.35">
      <c r="A86" s="587"/>
      <c r="B86" s="20" t="s">
        <v>240</v>
      </c>
      <c r="C86" s="112">
        <v>2300.5</v>
      </c>
      <c r="D86" s="342">
        <f>2300.5-60</f>
        <v>2240.5</v>
      </c>
      <c r="E86" s="342" t="s">
        <v>111</v>
      </c>
      <c r="F86" s="342" t="s">
        <v>111</v>
      </c>
      <c r="G86" s="342" t="s">
        <v>111</v>
      </c>
      <c r="H86" s="342">
        <v>2219.3999999999996</v>
      </c>
      <c r="I86" s="342">
        <f>I119-4200</f>
        <v>3280</v>
      </c>
      <c r="J86" s="113">
        <v>3207.1200000000003</v>
      </c>
      <c r="K86" s="342">
        <v>2503.75</v>
      </c>
      <c r="L86" s="342">
        <f>K86*0.85</f>
        <v>2128.1875</v>
      </c>
      <c r="M86" s="344">
        <v>2060.8000000000002</v>
      </c>
      <c r="N86" s="110"/>
      <c r="O86" s="465"/>
    </row>
    <row r="87" spans="1:15" x14ac:dyDescent="0.35">
      <c r="A87" s="587"/>
      <c r="B87" s="20" t="s">
        <v>246</v>
      </c>
      <c r="C87" s="112">
        <v>4185.8999999999996</v>
      </c>
      <c r="D87" s="342">
        <f>4185.9-60</f>
        <v>4125.8999999999996</v>
      </c>
      <c r="E87" s="342">
        <v>8800</v>
      </c>
      <c r="F87" s="342" t="s">
        <v>111</v>
      </c>
      <c r="G87" s="342" t="s">
        <v>111</v>
      </c>
      <c r="H87" s="342">
        <v>4097.3999999999996</v>
      </c>
      <c r="I87" s="342">
        <f>I120-6360</f>
        <v>6020</v>
      </c>
      <c r="J87" s="113">
        <v>5624.880000000001</v>
      </c>
      <c r="K87" s="342">
        <v>5249.8</v>
      </c>
      <c r="L87" s="342">
        <f>K87*0.85</f>
        <v>4462.33</v>
      </c>
      <c r="M87" s="344">
        <v>3163.2</v>
      </c>
      <c r="N87" s="110"/>
      <c r="O87" s="465"/>
    </row>
    <row r="88" spans="1:15" x14ac:dyDescent="0.35">
      <c r="A88" s="587"/>
      <c r="B88" s="20" t="s">
        <v>247</v>
      </c>
      <c r="C88" s="112">
        <v>9090.65</v>
      </c>
      <c r="D88" s="342">
        <f>C88-60</f>
        <v>9030.65</v>
      </c>
      <c r="E88" s="342" t="s">
        <v>111</v>
      </c>
      <c r="F88" s="342" t="s">
        <v>111</v>
      </c>
      <c r="G88" s="342" t="s">
        <v>111</v>
      </c>
      <c r="H88" s="342">
        <v>13440.900000000001</v>
      </c>
      <c r="I88" s="342">
        <f>I121-10520</f>
        <v>18180</v>
      </c>
      <c r="J88" s="113" t="s">
        <v>111</v>
      </c>
      <c r="K88" s="342">
        <v>13372.55</v>
      </c>
      <c r="L88" s="342">
        <f>K88*0.85</f>
        <v>11366.6675</v>
      </c>
      <c r="M88" s="344">
        <v>8194.7999999999993</v>
      </c>
      <c r="N88" s="110"/>
      <c r="O88" s="465"/>
    </row>
    <row r="89" spans="1:15" x14ac:dyDescent="0.35">
      <c r="A89" s="587"/>
      <c r="B89" s="20" t="s">
        <v>248</v>
      </c>
      <c r="C89" s="112">
        <v>24672.799999999999</v>
      </c>
      <c r="D89" s="471">
        <f>C89-60</f>
        <v>24612.799999999999</v>
      </c>
      <c r="E89" s="342" t="s">
        <v>111</v>
      </c>
      <c r="F89" s="342">
        <v>21812</v>
      </c>
      <c r="G89" s="472">
        <f>21812/0.8*0.85</f>
        <v>23175.25</v>
      </c>
      <c r="H89" s="342" t="s">
        <v>111</v>
      </c>
      <c r="I89" s="342" t="s">
        <v>111</v>
      </c>
      <c r="J89" s="113" t="s">
        <v>111</v>
      </c>
      <c r="K89" s="342" t="s">
        <v>111</v>
      </c>
      <c r="L89" s="342" t="s">
        <v>111</v>
      </c>
      <c r="M89" s="344" t="s">
        <v>111</v>
      </c>
      <c r="N89" s="110"/>
      <c r="O89" s="465"/>
    </row>
    <row r="90" spans="1:15" ht="15" thickBot="1" x14ac:dyDescent="0.4">
      <c r="A90" s="612"/>
      <c r="B90" s="139" t="s">
        <v>249</v>
      </c>
      <c r="C90" s="118" t="s">
        <v>111</v>
      </c>
      <c r="D90" s="345" t="s">
        <v>111</v>
      </c>
      <c r="E90" s="345" t="s">
        <v>111</v>
      </c>
      <c r="F90" s="345" t="s">
        <v>111</v>
      </c>
      <c r="G90" s="345" t="s">
        <v>111</v>
      </c>
      <c r="H90" s="345" t="s">
        <v>111</v>
      </c>
      <c r="I90" s="345">
        <f>I123-11560</f>
        <v>35200</v>
      </c>
      <c r="J90" s="119" t="s">
        <v>111</v>
      </c>
      <c r="K90" s="345">
        <v>28533.45</v>
      </c>
      <c r="L90" s="345">
        <f>K90*0.85</f>
        <v>24253.432499999999</v>
      </c>
      <c r="M90" s="346" t="s">
        <v>111</v>
      </c>
      <c r="N90" s="110"/>
      <c r="O90" s="465"/>
    </row>
    <row r="91" spans="1:15" x14ac:dyDescent="0.35">
      <c r="A91" s="620" t="s">
        <v>250</v>
      </c>
      <c r="B91" s="137" t="s">
        <v>239</v>
      </c>
      <c r="C91" s="107">
        <v>3191.9</v>
      </c>
      <c r="D91" s="358">
        <f>3191.9-60</f>
        <v>3131.9</v>
      </c>
      <c r="E91" s="358">
        <v>7900</v>
      </c>
      <c r="F91" s="358" t="s">
        <v>111</v>
      </c>
      <c r="G91" s="358" t="s">
        <v>111</v>
      </c>
      <c r="H91" s="358">
        <v>3116.7000000000003</v>
      </c>
      <c r="I91" s="358">
        <f>I124-5480</f>
        <v>4480</v>
      </c>
      <c r="J91" s="108">
        <v>4156.5600000000004</v>
      </c>
      <c r="K91" s="358" t="s">
        <v>111</v>
      </c>
      <c r="L91" s="358" t="s">
        <v>111</v>
      </c>
      <c r="M91" s="359">
        <v>2914.8</v>
      </c>
      <c r="N91" s="110"/>
      <c r="O91" s="465"/>
    </row>
    <row r="92" spans="1:15" x14ac:dyDescent="0.35">
      <c r="A92" s="587"/>
      <c r="B92" s="20" t="s">
        <v>240</v>
      </c>
      <c r="C92" s="112">
        <v>3448.55</v>
      </c>
      <c r="D92" s="342">
        <f>3448.55-60</f>
        <v>3388.55</v>
      </c>
      <c r="E92" s="342" t="s">
        <v>111</v>
      </c>
      <c r="F92" s="342" t="s">
        <v>111</v>
      </c>
      <c r="G92" s="342" t="s">
        <v>111</v>
      </c>
      <c r="H92" s="342">
        <v>3256.3500000000004</v>
      </c>
      <c r="I92" s="342">
        <f>I125-6440</f>
        <v>4880</v>
      </c>
      <c r="J92" s="113">
        <v>4346.08</v>
      </c>
      <c r="K92" s="342">
        <v>3876.75</v>
      </c>
      <c r="L92" s="342">
        <f>K92*0.85</f>
        <v>3295.2374999999997</v>
      </c>
      <c r="M92" s="344">
        <v>3060.4000000000005</v>
      </c>
      <c r="N92" s="110"/>
      <c r="O92" s="465"/>
    </row>
    <row r="93" spans="1:15" x14ac:dyDescent="0.35">
      <c r="A93" s="587"/>
      <c r="B93" s="20" t="s">
        <v>251</v>
      </c>
      <c r="C93" s="112">
        <v>5483.15</v>
      </c>
      <c r="D93" s="342">
        <f>5483.15-60</f>
        <v>5423.15</v>
      </c>
      <c r="E93" s="342">
        <v>11700</v>
      </c>
      <c r="F93" s="342" t="s">
        <v>111</v>
      </c>
      <c r="G93" s="342" t="s">
        <v>111</v>
      </c>
      <c r="H93" s="342">
        <v>5191.5</v>
      </c>
      <c r="I93" s="342">
        <f>I126-7880</f>
        <v>8180</v>
      </c>
      <c r="J93" s="113">
        <v>7045.3600000000006</v>
      </c>
      <c r="K93" s="342">
        <v>6726.65</v>
      </c>
      <c r="L93" s="342">
        <f>K93*0.85</f>
        <v>5717.6524999999992</v>
      </c>
      <c r="M93" s="344">
        <v>4871.3142857142866</v>
      </c>
      <c r="N93" s="110"/>
      <c r="O93" s="465"/>
    </row>
    <row r="94" spans="1:15" x14ac:dyDescent="0.35">
      <c r="A94" s="587"/>
      <c r="B94" s="20" t="s">
        <v>252</v>
      </c>
      <c r="C94" s="112">
        <v>12137.05</v>
      </c>
      <c r="D94" s="342">
        <f>C94-60</f>
        <v>12077.05</v>
      </c>
      <c r="E94" s="342" t="s">
        <v>111</v>
      </c>
      <c r="F94" s="342" t="s">
        <v>111</v>
      </c>
      <c r="G94" s="342" t="s">
        <v>111</v>
      </c>
      <c r="H94" s="342">
        <v>16877.25</v>
      </c>
      <c r="I94" s="342">
        <f>I127-11560</f>
        <v>22380</v>
      </c>
      <c r="J94" s="113" t="s">
        <v>111</v>
      </c>
      <c r="K94" s="342">
        <v>17987.75</v>
      </c>
      <c r="L94" s="342">
        <f>K94*0.85</f>
        <v>15289.5875</v>
      </c>
      <c r="M94" s="344">
        <v>12766.628571428573</v>
      </c>
      <c r="N94" s="110"/>
      <c r="O94" s="465"/>
    </row>
    <row r="95" spans="1:15" x14ac:dyDescent="0.35">
      <c r="A95" s="587"/>
      <c r="B95" s="20" t="s">
        <v>253</v>
      </c>
      <c r="C95" s="112">
        <v>32593.599999999999</v>
      </c>
      <c r="D95" s="471">
        <f>C95-60</f>
        <v>32533.599999999999</v>
      </c>
      <c r="E95" s="342" t="s">
        <v>111</v>
      </c>
      <c r="F95" s="342">
        <v>29584</v>
      </c>
      <c r="G95" s="472">
        <f>29584/0.8*0.85</f>
        <v>31433</v>
      </c>
      <c r="H95" s="342" t="s">
        <v>111</v>
      </c>
      <c r="I95" s="342" t="s">
        <v>111</v>
      </c>
      <c r="J95" s="113" t="s">
        <v>111</v>
      </c>
      <c r="K95" s="342" t="s">
        <v>111</v>
      </c>
      <c r="L95" s="342" t="s">
        <v>111</v>
      </c>
      <c r="M95" s="344" t="s">
        <v>111</v>
      </c>
      <c r="N95" s="110"/>
      <c r="O95" s="465"/>
    </row>
    <row r="96" spans="1:15" ht="15" thickBot="1" x14ac:dyDescent="0.4">
      <c r="A96" s="607"/>
      <c r="B96" s="117" t="s">
        <v>254</v>
      </c>
      <c r="C96" s="118" t="s">
        <v>111</v>
      </c>
      <c r="D96" s="345" t="s">
        <v>111</v>
      </c>
      <c r="E96" s="345" t="s">
        <v>111</v>
      </c>
      <c r="F96" s="345" t="s">
        <v>111</v>
      </c>
      <c r="G96" s="345" t="s">
        <v>111</v>
      </c>
      <c r="H96" s="345" t="s">
        <v>111</v>
      </c>
      <c r="I96" s="345">
        <f>I129-12280</f>
        <v>45200</v>
      </c>
      <c r="J96" s="119" t="s">
        <v>111</v>
      </c>
      <c r="K96" s="345">
        <v>36990.800000000003</v>
      </c>
      <c r="L96" s="345">
        <f>K96*0.85</f>
        <v>31442.18</v>
      </c>
      <c r="M96" s="346" t="s">
        <v>111</v>
      </c>
      <c r="N96" s="110"/>
      <c r="O96" s="465"/>
    </row>
    <row r="97" spans="1:15" x14ac:dyDescent="0.35">
      <c r="A97" s="611" t="s">
        <v>255</v>
      </c>
      <c r="B97" s="138" t="s">
        <v>239</v>
      </c>
      <c r="C97" s="107">
        <v>4440</v>
      </c>
      <c r="D97" s="358">
        <f>4440-60</f>
        <v>4380</v>
      </c>
      <c r="E97" s="358">
        <v>10800</v>
      </c>
      <c r="F97" s="358" t="s">
        <v>111</v>
      </c>
      <c r="G97" s="358" t="s">
        <v>111</v>
      </c>
      <c r="H97" s="358">
        <v>4509.75</v>
      </c>
      <c r="I97" s="358">
        <f>I130-8120</f>
        <v>6040</v>
      </c>
      <c r="J97" s="108">
        <v>5586.2400000000007</v>
      </c>
      <c r="K97" s="358" t="s">
        <v>111</v>
      </c>
      <c r="L97" s="358" t="s">
        <v>111</v>
      </c>
      <c r="M97" s="359">
        <v>3995.6000000000004</v>
      </c>
      <c r="N97" s="110"/>
      <c r="O97" s="465"/>
    </row>
    <row r="98" spans="1:15" x14ac:dyDescent="0.35">
      <c r="A98" s="587"/>
      <c r="B98" s="20" t="s">
        <v>240</v>
      </c>
      <c r="C98" s="112">
        <v>5261.25</v>
      </c>
      <c r="D98" s="342">
        <f>5261.25-60</f>
        <v>5201.25</v>
      </c>
      <c r="E98" s="342" t="s">
        <v>111</v>
      </c>
      <c r="F98" s="342" t="s">
        <v>111</v>
      </c>
      <c r="G98" s="342" t="s">
        <v>111</v>
      </c>
      <c r="H98" s="342">
        <v>4966.5</v>
      </c>
      <c r="I98" s="342">
        <f>I131-8920</f>
        <v>7140</v>
      </c>
      <c r="J98" s="113">
        <v>6338.8</v>
      </c>
      <c r="K98" s="342">
        <v>6230.55</v>
      </c>
      <c r="L98" s="342">
        <f>K98*0.85</f>
        <v>5295.9674999999997</v>
      </c>
      <c r="M98" s="344">
        <v>4781</v>
      </c>
      <c r="N98" s="110"/>
      <c r="O98" s="465"/>
    </row>
    <row r="99" spans="1:15" x14ac:dyDescent="0.35">
      <c r="A99" s="587"/>
      <c r="B99" s="20" t="s">
        <v>256</v>
      </c>
      <c r="C99" s="112">
        <v>7218.3</v>
      </c>
      <c r="D99" s="342">
        <f>7218.3-60</f>
        <v>7158.3</v>
      </c>
      <c r="E99" s="342">
        <v>14400</v>
      </c>
      <c r="F99" s="342" t="s">
        <v>111</v>
      </c>
      <c r="G99" s="342" t="s">
        <v>111</v>
      </c>
      <c r="H99" s="342">
        <v>6901.2000000000007</v>
      </c>
      <c r="I99" s="342">
        <f>I132-9980</f>
        <v>9600</v>
      </c>
      <c r="J99" s="113">
        <v>9349.0400000000009</v>
      </c>
      <c r="K99" s="342">
        <v>8826.6</v>
      </c>
      <c r="L99" s="342">
        <f>K99*0.85</f>
        <v>7502.61</v>
      </c>
      <c r="M99" s="344">
        <v>5672.4</v>
      </c>
      <c r="N99" s="110"/>
      <c r="O99" s="465"/>
    </row>
    <row r="100" spans="1:15" x14ac:dyDescent="0.35">
      <c r="A100" s="587"/>
      <c r="B100" s="20" t="s">
        <v>257</v>
      </c>
      <c r="C100" s="112">
        <v>16219.2</v>
      </c>
      <c r="D100" s="342">
        <f>16219.2-60</f>
        <v>16159.2</v>
      </c>
      <c r="E100" s="342" t="s">
        <v>111</v>
      </c>
      <c r="F100" s="342" t="s">
        <v>111</v>
      </c>
      <c r="G100" s="342" t="s">
        <v>111</v>
      </c>
      <c r="H100" s="342">
        <v>21774.824999999997</v>
      </c>
      <c r="I100" s="342">
        <f>I133-15360</f>
        <v>30160</v>
      </c>
      <c r="J100" s="113">
        <v>27163.920000000002</v>
      </c>
      <c r="K100" s="342">
        <v>23502.9</v>
      </c>
      <c r="L100" s="342">
        <f>K100*0.85</f>
        <v>19977.465</v>
      </c>
      <c r="M100" s="344">
        <v>15781.199999999999</v>
      </c>
      <c r="N100" s="110"/>
      <c r="O100" s="465"/>
    </row>
    <row r="101" spans="1:15" x14ac:dyDescent="0.35">
      <c r="A101" s="587"/>
      <c r="B101" s="20" t="s">
        <v>258</v>
      </c>
      <c r="C101" s="112">
        <v>43367.85</v>
      </c>
      <c r="D101" s="472">
        <f>43367.85-60</f>
        <v>43307.85</v>
      </c>
      <c r="E101" s="342" t="s">
        <v>111</v>
      </c>
      <c r="F101" s="342">
        <v>40947</v>
      </c>
      <c r="G101" s="471">
        <f>40947/0.8*0.85</f>
        <v>43506.1875</v>
      </c>
      <c r="H101" s="342" t="s">
        <v>111</v>
      </c>
      <c r="I101" s="342" t="s">
        <v>111</v>
      </c>
      <c r="J101" s="113" t="s">
        <v>111</v>
      </c>
      <c r="K101" s="342" t="s">
        <v>111</v>
      </c>
      <c r="L101" s="342" t="s">
        <v>111</v>
      </c>
      <c r="M101" s="344" t="s">
        <v>111</v>
      </c>
      <c r="N101" s="110"/>
      <c r="O101" s="465"/>
    </row>
    <row r="102" spans="1:15" ht="15" thickBot="1" x14ac:dyDescent="0.4">
      <c r="A102" s="612"/>
      <c r="B102" s="139" t="s">
        <v>259</v>
      </c>
      <c r="C102" s="118" t="s">
        <v>111</v>
      </c>
      <c r="D102" s="345" t="s">
        <v>111</v>
      </c>
      <c r="E102" s="345" t="s">
        <v>111</v>
      </c>
      <c r="F102" s="345" t="s">
        <v>111</v>
      </c>
      <c r="G102" s="345" t="s">
        <v>111</v>
      </c>
      <c r="H102" s="345" t="s">
        <v>111</v>
      </c>
      <c r="I102" s="345">
        <f>I135-19060</f>
        <v>58080</v>
      </c>
      <c r="J102" s="119" t="s">
        <v>111</v>
      </c>
      <c r="K102" s="345">
        <v>51851.8</v>
      </c>
      <c r="L102" s="345">
        <f>K102*0.85</f>
        <v>44074.03</v>
      </c>
      <c r="M102" s="346" t="s">
        <v>111</v>
      </c>
      <c r="N102" s="110"/>
      <c r="O102" s="465"/>
    </row>
    <row r="103" spans="1:15" x14ac:dyDescent="0.35">
      <c r="A103" s="620" t="s">
        <v>260</v>
      </c>
      <c r="B103" s="137" t="s">
        <v>239</v>
      </c>
      <c r="C103" s="107">
        <v>6664.75</v>
      </c>
      <c r="D103" s="358">
        <f>6664.75-60</f>
        <v>6604.75</v>
      </c>
      <c r="E103" s="358">
        <v>14000</v>
      </c>
      <c r="F103" s="358" t="s">
        <v>111</v>
      </c>
      <c r="G103" s="358" t="s">
        <v>111</v>
      </c>
      <c r="H103" s="358">
        <v>6694.9500000000007</v>
      </c>
      <c r="I103" s="358">
        <f>I136-10740</f>
        <v>8880</v>
      </c>
      <c r="J103" s="108">
        <v>8728.9600000000009</v>
      </c>
      <c r="K103" s="358" t="s">
        <v>111</v>
      </c>
      <c r="L103" s="358" t="s">
        <v>111</v>
      </c>
      <c r="M103" s="359">
        <v>6230</v>
      </c>
      <c r="N103" s="110"/>
      <c r="O103" s="465"/>
    </row>
    <row r="104" spans="1:15" x14ac:dyDescent="0.35">
      <c r="A104" s="587"/>
      <c r="B104" s="20" t="s">
        <v>240</v>
      </c>
      <c r="C104" s="112">
        <v>8080.7</v>
      </c>
      <c r="D104" s="342">
        <f>8080.7-60</f>
        <v>8020.7</v>
      </c>
      <c r="E104" s="342" t="s">
        <v>111</v>
      </c>
      <c r="F104" s="342" t="s">
        <v>111</v>
      </c>
      <c r="G104" s="342" t="s">
        <v>111</v>
      </c>
      <c r="H104" s="342">
        <v>7371.2999999999993</v>
      </c>
      <c r="I104" s="342">
        <f>I137-11180</f>
        <v>10620</v>
      </c>
      <c r="J104" s="113">
        <v>9095.1200000000008</v>
      </c>
      <c r="K104" s="342">
        <v>9288.1</v>
      </c>
      <c r="L104" s="342">
        <f>K104*0.7</f>
        <v>6501.67</v>
      </c>
      <c r="M104" s="344">
        <v>7303.8000000000011</v>
      </c>
      <c r="N104" s="110"/>
      <c r="O104" s="465"/>
    </row>
    <row r="105" spans="1:15" x14ac:dyDescent="0.35">
      <c r="A105" s="587"/>
      <c r="B105" s="20" t="s">
        <v>261</v>
      </c>
      <c r="C105" s="112">
        <v>9202.1</v>
      </c>
      <c r="D105" s="342">
        <f>9202.1-60</f>
        <v>9142.1</v>
      </c>
      <c r="E105" s="342">
        <v>17600</v>
      </c>
      <c r="F105" s="342" t="s">
        <v>111</v>
      </c>
      <c r="G105" s="342" t="s">
        <v>111</v>
      </c>
      <c r="H105" s="342">
        <v>8958</v>
      </c>
      <c r="I105" s="342">
        <f>I138-11680</f>
        <v>12760</v>
      </c>
      <c r="J105" s="113">
        <v>10797.12</v>
      </c>
      <c r="K105" s="342">
        <v>10430.35</v>
      </c>
      <c r="L105" s="342">
        <f>K105*0.7</f>
        <v>7301.2449999999999</v>
      </c>
      <c r="M105" s="344">
        <v>7366.7999999999984</v>
      </c>
      <c r="N105" s="110"/>
      <c r="O105" s="465"/>
    </row>
    <row r="106" spans="1:15" x14ac:dyDescent="0.35">
      <c r="A106" s="587"/>
      <c r="B106" s="20" t="s">
        <v>262</v>
      </c>
      <c r="C106" s="112">
        <v>21790.45</v>
      </c>
      <c r="D106" s="342">
        <f>21790.45-60</f>
        <v>21730.45</v>
      </c>
      <c r="E106" s="342" t="s">
        <v>111</v>
      </c>
      <c r="F106" s="342" t="s">
        <v>111</v>
      </c>
      <c r="G106" s="342" t="s">
        <v>111</v>
      </c>
      <c r="H106" s="342">
        <v>27846.487500000003</v>
      </c>
      <c r="I106" s="342">
        <f>I139-17840</f>
        <v>36500</v>
      </c>
      <c r="J106" s="113">
        <v>39306.080000000002</v>
      </c>
      <c r="K106" s="342">
        <v>29456.5</v>
      </c>
      <c r="L106" s="342">
        <f>K106*0.7</f>
        <v>20619.55</v>
      </c>
      <c r="M106" s="344">
        <v>20713.199999999997</v>
      </c>
      <c r="N106" s="110"/>
      <c r="O106" s="465"/>
    </row>
    <row r="107" spans="1:15" x14ac:dyDescent="0.35">
      <c r="A107" s="587"/>
      <c r="B107" s="20" t="s">
        <v>263</v>
      </c>
      <c r="C107" s="112">
        <v>56572.1</v>
      </c>
      <c r="D107" s="472">
        <f>56572.1-60</f>
        <v>56512.1</v>
      </c>
      <c r="E107" s="342" t="s">
        <v>111</v>
      </c>
      <c r="F107" s="342">
        <v>56996</v>
      </c>
      <c r="G107" s="471">
        <f>56996/0.8*0.85</f>
        <v>60558.25</v>
      </c>
      <c r="H107" s="342" t="s">
        <v>111</v>
      </c>
      <c r="I107" s="342" t="s">
        <v>111</v>
      </c>
      <c r="J107" s="113" t="s">
        <v>111</v>
      </c>
      <c r="K107" s="342" t="s">
        <v>111</v>
      </c>
      <c r="L107" s="342" t="s">
        <v>111</v>
      </c>
      <c r="M107" s="344" t="s">
        <v>111</v>
      </c>
      <c r="N107" s="110"/>
      <c r="O107" s="465"/>
    </row>
    <row r="108" spans="1:15" ht="15" thickBot="1" x14ac:dyDescent="0.4">
      <c r="A108" s="612"/>
      <c r="B108" s="117" t="s">
        <v>264</v>
      </c>
      <c r="C108" s="118" t="s">
        <v>111</v>
      </c>
      <c r="D108" s="345" t="s">
        <v>111</v>
      </c>
      <c r="E108" s="345" t="s">
        <v>111</v>
      </c>
      <c r="F108" s="345" t="s">
        <v>111</v>
      </c>
      <c r="G108" s="345" t="s">
        <v>111</v>
      </c>
      <c r="H108" s="345" t="s">
        <v>111</v>
      </c>
      <c r="I108" s="345">
        <f>I141-22560</f>
        <v>75720</v>
      </c>
      <c r="J108" s="119" t="s">
        <v>111</v>
      </c>
      <c r="K108" s="345">
        <v>73381.7</v>
      </c>
      <c r="L108" s="345">
        <f>K108*0.7</f>
        <v>51367.189999999995</v>
      </c>
      <c r="M108" s="346" t="s">
        <v>111</v>
      </c>
      <c r="N108" s="110"/>
      <c r="O108" s="465"/>
    </row>
    <row r="109" spans="1:15" ht="49.5" customHeight="1" x14ac:dyDescent="0.35">
      <c r="A109" s="608" t="s">
        <v>221</v>
      </c>
      <c r="B109" s="618"/>
      <c r="C109" s="216" t="s">
        <v>310</v>
      </c>
      <c r="D109" s="216" t="s">
        <v>310</v>
      </c>
      <c r="E109" s="277" t="s">
        <v>267</v>
      </c>
      <c r="F109" s="277" t="s">
        <v>111</v>
      </c>
      <c r="G109" s="277" t="s">
        <v>111</v>
      </c>
      <c r="H109" s="277" t="s">
        <v>265</v>
      </c>
      <c r="I109" s="277" t="s">
        <v>268</v>
      </c>
      <c r="J109" s="277" t="s">
        <v>265</v>
      </c>
      <c r="K109" s="216" t="s">
        <v>270</v>
      </c>
      <c r="L109" s="216" t="s">
        <v>270</v>
      </c>
      <c r="M109" s="217" t="s">
        <v>266</v>
      </c>
      <c r="N109" s="110"/>
      <c r="O109" s="465"/>
    </row>
    <row r="110" spans="1:15" ht="29" x14ac:dyDescent="0.35">
      <c r="A110" s="588"/>
      <c r="B110" s="619"/>
      <c r="C110" s="274" t="s">
        <v>154</v>
      </c>
      <c r="D110" s="274" t="s">
        <v>154</v>
      </c>
      <c r="E110" s="274" t="s">
        <v>222</v>
      </c>
      <c r="F110" s="274" t="s">
        <v>111</v>
      </c>
      <c r="G110" s="274" t="s">
        <v>111</v>
      </c>
      <c r="H110" s="274" t="s">
        <v>223</v>
      </c>
      <c r="I110" s="275" t="s">
        <v>224</v>
      </c>
      <c r="J110" s="274" t="s">
        <v>225</v>
      </c>
      <c r="K110" s="353" t="s">
        <v>111</v>
      </c>
      <c r="L110" s="276" t="s">
        <v>379</v>
      </c>
      <c r="M110" s="278" t="s">
        <v>226</v>
      </c>
      <c r="N110" s="110"/>
      <c r="O110" s="465"/>
    </row>
    <row r="111" spans="1:15" ht="15" thickBot="1" x14ac:dyDescent="0.4">
      <c r="A111" s="218" t="s">
        <v>176</v>
      </c>
      <c r="B111" s="369" t="s">
        <v>140</v>
      </c>
      <c r="C111" s="370" t="s">
        <v>141</v>
      </c>
      <c r="D111" s="370" t="s">
        <v>141</v>
      </c>
      <c r="E111" s="279" t="s">
        <v>142</v>
      </c>
      <c r="F111" s="279" t="s">
        <v>111</v>
      </c>
      <c r="G111" s="279" t="s">
        <v>111</v>
      </c>
      <c r="H111" s="279" t="s">
        <v>141</v>
      </c>
      <c r="I111" s="370" t="s">
        <v>141</v>
      </c>
      <c r="J111" s="371" t="s">
        <v>142</v>
      </c>
      <c r="K111" s="372" t="s">
        <v>142</v>
      </c>
      <c r="L111" s="372" t="s">
        <v>142</v>
      </c>
      <c r="M111" s="373" t="s">
        <v>141</v>
      </c>
      <c r="N111" s="110"/>
      <c r="O111" s="465"/>
    </row>
    <row r="112" spans="1:15" ht="14.5" customHeight="1" x14ac:dyDescent="0.35">
      <c r="A112" s="616" t="s">
        <v>238</v>
      </c>
      <c r="B112" s="137" t="s">
        <v>239</v>
      </c>
      <c r="C112" s="107">
        <v>2837.95</v>
      </c>
      <c r="D112" s="358">
        <f>2837.95-60</f>
        <v>2777.95</v>
      </c>
      <c r="E112" s="358">
        <v>5720</v>
      </c>
      <c r="F112" s="358" t="s">
        <v>111</v>
      </c>
      <c r="G112" s="358" t="s">
        <v>111</v>
      </c>
      <c r="H112" s="358">
        <v>2975.25</v>
      </c>
      <c r="I112" s="358">
        <v>5680</v>
      </c>
      <c r="J112" s="108">
        <v>3786.7200000000003</v>
      </c>
      <c r="K112" s="358" t="s">
        <v>111</v>
      </c>
      <c r="L112" s="358" t="s">
        <v>111</v>
      </c>
      <c r="M112" s="359">
        <v>2749.6</v>
      </c>
      <c r="N112" s="110"/>
      <c r="O112" s="465"/>
    </row>
    <row r="113" spans="1:15" x14ac:dyDescent="0.35">
      <c r="A113" s="585"/>
      <c r="B113" s="20" t="s">
        <v>240</v>
      </c>
      <c r="C113" s="112">
        <v>3522.05</v>
      </c>
      <c r="D113" s="342">
        <f>3522.05-60</f>
        <v>3462.05</v>
      </c>
      <c r="E113" s="342" t="s">
        <v>111</v>
      </c>
      <c r="F113" s="342" t="s">
        <v>111</v>
      </c>
      <c r="G113" s="342" t="s">
        <v>111</v>
      </c>
      <c r="H113" s="342">
        <v>3234.75</v>
      </c>
      <c r="I113" s="342">
        <v>5840</v>
      </c>
      <c r="J113" s="113">
        <v>3946.8</v>
      </c>
      <c r="K113" s="342" t="s">
        <v>111</v>
      </c>
      <c r="L113" s="342" t="s">
        <v>111</v>
      </c>
      <c r="M113" s="344">
        <v>2779</v>
      </c>
      <c r="N113" s="110"/>
      <c r="O113" s="465"/>
    </row>
    <row r="114" spans="1:15" x14ac:dyDescent="0.35">
      <c r="A114" s="585"/>
      <c r="B114" s="20" t="s">
        <v>241</v>
      </c>
      <c r="C114" s="112">
        <v>6491.75</v>
      </c>
      <c r="D114" s="342">
        <f>6491.75-60</f>
        <v>6431.75</v>
      </c>
      <c r="E114" s="342">
        <v>11880</v>
      </c>
      <c r="F114" s="342" t="s">
        <v>111</v>
      </c>
      <c r="G114" s="342" t="s">
        <v>111</v>
      </c>
      <c r="H114" s="342">
        <v>6393.9000000000005</v>
      </c>
      <c r="I114" s="342">
        <v>11340</v>
      </c>
      <c r="J114" s="113">
        <v>8390.4</v>
      </c>
      <c r="K114" s="342" t="s">
        <v>111</v>
      </c>
      <c r="L114" s="342" t="s">
        <v>111</v>
      </c>
      <c r="M114" s="344">
        <v>4390.7999999999993</v>
      </c>
      <c r="N114" s="110"/>
      <c r="O114" s="465"/>
    </row>
    <row r="115" spans="1:15" x14ac:dyDescent="0.35">
      <c r="A115" s="585"/>
      <c r="B115" s="20" t="s">
        <v>242</v>
      </c>
      <c r="C115" s="112">
        <v>11033</v>
      </c>
      <c r="D115" s="342">
        <f>C115-60</f>
        <v>10973</v>
      </c>
      <c r="E115" s="342" t="s">
        <v>111</v>
      </c>
      <c r="F115" s="342" t="s">
        <v>111</v>
      </c>
      <c r="G115" s="342" t="s">
        <v>111</v>
      </c>
      <c r="H115" s="342">
        <v>14558.400000000001</v>
      </c>
      <c r="I115" s="342">
        <v>23360</v>
      </c>
      <c r="J115" s="113" t="s">
        <v>111</v>
      </c>
      <c r="K115" s="342" t="s">
        <v>111</v>
      </c>
      <c r="L115" s="342" t="s">
        <v>111</v>
      </c>
      <c r="M115" s="344">
        <v>9362.4</v>
      </c>
      <c r="N115" s="110"/>
      <c r="O115" s="465"/>
    </row>
    <row r="116" spans="1:15" x14ac:dyDescent="0.35">
      <c r="A116" s="585"/>
      <c r="B116" s="20" t="s">
        <v>243</v>
      </c>
      <c r="C116" s="112">
        <v>23393.85</v>
      </c>
      <c r="D116" s="342">
        <f>C116-60</f>
        <v>23333.85</v>
      </c>
      <c r="E116" s="342" t="s">
        <v>111</v>
      </c>
      <c r="F116" s="342" t="s">
        <v>111</v>
      </c>
      <c r="G116" s="342" t="s">
        <v>111</v>
      </c>
      <c r="H116" s="342" t="s">
        <v>111</v>
      </c>
      <c r="I116" s="342" t="s">
        <v>111</v>
      </c>
      <c r="J116" s="113" t="s">
        <v>111</v>
      </c>
      <c r="K116" s="342" t="s">
        <v>111</v>
      </c>
      <c r="L116" s="342" t="s">
        <v>111</v>
      </c>
      <c r="M116" s="344" t="s">
        <v>111</v>
      </c>
      <c r="N116" s="110"/>
      <c r="O116" s="465"/>
    </row>
    <row r="117" spans="1:15" ht="15" thickBot="1" x14ac:dyDescent="0.4">
      <c r="A117" s="586"/>
      <c r="B117" s="117" t="s">
        <v>244</v>
      </c>
      <c r="C117" s="118" t="s">
        <v>111</v>
      </c>
      <c r="D117" s="345" t="s">
        <v>111</v>
      </c>
      <c r="E117" s="345" t="s">
        <v>111</v>
      </c>
      <c r="F117" s="345" t="s">
        <v>111</v>
      </c>
      <c r="G117" s="345" t="s">
        <v>111</v>
      </c>
      <c r="H117" s="345" t="s">
        <v>111</v>
      </c>
      <c r="I117" s="345">
        <v>36240</v>
      </c>
      <c r="J117" s="119" t="s">
        <v>111</v>
      </c>
      <c r="K117" s="345" t="s">
        <v>111</v>
      </c>
      <c r="L117" s="345" t="s">
        <v>111</v>
      </c>
      <c r="M117" s="346" t="s">
        <v>111</v>
      </c>
      <c r="N117" s="110"/>
      <c r="O117" s="465"/>
    </row>
    <row r="118" spans="1:15" x14ac:dyDescent="0.35">
      <c r="A118" s="617" t="s">
        <v>245</v>
      </c>
      <c r="B118" s="138" t="s">
        <v>239</v>
      </c>
      <c r="C118" s="107">
        <v>4300.45</v>
      </c>
      <c r="D118" s="358">
        <f>4300.45-60</f>
        <v>4240.45</v>
      </c>
      <c r="E118" s="358">
        <v>8160</v>
      </c>
      <c r="F118" s="358" t="s">
        <v>111</v>
      </c>
      <c r="G118" s="358" t="s">
        <v>111</v>
      </c>
      <c r="H118" s="358">
        <v>4072.3500000000004</v>
      </c>
      <c r="I118" s="358">
        <v>6740</v>
      </c>
      <c r="J118" s="108">
        <v>5376.4800000000014</v>
      </c>
      <c r="K118" s="358" t="s">
        <v>111</v>
      </c>
      <c r="L118" s="358" t="s">
        <v>111</v>
      </c>
      <c r="M118" s="359">
        <v>3487.4000000000005</v>
      </c>
      <c r="N118" s="110"/>
      <c r="O118" s="465"/>
    </row>
    <row r="119" spans="1:15" x14ac:dyDescent="0.35">
      <c r="A119" s="585"/>
      <c r="B119" s="20" t="s">
        <v>240</v>
      </c>
      <c r="C119" s="112">
        <v>5421.55</v>
      </c>
      <c r="D119" s="342">
        <f>5421.55-60</f>
        <v>5361.55</v>
      </c>
      <c r="E119" s="342" t="s">
        <v>111</v>
      </c>
      <c r="F119" s="342" t="s">
        <v>111</v>
      </c>
      <c r="G119" s="342" t="s">
        <v>111</v>
      </c>
      <c r="H119" s="342">
        <v>4491.8999999999996</v>
      </c>
      <c r="I119" s="342">
        <v>7480</v>
      </c>
      <c r="J119" s="113">
        <v>5547.6</v>
      </c>
      <c r="K119" s="342" t="s">
        <v>111</v>
      </c>
      <c r="L119" s="342" t="s">
        <v>111</v>
      </c>
      <c r="M119" s="344">
        <v>3894.7999999999997</v>
      </c>
      <c r="N119" s="110"/>
      <c r="O119" s="465"/>
    </row>
    <row r="120" spans="1:15" x14ac:dyDescent="0.35">
      <c r="A120" s="585"/>
      <c r="B120" s="20" t="s">
        <v>246</v>
      </c>
      <c r="C120" s="112">
        <v>8588.7000000000007</v>
      </c>
      <c r="D120" s="342">
        <f>8588.7-60</f>
        <v>8528.7000000000007</v>
      </c>
      <c r="E120" s="342">
        <v>15120</v>
      </c>
      <c r="F120" s="342" t="s">
        <v>111</v>
      </c>
      <c r="G120" s="342" t="s">
        <v>111</v>
      </c>
      <c r="H120" s="342">
        <v>7992.9000000000005</v>
      </c>
      <c r="I120" s="342">
        <v>12380</v>
      </c>
      <c r="J120" s="113">
        <v>9409.76</v>
      </c>
      <c r="K120" s="342" t="s">
        <v>111</v>
      </c>
      <c r="L120" s="342" t="s">
        <v>111</v>
      </c>
      <c r="M120" s="344">
        <v>5671.2</v>
      </c>
      <c r="N120" s="110"/>
      <c r="O120" s="465"/>
    </row>
    <row r="121" spans="1:15" x14ac:dyDescent="0.35">
      <c r="A121" s="585"/>
      <c r="B121" s="20" t="s">
        <v>247</v>
      </c>
      <c r="C121" s="112">
        <v>14440.1</v>
      </c>
      <c r="D121" s="342">
        <f>C121-60</f>
        <v>14380.1</v>
      </c>
      <c r="E121" s="342" t="s">
        <v>111</v>
      </c>
      <c r="F121" s="342" t="s">
        <v>111</v>
      </c>
      <c r="G121" s="342" t="s">
        <v>111</v>
      </c>
      <c r="H121" s="342">
        <v>18933.900000000001</v>
      </c>
      <c r="I121" s="342">
        <v>28700</v>
      </c>
      <c r="J121" s="113" t="s">
        <v>111</v>
      </c>
      <c r="K121" s="342" t="s">
        <v>111</v>
      </c>
      <c r="L121" s="342" t="s">
        <v>111</v>
      </c>
      <c r="M121" s="344">
        <v>12094.8</v>
      </c>
      <c r="N121" s="110"/>
      <c r="O121" s="465"/>
    </row>
    <row r="122" spans="1:15" x14ac:dyDescent="0.35">
      <c r="A122" s="585"/>
      <c r="B122" s="20" t="s">
        <v>248</v>
      </c>
      <c r="C122" s="112">
        <v>31112.15</v>
      </c>
      <c r="D122" s="342">
        <f>C122-60</f>
        <v>31052.15</v>
      </c>
      <c r="E122" s="342" t="s">
        <v>111</v>
      </c>
      <c r="F122" s="342" t="s">
        <v>111</v>
      </c>
      <c r="G122" s="342" t="s">
        <v>111</v>
      </c>
      <c r="H122" s="342" t="s">
        <v>111</v>
      </c>
      <c r="I122" s="342" t="s">
        <v>111</v>
      </c>
      <c r="J122" s="113" t="s">
        <v>111</v>
      </c>
      <c r="K122" s="342" t="s">
        <v>111</v>
      </c>
      <c r="L122" s="342" t="s">
        <v>111</v>
      </c>
      <c r="M122" s="344" t="s">
        <v>111</v>
      </c>
      <c r="N122" s="110"/>
      <c r="O122" s="465"/>
    </row>
    <row r="123" spans="1:15" ht="15" thickBot="1" x14ac:dyDescent="0.4">
      <c r="A123" s="631"/>
      <c r="B123" s="139" t="s">
        <v>249</v>
      </c>
      <c r="C123" s="118" t="s">
        <v>111</v>
      </c>
      <c r="D123" s="345" t="s">
        <v>111</v>
      </c>
      <c r="E123" s="345" t="s">
        <v>111</v>
      </c>
      <c r="F123" s="345" t="s">
        <v>111</v>
      </c>
      <c r="G123" s="345" t="s">
        <v>111</v>
      </c>
      <c r="H123" s="345" t="s">
        <v>111</v>
      </c>
      <c r="I123" s="345">
        <v>46760</v>
      </c>
      <c r="J123" s="119" t="s">
        <v>111</v>
      </c>
      <c r="K123" s="345" t="s">
        <v>111</v>
      </c>
      <c r="L123" s="345" t="s">
        <v>111</v>
      </c>
      <c r="M123" s="346" t="s">
        <v>111</v>
      </c>
      <c r="N123" s="110"/>
      <c r="O123" s="465"/>
    </row>
    <row r="124" spans="1:15" x14ac:dyDescent="0.35">
      <c r="A124" s="616" t="s">
        <v>250</v>
      </c>
      <c r="B124" s="137" t="s">
        <v>239</v>
      </c>
      <c r="C124" s="107">
        <v>6929.1</v>
      </c>
      <c r="D124" s="358">
        <f>6929.1-60</f>
        <v>6869.1</v>
      </c>
      <c r="E124" s="358">
        <v>13600</v>
      </c>
      <c r="F124" s="358" t="s">
        <v>111</v>
      </c>
      <c r="G124" s="358" t="s">
        <v>111</v>
      </c>
      <c r="H124" s="358">
        <v>6109.2000000000007</v>
      </c>
      <c r="I124" s="358">
        <v>9960</v>
      </c>
      <c r="J124" s="108">
        <v>7676.4800000000005</v>
      </c>
      <c r="K124" s="358" t="s">
        <v>111</v>
      </c>
      <c r="L124" s="358" t="s">
        <v>111</v>
      </c>
      <c r="M124" s="359">
        <v>5392.8000000000011</v>
      </c>
      <c r="N124" s="110"/>
      <c r="O124" s="465"/>
    </row>
    <row r="125" spans="1:15" x14ac:dyDescent="0.35">
      <c r="A125" s="585"/>
      <c r="B125" s="20" t="s">
        <v>240</v>
      </c>
      <c r="C125" s="112">
        <v>8501</v>
      </c>
      <c r="D125" s="342">
        <f>8501-60</f>
        <v>8441</v>
      </c>
      <c r="E125" s="342" t="s">
        <v>111</v>
      </c>
      <c r="F125" s="342" t="s">
        <v>111</v>
      </c>
      <c r="G125" s="342" t="s">
        <v>111</v>
      </c>
      <c r="H125" s="342">
        <v>6976.3499999999995</v>
      </c>
      <c r="I125" s="342">
        <v>11320</v>
      </c>
      <c r="J125" s="113">
        <v>8005.84</v>
      </c>
      <c r="K125" s="342" t="s">
        <v>111</v>
      </c>
      <c r="L125" s="342" t="s">
        <v>111</v>
      </c>
      <c r="M125" s="344">
        <v>5930.4000000000005</v>
      </c>
      <c r="N125" s="110"/>
      <c r="O125" s="465"/>
    </row>
    <row r="126" spans="1:15" x14ac:dyDescent="0.35">
      <c r="A126" s="585"/>
      <c r="B126" s="20" t="s">
        <v>251</v>
      </c>
      <c r="C126" s="112">
        <v>11609.85</v>
      </c>
      <c r="D126" s="342">
        <f>11609.85-60</f>
        <v>11549.85</v>
      </c>
      <c r="E126" s="342">
        <v>20280</v>
      </c>
      <c r="F126" s="342" t="s">
        <v>111</v>
      </c>
      <c r="G126" s="342" t="s">
        <v>111</v>
      </c>
      <c r="H126" s="342">
        <v>10054.5</v>
      </c>
      <c r="I126" s="342">
        <v>16060</v>
      </c>
      <c r="J126" s="113">
        <v>12094.32</v>
      </c>
      <c r="K126" s="342" t="s">
        <v>111</v>
      </c>
      <c r="L126" s="342" t="s">
        <v>111</v>
      </c>
      <c r="M126" s="344">
        <v>7418.4</v>
      </c>
      <c r="N126" s="110"/>
      <c r="O126" s="465"/>
    </row>
    <row r="127" spans="1:15" x14ac:dyDescent="0.35">
      <c r="A127" s="585"/>
      <c r="B127" s="20" t="s">
        <v>252</v>
      </c>
      <c r="C127" s="112">
        <v>19281.25</v>
      </c>
      <c r="D127" s="342">
        <f>C127-60</f>
        <v>19221.25</v>
      </c>
      <c r="E127" s="342" t="s">
        <v>111</v>
      </c>
      <c r="F127" s="342" t="s">
        <v>111</v>
      </c>
      <c r="G127" s="342" t="s">
        <v>111</v>
      </c>
      <c r="H127" s="342">
        <v>23664.75</v>
      </c>
      <c r="I127" s="342">
        <v>33940</v>
      </c>
      <c r="J127" s="113" t="s">
        <v>111</v>
      </c>
      <c r="K127" s="342" t="s">
        <v>111</v>
      </c>
      <c r="L127" s="342" t="s">
        <v>111</v>
      </c>
      <c r="M127" s="344">
        <v>15562.8</v>
      </c>
      <c r="N127" s="110"/>
      <c r="O127" s="465"/>
    </row>
    <row r="128" spans="1:15" x14ac:dyDescent="0.35">
      <c r="A128" s="585"/>
      <c r="B128" s="20" t="s">
        <v>253</v>
      </c>
      <c r="C128" s="112">
        <v>40644.5</v>
      </c>
      <c r="D128" s="342">
        <f>C128-60</f>
        <v>40584.5</v>
      </c>
      <c r="E128" s="342" t="s">
        <v>111</v>
      </c>
      <c r="F128" s="342" t="s">
        <v>111</v>
      </c>
      <c r="G128" s="342" t="s">
        <v>111</v>
      </c>
      <c r="H128" s="342" t="s">
        <v>111</v>
      </c>
      <c r="I128" s="342" t="s">
        <v>111</v>
      </c>
      <c r="J128" s="113" t="s">
        <v>111</v>
      </c>
      <c r="K128" s="342" t="s">
        <v>111</v>
      </c>
      <c r="L128" s="342" t="s">
        <v>111</v>
      </c>
      <c r="M128" s="344" t="s">
        <v>111</v>
      </c>
      <c r="N128" s="110"/>
      <c r="O128" s="465"/>
    </row>
    <row r="129" spans="1:15" ht="15" thickBot="1" x14ac:dyDescent="0.4">
      <c r="A129" s="586"/>
      <c r="B129" s="117" t="s">
        <v>254</v>
      </c>
      <c r="C129" s="118" t="s">
        <v>111</v>
      </c>
      <c r="D129" s="345" t="s">
        <v>111</v>
      </c>
      <c r="E129" s="345" t="s">
        <v>111</v>
      </c>
      <c r="F129" s="345" t="s">
        <v>111</v>
      </c>
      <c r="G129" s="345" t="s">
        <v>111</v>
      </c>
      <c r="H129" s="345" t="s">
        <v>111</v>
      </c>
      <c r="I129" s="345">
        <v>57480</v>
      </c>
      <c r="J129" s="119" t="s">
        <v>111</v>
      </c>
      <c r="K129" s="345" t="s">
        <v>111</v>
      </c>
      <c r="L129" s="345" t="s">
        <v>111</v>
      </c>
      <c r="M129" s="346" t="s">
        <v>111</v>
      </c>
      <c r="N129" s="110"/>
      <c r="O129" s="465"/>
    </row>
    <row r="130" spans="1:15" x14ac:dyDescent="0.35">
      <c r="A130" s="617" t="s">
        <v>255</v>
      </c>
      <c r="B130" s="138" t="s">
        <v>239</v>
      </c>
      <c r="C130" s="107">
        <v>10340.049999999999</v>
      </c>
      <c r="D130" s="358">
        <f>10340.05-60</f>
        <v>10280.049999999999</v>
      </c>
      <c r="E130" s="358">
        <v>19980</v>
      </c>
      <c r="F130" s="358" t="s">
        <v>111</v>
      </c>
      <c r="G130" s="358" t="s">
        <v>111</v>
      </c>
      <c r="H130" s="358">
        <v>9519.75</v>
      </c>
      <c r="I130" s="358">
        <v>14160</v>
      </c>
      <c r="J130" s="108">
        <v>10787.92</v>
      </c>
      <c r="K130" s="358" t="s">
        <v>111</v>
      </c>
      <c r="L130" s="358" t="s">
        <v>111</v>
      </c>
      <c r="M130" s="359">
        <v>7733.5999999999995</v>
      </c>
      <c r="N130" s="110"/>
      <c r="O130" s="465"/>
    </row>
    <row r="131" spans="1:15" x14ac:dyDescent="0.35">
      <c r="A131" s="585"/>
      <c r="B131" s="20" t="s">
        <v>240</v>
      </c>
      <c r="C131" s="112">
        <v>12759.7</v>
      </c>
      <c r="D131" s="342">
        <f>12759.7-60</f>
        <v>12699.7</v>
      </c>
      <c r="E131" s="342" t="s">
        <v>111</v>
      </c>
      <c r="F131" s="342" t="s">
        <v>111</v>
      </c>
      <c r="G131" s="342" t="s">
        <v>111</v>
      </c>
      <c r="H131" s="342">
        <v>10207.5</v>
      </c>
      <c r="I131" s="342">
        <v>16060</v>
      </c>
      <c r="J131" s="113">
        <v>11569.92</v>
      </c>
      <c r="K131" s="342" t="s">
        <v>111</v>
      </c>
      <c r="L131" s="342" t="s">
        <v>111</v>
      </c>
      <c r="M131" s="344">
        <v>8673</v>
      </c>
      <c r="N131" s="110"/>
      <c r="O131" s="465"/>
    </row>
    <row r="132" spans="1:15" x14ac:dyDescent="0.35">
      <c r="A132" s="585"/>
      <c r="B132" s="20" t="s">
        <v>256</v>
      </c>
      <c r="C132" s="112">
        <v>15160.45</v>
      </c>
      <c r="D132" s="342">
        <f>15160.45-60</f>
        <v>15100.45</v>
      </c>
      <c r="E132" s="342">
        <v>24860</v>
      </c>
      <c r="F132" s="342" t="s">
        <v>111</v>
      </c>
      <c r="G132" s="342" t="s">
        <v>111</v>
      </c>
      <c r="H132" s="342">
        <v>12826.199999999999</v>
      </c>
      <c r="I132" s="342">
        <v>19580</v>
      </c>
      <c r="J132" s="113">
        <v>15680.480000000001</v>
      </c>
      <c r="K132" s="342" t="s">
        <v>111</v>
      </c>
      <c r="L132" s="342" t="s">
        <v>111</v>
      </c>
      <c r="M132" s="344">
        <v>9644.4</v>
      </c>
      <c r="N132" s="110"/>
      <c r="O132" s="465"/>
    </row>
    <row r="133" spans="1:15" x14ac:dyDescent="0.35">
      <c r="A133" s="585"/>
      <c r="B133" s="20" t="s">
        <v>257</v>
      </c>
      <c r="C133" s="112">
        <v>25541.4</v>
      </c>
      <c r="D133" s="342">
        <f>25541.4-60</f>
        <v>25481.4</v>
      </c>
      <c r="E133" s="342" t="s">
        <v>111</v>
      </c>
      <c r="F133" s="342" t="s">
        <v>111</v>
      </c>
      <c r="G133" s="342" t="s">
        <v>111</v>
      </c>
      <c r="H133" s="342">
        <v>30039.824999999997</v>
      </c>
      <c r="I133" s="342">
        <v>45520</v>
      </c>
      <c r="J133" s="113">
        <v>36978.480000000003</v>
      </c>
      <c r="K133" s="342" t="s">
        <v>111</v>
      </c>
      <c r="L133" s="342" t="s">
        <v>111</v>
      </c>
      <c r="M133" s="344">
        <v>21745.199999999997</v>
      </c>
      <c r="N133" s="110"/>
      <c r="O133" s="465"/>
    </row>
    <row r="134" spans="1:15" x14ac:dyDescent="0.35">
      <c r="A134" s="585"/>
      <c r="B134" s="20" t="s">
        <v>258</v>
      </c>
      <c r="C134" s="112">
        <v>53417.1</v>
      </c>
      <c r="D134" s="342">
        <f>53417.1-60</f>
        <v>53357.1</v>
      </c>
      <c r="E134" s="342" t="s">
        <v>111</v>
      </c>
      <c r="F134" s="342" t="s">
        <v>111</v>
      </c>
      <c r="G134" s="342" t="s">
        <v>111</v>
      </c>
      <c r="H134" s="342" t="s">
        <v>111</v>
      </c>
      <c r="I134" s="342" t="s">
        <v>111</v>
      </c>
      <c r="J134" s="113" t="s">
        <v>111</v>
      </c>
      <c r="K134" s="342" t="s">
        <v>111</v>
      </c>
      <c r="L134" s="342" t="s">
        <v>111</v>
      </c>
      <c r="M134" s="344" t="s">
        <v>111</v>
      </c>
      <c r="N134" s="110"/>
      <c r="O134" s="465"/>
    </row>
    <row r="135" spans="1:15" ht="15" thickBot="1" x14ac:dyDescent="0.4">
      <c r="A135" s="631"/>
      <c r="B135" s="139" t="s">
        <v>259</v>
      </c>
      <c r="C135" s="118" t="s">
        <v>111</v>
      </c>
      <c r="D135" s="345" t="s">
        <v>111</v>
      </c>
      <c r="E135" s="345" t="s">
        <v>111</v>
      </c>
      <c r="F135" s="345" t="s">
        <v>111</v>
      </c>
      <c r="G135" s="345" t="s">
        <v>111</v>
      </c>
      <c r="H135" s="345" t="s">
        <v>111</v>
      </c>
      <c r="I135" s="345">
        <v>77140</v>
      </c>
      <c r="J135" s="119" t="s">
        <v>111</v>
      </c>
      <c r="K135" s="345" t="s">
        <v>111</v>
      </c>
      <c r="L135" s="345" t="s">
        <v>111</v>
      </c>
      <c r="M135" s="346" t="s">
        <v>111</v>
      </c>
      <c r="N135" s="110"/>
      <c r="O135" s="465"/>
    </row>
    <row r="136" spans="1:15" x14ac:dyDescent="0.35">
      <c r="A136" s="616" t="s">
        <v>260</v>
      </c>
      <c r="B136" s="137" t="s">
        <v>239</v>
      </c>
      <c r="C136" s="107">
        <v>14701.75</v>
      </c>
      <c r="D136" s="358">
        <f>14701.75-60</f>
        <v>14641.75</v>
      </c>
      <c r="E136" s="358">
        <v>25840</v>
      </c>
      <c r="F136" s="358" t="s">
        <v>111</v>
      </c>
      <c r="G136" s="358" t="s">
        <v>111</v>
      </c>
      <c r="H136" s="358">
        <v>12619.949999999999</v>
      </c>
      <c r="I136" s="358">
        <v>19620</v>
      </c>
      <c r="J136" s="108">
        <v>16015.36</v>
      </c>
      <c r="K136" s="358" t="s">
        <v>111</v>
      </c>
      <c r="L136" s="358" t="s">
        <v>111</v>
      </c>
      <c r="M136" s="359">
        <v>11060</v>
      </c>
      <c r="N136" s="110"/>
      <c r="O136" s="465"/>
    </row>
    <row r="137" spans="1:15" x14ac:dyDescent="0.35">
      <c r="A137" s="585"/>
      <c r="B137" s="20" t="s">
        <v>240</v>
      </c>
      <c r="C137" s="112">
        <v>17867.3</v>
      </c>
      <c r="D137" s="342">
        <f>17867.3-60</f>
        <v>17807.3</v>
      </c>
      <c r="E137" s="342" t="s">
        <v>111</v>
      </c>
      <c r="F137" s="342" t="s">
        <v>111</v>
      </c>
      <c r="G137" s="342" t="s">
        <v>111</v>
      </c>
      <c r="H137" s="342">
        <v>13894.800000000001</v>
      </c>
      <c r="I137" s="342">
        <v>21800</v>
      </c>
      <c r="J137" s="113">
        <v>16631.760000000002</v>
      </c>
      <c r="K137" s="342" t="s">
        <v>111</v>
      </c>
      <c r="L137" s="342" t="s">
        <v>111</v>
      </c>
      <c r="M137" s="344">
        <v>12483.800000000001</v>
      </c>
      <c r="N137" s="110"/>
      <c r="O137" s="465"/>
    </row>
    <row r="138" spans="1:15" x14ac:dyDescent="0.35">
      <c r="A138" s="585"/>
      <c r="B138" s="20" t="s">
        <v>261</v>
      </c>
      <c r="C138" s="112">
        <v>19107.7</v>
      </c>
      <c r="D138" s="342">
        <f>19107.7-60</f>
        <v>19047.7</v>
      </c>
      <c r="E138" s="342">
        <v>30280</v>
      </c>
      <c r="F138" s="342" t="s">
        <v>111</v>
      </c>
      <c r="G138" s="342" t="s">
        <v>111</v>
      </c>
      <c r="H138" s="342">
        <v>15895.5</v>
      </c>
      <c r="I138" s="342">
        <v>24440</v>
      </c>
      <c r="J138" s="113">
        <v>19200.400000000001</v>
      </c>
      <c r="K138" s="342" t="s">
        <v>111</v>
      </c>
      <c r="L138" s="342" t="s">
        <v>111</v>
      </c>
      <c r="M138" s="344">
        <v>11986.8</v>
      </c>
      <c r="N138" s="110"/>
      <c r="O138" s="465"/>
    </row>
    <row r="139" spans="1:15" x14ac:dyDescent="0.35">
      <c r="A139" s="585"/>
      <c r="B139" s="20" t="s">
        <v>262</v>
      </c>
      <c r="C139" s="112">
        <v>33359.599999999999</v>
      </c>
      <c r="D139" s="342">
        <f>33359.6-60</f>
        <v>33299.599999999999</v>
      </c>
      <c r="E139" s="342" t="s">
        <v>111</v>
      </c>
      <c r="F139" s="342" t="s">
        <v>111</v>
      </c>
      <c r="G139" s="342" t="s">
        <v>111</v>
      </c>
      <c r="H139" s="342">
        <v>37555.987500000003</v>
      </c>
      <c r="I139" s="342">
        <v>54340</v>
      </c>
      <c r="J139" s="113">
        <v>52127.200000000004</v>
      </c>
      <c r="K139" s="342" t="s">
        <v>111</v>
      </c>
      <c r="L139" s="342" t="s">
        <v>111</v>
      </c>
      <c r="M139" s="344">
        <v>28093.199999999997</v>
      </c>
      <c r="N139" s="110"/>
      <c r="O139" s="465"/>
    </row>
    <row r="140" spans="1:15" x14ac:dyDescent="0.35">
      <c r="A140" s="585"/>
      <c r="B140" s="20" t="s">
        <v>263</v>
      </c>
      <c r="C140" s="112">
        <v>68782.25</v>
      </c>
      <c r="D140" s="342">
        <f>68782.25-60</f>
        <v>68722.25</v>
      </c>
      <c r="E140" s="342" t="s">
        <v>111</v>
      </c>
      <c r="F140" s="342" t="s">
        <v>111</v>
      </c>
      <c r="G140" s="342" t="s">
        <v>111</v>
      </c>
      <c r="H140" s="342" t="s">
        <v>111</v>
      </c>
      <c r="I140" s="342" t="s">
        <v>111</v>
      </c>
      <c r="J140" s="113" t="s">
        <v>111</v>
      </c>
      <c r="K140" s="342" t="s">
        <v>111</v>
      </c>
      <c r="L140" s="342" t="s">
        <v>111</v>
      </c>
      <c r="M140" s="344" t="s">
        <v>111</v>
      </c>
      <c r="N140" s="110"/>
      <c r="O140" s="465"/>
    </row>
    <row r="141" spans="1:15" ht="15" thickBot="1" x14ac:dyDescent="0.4">
      <c r="A141" s="586"/>
      <c r="B141" s="117" t="s">
        <v>264</v>
      </c>
      <c r="C141" s="118" t="s">
        <v>111</v>
      </c>
      <c r="D141" s="345" t="s">
        <v>111</v>
      </c>
      <c r="E141" s="345" t="s">
        <v>111</v>
      </c>
      <c r="F141" s="345" t="s">
        <v>111</v>
      </c>
      <c r="G141" s="345" t="s">
        <v>111</v>
      </c>
      <c r="H141" s="345" t="s">
        <v>111</v>
      </c>
      <c r="I141" s="345">
        <v>98280</v>
      </c>
      <c r="J141" s="119" t="s">
        <v>111</v>
      </c>
      <c r="K141" s="345" t="s">
        <v>111</v>
      </c>
      <c r="L141" s="345" t="s">
        <v>111</v>
      </c>
      <c r="M141" s="346" t="s">
        <v>111</v>
      </c>
      <c r="N141" s="110"/>
      <c r="O141" s="465"/>
    </row>
  </sheetData>
  <sheetProtection algorithmName="SHA-512" hashValue="XD9IQiWPNlwEPKlVGA6VD4iD8N1CjF/aUCcsS2QPy5i3B78ILkrksfwOTJyKj1Z16pmyTI4FsbHOO0UhswOehA==" saltValue="dBomelk9LHKen/pj6rvOFg==" spinCount="100000" sheet="1" objects="1" scenarios="1"/>
  <mergeCells count="35">
    <mergeCell ref="A97:A102"/>
    <mergeCell ref="A59:A64"/>
    <mergeCell ref="A65:A70"/>
    <mergeCell ref="A73:B73"/>
    <mergeCell ref="A74:B74"/>
    <mergeCell ref="A76:B76"/>
    <mergeCell ref="A77:B77"/>
    <mergeCell ref="A79:A84"/>
    <mergeCell ref="A85:A90"/>
    <mergeCell ref="A91:A96"/>
    <mergeCell ref="A136:A141"/>
    <mergeCell ref="A103:A108"/>
    <mergeCell ref="A109:B110"/>
    <mergeCell ref="A112:A117"/>
    <mergeCell ref="A118:A123"/>
    <mergeCell ref="A124:A129"/>
    <mergeCell ref="A130:A135"/>
    <mergeCell ref="E74:H74"/>
    <mergeCell ref="A75:B75"/>
    <mergeCell ref="A38:B39"/>
    <mergeCell ref="A41:A46"/>
    <mergeCell ref="A47:A52"/>
    <mergeCell ref="A53:A58"/>
    <mergeCell ref="O6:O38"/>
    <mergeCell ref="A32:A37"/>
    <mergeCell ref="A2:B2"/>
    <mergeCell ref="E2:H2"/>
    <mergeCell ref="A3:B3"/>
    <mergeCell ref="A4:B4"/>
    <mergeCell ref="A5:B5"/>
    <mergeCell ref="A6:B6"/>
    <mergeCell ref="A8:A13"/>
    <mergeCell ref="A14:A19"/>
    <mergeCell ref="A20:A25"/>
    <mergeCell ref="A26:A31"/>
  </mergeCells>
  <conditionalFormatting sqref="D9 H9:J9 L9:M9">
    <cfRule type="top10" dxfId="273" priority="286" bottom="1" rank="2"/>
    <cfRule type="top10" dxfId="272" priority="285" bottom="1" rank="1"/>
  </conditionalFormatting>
  <conditionalFormatting sqref="D11 H11:I11 L11:M11">
    <cfRule type="top10" dxfId="271" priority="276" bottom="1" rank="2"/>
    <cfRule type="top10" dxfId="270" priority="275" bottom="1" rank="1"/>
  </conditionalFormatting>
  <conditionalFormatting sqref="D15 H15:J15 L15:M15">
    <cfRule type="top10" dxfId="269" priority="272" bottom="1" rank="2"/>
    <cfRule type="top10" dxfId="268" priority="271" bottom="1" rank="1"/>
  </conditionalFormatting>
  <conditionalFormatting sqref="D17 H17:I17 L17:M17">
    <cfRule type="top10" dxfId="267" priority="262" bottom="1" rank="2"/>
    <cfRule type="top10" dxfId="266" priority="261" bottom="1" rank="1"/>
  </conditionalFormatting>
  <conditionalFormatting sqref="D21 H21:J21 L21:M21">
    <cfRule type="top10" dxfId="265" priority="258" bottom="1" rank="2"/>
    <cfRule type="top10" dxfId="264" priority="257" bottom="1" rank="1"/>
  </conditionalFormatting>
  <conditionalFormatting sqref="D23 H23:I23 L23:M23">
    <cfRule type="top10" dxfId="263" priority="247" bottom="1" rank="1"/>
    <cfRule type="top10" dxfId="262" priority="248" bottom="1" rank="2"/>
  </conditionalFormatting>
  <conditionalFormatting sqref="D27 H27:J27 L27:M27">
    <cfRule type="top10" dxfId="261" priority="244" bottom="1" rank="2"/>
    <cfRule type="top10" dxfId="260" priority="243" bottom="1" rank="1"/>
  </conditionalFormatting>
  <conditionalFormatting sqref="D29 H29:I29 L29:M29">
    <cfRule type="top10" dxfId="259" priority="234" bottom="1" rank="2"/>
    <cfRule type="top10" dxfId="258" priority="233" bottom="1" rank="1"/>
  </conditionalFormatting>
  <conditionalFormatting sqref="D33 H33:J33 L33:M33">
    <cfRule type="top10" dxfId="257" priority="230" bottom="1" rank="2"/>
    <cfRule type="top10" dxfId="256" priority="229" bottom="1" rank="1"/>
  </conditionalFormatting>
  <conditionalFormatting sqref="D35 H35:I35 L35:M35">
    <cfRule type="top10" dxfId="255" priority="220" bottom="1" rank="2"/>
    <cfRule type="top10" dxfId="254" priority="219" bottom="1" rank="1"/>
  </conditionalFormatting>
  <conditionalFormatting sqref="D38 M38 D40 M40 M109 D111 M111">
    <cfRule type="expression" dxfId="253" priority="2">
      <formula>RANK(D38,$D38:$M38,1)=1</formula>
    </cfRule>
    <cfRule type="expression" dxfId="252" priority="1">
      <formula>RANK(D38,$D38:$M38,1)=2</formula>
    </cfRule>
  </conditionalFormatting>
  <conditionalFormatting sqref="D42 H42:J42 M42">
    <cfRule type="top10" dxfId="251" priority="145" bottom="1" rank="1"/>
    <cfRule type="top10" dxfId="250" priority="146" bottom="1" rank="2"/>
  </conditionalFormatting>
  <conditionalFormatting sqref="D44 H44:I44 M44">
    <cfRule type="top10" dxfId="249" priority="136" bottom="1" rank="2"/>
    <cfRule type="top10" dxfId="248" priority="135" bottom="1" rank="1"/>
  </conditionalFormatting>
  <conditionalFormatting sqref="D45 F45:G45">
    <cfRule type="top10" dxfId="247" priority="137" bottom="1" rank="1"/>
    <cfRule type="top10" dxfId="246" priority="138" bottom="1" rank="2"/>
  </conditionalFormatting>
  <conditionalFormatting sqref="D48 H48:J48 M48">
    <cfRule type="top10" dxfId="245" priority="131" bottom="1" rank="1"/>
    <cfRule type="top10" dxfId="244" priority="132" bottom="1" rank="2"/>
  </conditionalFormatting>
  <conditionalFormatting sqref="D50 H50:I50 M50">
    <cfRule type="top10" dxfId="243" priority="122" bottom="1" rank="2"/>
    <cfRule type="top10" dxfId="242" priority="121" bottom="1" rank="1"/>
  </conditionalFormatting>
  <conditionalFormatting sqref="D51 F51:G51">
    <cfRule type="top10" dxfId="241" priority="124" bottom="1" rank="2"/>
    <cfRule type="top10" dxfId="240" priority="123" bottom="1" rank="1"/>
  </conditionalFormatting>
  <conditionalFormatting sqref="D54 H54:J54 M54">
    <cfRule type="top10" dxfId="239" priority="118" bottom="1" rank="2"/>
    <cfRule type="top10" dxfId="238" priority="117" bottom="1" rank="1"/>
  </conditionalFormatting>
  <conditionalFormatting sqref="D56 H56:I56 M56">
    <cfRule type="top10" dxfId="237" priority="108" bottom="1" rank="2"/>
    <cfRule type="top10" dxfId="236" priority="107" bottom="1" rank="1"/>
  </conditionalFormatting>
  <conditionalFormatting sqref="D57 F57:G57">
    <cfRule type="top10" dxfId="235" priority="110" bottom="1" rank="2"/>
    <cfRule type="top10" dxfId="234" priority="109" bottom="1" rank="1"/>
  </conditionalFormatting>
  <conditionalFormatting sqref="D60 H60:J60 M60">
    <cfRule type="top10" dxfId="233" priority="104" bottom="1" rank="2"/>
    <cfRule type="top10" dxfId="232" priority="103" bottom="1" rank="1"/>
  </conditionalFormatting>
  <conditionalFormatting sqref="D62 H62:I62 M62">
    <cfRule type="top10" dxfId="231" priority="94" bottom="1" rank="2"/>
    <cfRule type="top10" dxfId="230" priority="93" bottom="1" rank="1"/>
  </conditionalFormatting>
  <conditionalFormatting sqref="D63 F63:G63">
    <cfRule type="top10" dxfId="229" priority="96" bottom="1" rank="2"/>
    <cfRule type="top10" dxfId="228" priority="95" bottom="1" rank="1"/>
  </conditionalFormatting>
  <conditionalFormatting sqref="D66 H66:J66 M66">
    <cfRule type="top10" dxfId="227" priority="89" bottom="1" rank="1"/>
    <cfRule type="top10" dxfId="226" priority="90" bottom="1" rank="2"/>
  </conditionalFormatting>
  <conditionalFormatting sqref="D68 H68:I68 M68">
    <cfRule type="top10" dxfId="225" priority="79" bottom="1" rank="1"/>
    <cfRule type="top10" dxfId="224" priority="80" bottom="1" rank="2"/>
  </conditionalFormatting>
  <conditionalFormatting sqref="D69 F69:G69">
    <cfRule type="top10" dxfId="223" priority="82" bottom="1" rank="2"/>
    <cfRule type="top10" dxfId="222" priority="81" bottom="1" rank="1"/>
  </conditionalFormatting>
  <conditionalFormatting sqref="D80 H80:J80 L80:M80">
    <cfRule type="top10" dxfId="221" priority="215" bottom="1" rank="1"/>
    <cfRule type="top10" dxfId="220" priority="216" bottom="1" rank="2"/>
  </conditionalFormatting>
  <conditionalFormatting sqref="D82 H82:I82 L82:M82">
    <cfRule type="top10" dxfId="219" priority="206" bottom="1" rank="2"/>
    <cfRule type="top10" dxfId="218" priority="205" bottom="1" rank="1"/>
  </conditionalFormatting>
  <conditionalFormatting sqref="D86 H86:J86 L86:M86">
    <cfRule type="top10" dxfId="217" priority="202" bottom="1" rank="2"/>
    <cfRule type="top10" dxfId="216" priority="201" bottom="1" rank="1"/>
  </conditionalFormatting>
  <conditionalFormatting sqref="D88 H88:I88 L88:M88">
    <cfRule type="top10" dxfId="215" priority="192" bottom="1" rank="2"/>
    <cfRule type="top10" dxfId="214" priority="191" bottom="1" rank="1"/>
  </conditionalFormatting>
  <conditionalFormatting sqref="D92 H92:J92 L92:M92">
    <cfRule type="top10" dxfId="213" priority="187" bottom="1" rank="1"/>
    <cfRule type="top10" dxfId="212" priority="188" bottom="1" rank="2"/>
  </conditionalFormatting>
  <conditionalFormatting sqref="D94 H94:I94 L94:M94">
    <cfRule type="top10" dxfId="211" priority="177" bottom="1" rank="1"/>
    <cfRule type="top10" dxfId="210" priority="178" bottom="1" rank="2"/>
  </conditionalFormatting>
  <conditionalFormatting sqref="D98 H98:J98 L98:M98">
    <cfRule type="top10" dxfId="209" priority="173" bottom="1" rank="1"/>
    <cfRule type="top10" dxfId="208" priority="174" bottom="1" rank="2"/>
  </conditionalFormatting>
  <conditionalFormatting sqref="D100 H100:I100 L100:M100">
    <cfRule type="top10" dxfId="207" priority="163" bottom="1" rank="1"/>
    <cfRule type="top10" dxfId="206" priority="164" bottom="1" rank="2"/>
  </conditionalFormatting>
  <conditionalFormatting sqref="D104 H104:J104 L104:M104">
    <cfRule type="top10" dxfId="205" priority="160" bottom="1" rank="2"/>
    <cfRule type="top10" dxfId="204" priority="159" bottom="1" rank="1"/>
  </conditionalFormatting>
  <conditionalFormatting sqref="D106 H106:I106 L106:M106">
    <cfRule type="top10" dxfId="203" priority="149" bottom="1" rank="1"/>
    <cfRule type="top10" dxfId="202" priority="150" bottom="1" rank="2"/>
  </conditionalFormatting>
  <conditionalFormatting sqref="D109">
    <cfRule type="expression" dxfId="201" priority="4">
      <formula>RANK(D109,$D109:$M109,1)=1</formula>
    </cfRule>
    <cfRule type="expression" dxfId="200" priority="3">
      <formula>RANK(D109,$D109:$M109,1)=2</formula>
    </cfRule>
  </conditionalFormatting>
  <conditionalFormatting sqref="D113 H113:J113 M113">
    <cfRule type="top10" dxfId="199" priority="73" bottom="1" rank="1"/>
    <cfRule type="top10" dxfId="198" priority="74" bottom="1" rank="2"/>
  </conditionalFormatting>
  <conditionalFormatting sqref="D115 H115:I115 M115">
    <cfRule type="top10" dxfId="197" priority="64" bottom="1" rank="2"/>
    <cfRule type="top10" dxfId="196" priority="63" bottom="1" rank="1"/>
  </conditionalFormatting>
  <conditionalFormatting sqref="D116 F116:G116">
    <cfRule type="top10" dxfId="195" priority="65" bottom="1" rank="1"/>
    <cfRule type="top10" dxfId="194" priority="66" bottom="1" rank="2"/>
  </conditionalFormatting>
  <conditionalFormatting sqref="D119 H119:J119 M119">
    <cfRule type="top10" dxfId="193" priority="60" bottom="1" rank="2"/>
    <cfRule type="top10" dxfId="192" priority="59" bottom="1" rank="1"/>
  </conditionalFormatting>
  <conditionalFormatting sqref="D121 H121:I121 M121">
    <cfRule type="top10" dxfId="191" priority="49" bottom="1" rank="1"/>
    <cfRule type="top10" dxfId="190" priority="50" bottom="1" rank="2"/>
  </conditionalFormatting>
  <conditionalFormatting sqref="D122 F122:G122">
    <cfRule type="top10" dxfId="189" priority="51" bottom="1" rank="1"/>
    <cfRule type="top10" dxfId="188" priority="52" bottom="1" rank="2"/>
  </conditionalFormatting>
  <conditionalFormatting sqref="D125 H125:J125 M125">
    <cfRule type="top10" dxfId="187" priority="45" bottom="1" rank="1"/>
    <cfRule type="top10" dxfId="186" priority="46" bottom="1" rank="2"/>
  </conditionalFormatting>
  <conditionalFormatting sqref="D127 H127:I127 M127">
    <cfRule type="top10" dxfId="185" priority="35" bottom="1" rank="1"/>
    <cfRule type="top10" dxfId="184" priority="36" bottom="1" rank="2"/>
  </conditionalFormatting>
  <conditionalFormatting sqref="D128 F128:G128">
    <cfRule type="top10" dxfId="183" priority="37" bottom="1" rank="1"/>
    <cfRule type="top10" dxfId="182" priority="38" bottom="1" rank="2"/>
  </conditionalFormatting>
  <conditionalFormatting sqref="D131 H131:J131 M131">
    <cfRule type="top10" dxfId="181" priority="32" bottom="1" rank="2"/>
    <cfRule type="top10" dxfId="180" priority="31" bottom="1" rank="1"/>
  </conditionalFormatting>
  <conditionalFormatting sqref="D133 H133:I133 M133">
    <cfRule type="top10" dxfId="179" priority="22" bottom="1" rank="2"/>
    <cfRule type="top10" dxfId="178" priority="21" bottom="1" rank="1"/>
  </conditionalFormatting>
  <conditionalFormatting sqref="D134 F134:G134">
    <cfRule type="top10" dxfId="177" priority="24" bottom="1" rank="2"/>
    <cfRule type="top10" dxfId="176" priority="23" bottom="1" rank="1"/>
  </conditionalFormatting>
  <conditionalFormatting sqref="D137 H137:J137 M137">
    <cfRule type="top10" dxfId="175" priority="18" bottom="1" rank="2"/>
    <cfRule type="top10" dxfId="174" priority="17" bottom="1" rank="1"/>
  </conditionalFormatting>
  <conditionalFormatting sqref="D139 H139:I139 M139">
    <cfRule type="top10" dxfId="173" priority="8" bottom="1" rank="2"/>
    <cfRule type="top10" dxfId="172" priority="7" bottom="1" rank="1"/>
  </conditionalFormatting>
  <conditionalFormatting sqref="D140 F140:G140">
    <cfRule type="top10" dxfId="171" priority="10" bottom="1" rank="2"/>
    <cfRule type="top10" dxfId="170" priority="9" bottom="1" rank="1"/>
  </conditionalFormatting>
  <conditionalFormatting sqref="D8:E8 H8:J8 M8">
    <cfRule type="top10" dxfId="169" priority="288" bottom="1" rank="2"/>
    <cfRule type="top10" dxfId="168" priority="287" bottom="1" rank="1"/>
  </conditionalFormatting>
  <conditionalFormatting sqref="D10:E10 H10:J10 L10:M10">
    <cfRule type="top10" dxfId="167" priority="283" bottom="1" rank="1"/>
    <cfRule type="top10" dxfId="166" priority="284" bottom="1" rank="2"/>
  </conditionalFormatting>
  <conditionalFormatting sqref="D14:E14 H14:J14 M14">
    <cfRule type="top10" dxfId="165" priority="273" bottom="1" rank="1"/>
    <cfRule type="top10" dxfId="164" priority="274" bottom="1" rank="2"/>
  </conditionalFormatting>
  <conditionalFormatting sqref="D16:E16 H16:J16 L16:M16">
    <cfRule type="top10" dxfId="163" priority="270" bottom="1" rank="2"/>
    <cfRule type="top10" dxfId="162" priority="269" bottom="1" rank="1"/>
  </conditionalFormatting>
  <conditionalFormatting sqref="D20:E20 H20:J20 M20">
    <cfRule type="top10" dxfId="161" priority="259" bottom="1" rank="1"/>
    <cfRule type="top10" dxfId="160" priority="260" bottom="1" rank="2"/>
  </conditionalFormatting>
  <conditionalFormatting sqref="D22:E22 H22:J22 L22:M22">
    <cfRule type="top10" dxfId="159" priority="255" bottom="1" rank="1"/>
    <cfRule type="top10" dxfId="158" priority="256" bottom="1" rank="2"/>
  </conditionalFormatting>
  <conditionalFormatting sqref="D26:E26 H26:J26 M26">
    <cfRule type="top10" dxfId="157" priority="245" bottom="1" rank="1"/>
    <cfRule type="top10" dxfId="156" priority="246" bottom="1" rank="2"/>
  </conditionalFormatting>
  <conditionalFormatting sqref="D28:E28 H28:J28 L28:M28">
    <cfRule type="top10" dxfId="155" priority="241" bottom="1" rank="1"/>
    <cfRule type="top10" dxfId="154" priority="242" bottom="1" rank="2"/>
  </conditionalFormatting>
  <conditionalFormatting sqref="D32:E32 H32:J32 M32">
    <cfRule type="top10" dxfId="153" priority="232" bottom="1" rank="2"/>
    <cfRule type="top10" dxfId="152" priority="231" bottom="1" rank="1"/>
  </conditionalFormatting>
  <conditionalFormatting sqref="D34:E34 H34:J34 L34:M34">
    <cfRule type="top10" dxfId="151" priority="227" bottom="1" rank="1"/>
    <cfRule type="top10" dxfId="150" priority="228" bottom="1" rank="2"/>
  </conditionalFormatting>
  <conditionalFormatting sqref="D41:E41 H41:J41 M41">
    <cfRule type="top10" dxfId="149" priority="147" bottom="1" rank="1"/>
    <cfRule type="top10" dxfId="148" priority="148" bottom="1" rank="2"/>
  </conditionalFormatting>
  <conditionalFormatting sqref="D43:E43 H43:J43 M43">
    <cfRule type="top10" dxfId="147" priority="143" bottom="1" rank="1"/>
    <cfRule type="top10" dxfId="146" priority="144" bottom="1" rank="2"/>
  </conditionalFormatting>
  <conditionalFormatting sqref="D47:E47 H47:J47 M47">
    <cfRule type="top10" dxfId="145" priority="134" bottom="1" rank="2"/>
    <cfRule type="top10" dxfId="144" priority="133" bottom="1" rank="1"/>
  </conditionalFormatting>
  <conditionalFormatting sqref="D49:E49 H49:J49 M49">
    <cfRule type="top10" dxfId="143" priority="129" bottom="1" rank="1"/>
    <cfRule type="top10" dxfId="142" priority="130" bottom="1" rank="2"/>
  </conditionalFormatting>
  <conditionalFormatting sqref="D53:E53 H53:J53 M53">
    <cfRule type="top10" dxfId="141" priority="119" bottom="1" rank="1"/>
    <cfRule type="top10" dxfId="140" priority="120" bottom="1" rank="2"/>
  </conditionalFormatting>
  <conditionalFormatting sqref="D55:E55 H55:J55 M55">
    <cfRule type="top10" dxfId="139" priority="116" bottom="1" rank="2"/>
    <cfRule type="top10" dxfId="138" priority="115" bottom="1" rank="1"/>
  </conditionalFormatting>
  <conditionalFormatting sqref="D59:E59 H59:J59 M59">
    <cfRule type="top10" dxfId="137" priority="105" bottom="1" rank="1"/>
    <cfRule type="top10" dxfId="136" priority="106" bottom="1" rank="2"/>
  </conditionalFormatting>
  <conditionalFormatting sqref="D61:E61 H61:J61 M61">
    <cfRule type="top10" dxfId="135" priority="102" bottom="1" rank="2"/>
    <cfRule type="top10" dxfId="134" priority="101" bottom="1" rank="1"/>
  </conditionalFormatting>
  <conditionalFormatting sqref="D65:E65 H65:J65 M65">
    <cfRule type="top10" dxfId="133" priority="92" bottom="1" rank="2"/>
    <cfRule type="top10" dxfId="132" priority="91" bottom="1" rank="1"/>
  </conditionalFormatting>
  <conditionalFormatting sqref="D67:E67 H67:J67 M67">
    <cfRule type="top10" dxfId="131" priority="88" bottom="1" rank="2"/>
    <cfRule type="top10" dxfId="130" priority="87" bottom="1" rank="1"/>
  </conditionalFormatting>
  <conditionalFormatting sqref="D79:E79 H79:J79 M79">
    <cfRule type="top10" dxfId="129" priority="217" bottom="1" rank="1"/>
    <cfRule type="top10" dxfId="128" priority="218" bottom="1" rank="2"/>
  </conditionalFormatting>
  <conditionalFormatting sqref="D81:E81 H81:J81 L81:M81">
    <cfRule type="top10" dxfId="127" priority="213" bottom="1" rank="1"/>
    <cfRule type="top10" dxfId="126" priority="214" bottom="1" rank="2"/>
  </conditionalFormatting>
  <conditionalFormatting sqref="D85:E85 H85:J85 M85">
    <cfRule type="top10" dxfId="125" priority="203" bottom="1" rank="1"/>
    <cfRule type="top10" dxfId="124" priority="204" bottom="1" rank="2"/>
  </conditionalFormatting>
  <conditionalFormatting sqref="D87:E87 H87:J87 L87:M87">
    <cfRule type="top10" dxfId="123" priority="199" bottom="1" rank="1"/>
    <cfRule type="top10" dxfId="122" priority="200" bottom="1" rank="2"/>
  </conditionalFormatting>
  <conditionalFormatting sqref="D91:E91 H91:J91 M91">
    <cfRule type="top10" dxfId="121" priority="189" bottom="1" rank="1"/>
    <cfRule type="top10" dxfId="120" priority="190" bottom="1" rank="2"/>
  </conditionalFormatting>
  <conditionalFormatting sqref="D93:E93 H93:J93 L93:M93">
    <cfRule type="top10" dxfId="119" priority="185" bottom="1" rank="1"/>
    <cfRule type="top10" dxfId="118" priority="186" bottom="1" rank="2"/>
  </conditionalFormatting>
  <conditionalFormatting sqref="D97:E97 H97:J97 M97">
    <cfRule type="top10" dxfId="117" priority="175" bottom="1" rank="1"/>
    <cfRule type="top10" dxfId="116" priority="176" bottom="1" rank="2"/>
  </conditionalFormatting>
  <conditionalFormatting sqref="D99:E99 H99:J99 L99:M99">
    <cfRule type="top10" dxfId="115" priority="171" bottom="1" rank="1"/>
    <cfRule type="top10" dxfId="114" priority="172" bottom="1" rank="2"/>
  </conditionalFormatting>
  <conditionalFormatting sqref="D103:E103 H103:J103 M103">
    <cfRule type="top10" dxfId="113" priority="162" bottom="1" rank="2"/>
    <cfRule type="top10" dxfId="112" priority="161" bottom="1" rank="1"/>
  </conditionalFormatting>
  <conditionalFormatting sqref="D105:E105 H105:J105 L105:M105">
    <cfRule type="top10" dxfId="111" priority="157" bottom="1" rank="1"/>
    <cfRule type="top10" dxfId="110" priority="158" bottom="1" rank="2"/>
  </conditionalFormatting>
  <conditionalFormatting sqref="D112:E112 H112:J112 M112">
    <cfRule type="top10" dxfId="109" priority="76" bottom="1" rank="2"/>
    <cfRule type="top10" dxfId="108" priority="75" bottom="1" rank="1"/>
  </conditionalFormatting>
  <conditionalFormatting sqref="D114:E114 H114:J114 M114">
    <cfRule type="top10" dxfId="107" priority="71" bottom="1" rank="1"/>
    <cfRule type="top10" dxfId="106" priority="72" bottom="1" rank="2"/>
  </conditionalFormatting>
  <conditionalFormatting sqref="D118:E118 H118:J118 M118">
    <cfRule type="top10" dxfId="105" priority="62" bottom="1" rank="2"/>
    <cfRule type="top10" dxfId="104" priority="61" bottom="1" rank="1"/>
  </conditionalFormatting>
  <conditionalFormatting sqref="D120:E120 H120:J120 M120">
    <cfRule type="top10" dxfId="103" priority="57" bottom="1" rank="1"/>
    <cfRule type="top10" dxfId="102" priority="58" bottom="1" rank="2"/>
  </conditionalFormatting>
  <conditionalFormatting sqref="D124:E124 H124:J124 M124">
    <cfRule type="top10" dxfId="101" priority="48" bottom="1" rank="2"/>
    <cfRule type="top10" dxfId="100" priority="47" bottom="1" rank="1"/>
  </conditionalFormatting>
  <conditionalFormatting sqref="D126:E126 H126:J126 M126">
    <cfRule type="top10" dxfId="99" priority="44" bottom="1" rank="2"/>
    <cfRule type="top10" dxfId="98" priority="43" bottom="1" rank="1"/>
  </conditionalFormatting>
  <conditionalFormatting sqref="D130:E130 H130:J130 M130">
    <cfRule type="top10" dxfId="97" priority="34" bottom="1" rank="2"/>
    <cfRule type="top10" dxfId="96" priority="33" bottom="1" rank="1"/>
  </conditionalFormatting>
  <conditionalFormatting sqref="D132:E132 H132:J132 M132">
    <cfRule type="top10" dxfId="95" priority="30" bottom="1" rank="2"/>
    <cfRule type="top10" dxfId="94" priority="29" bottom="1" rank="1"/>
  </conditionalFormatting>
  <conditionalFormatting sqref="D136:E136 H136:J136 M136">
    <cfRule type="top10" dxfId="93" priority="19" bottom="1" rank="1"/>
    <cfRule type="top10" dxfId="92" priority="20" bottom="1" rank="2"/>
  </conditionalFormatting>
  <conditionalFormatting sqref="D138:E138 H138:J138 M138">
    <cfRule type="top10" dxfId="91" priority="15" bottom="1" rank="1"/>
    <cfRule type="top10" dxfId="90" priority="16" bottom="1" rank="2"/>
  </conditionalFormatting>
  <conditionalFormatting sqref="H45:K45 M45">
    <cfRule type="top10" dxfId="89" priority="141" bottom="1" rank="1"/>
    <cfRule type="top10" dxfId="88" priority="142" bottom="1" rank="2"/>
  </conditionalFormatting>
  <conditionalFormatting sqref="H51:K51 M51">
    <cfRule type="top10" dxfId="87" priority="128" bottom="1" rank="2"/>
    <cfRule type="top10" dxfId="86" priority="127" bottom="1" rank="1"/>
  </conditionalFormatting>
  <conditionalFormatting sqref="H57:K57 M57">
    <cfRule type="top10" dxfId="85" priority="114" bottom="1" rank="2"/>
    <cfRule type="top10" dxfId="84" priority="113" bottom="1" rank="1"/>
  </conditionalFormatting>
  <conditionalFormatting sqref="H63:K63 M63">
    <cfRule type="top10" dxfId="83" priority="99" bottom="1" rank="1"/>
    <cfRule type="top10" dxfId="82" priority="100" bottom="1" rank="2"/>
  </conditionalFormatting>
  <conditionalFormatting sqref="H69:K69 M69">
    <cfRule type="top10" dxfId="81" priority="86" bottom="1" rank="2"/>
    <cfRule type="top10" dxfId="80" priority="85" bottom="1" rank="1"/>
  </conditionalFormatting>
  <conditionalFormatting sqref="H116:K116 M116">
    <cfRule type="top10" dxfId="79" priority="70" bottom="1" rank="2"/>
    <cfRule type="top10" dxfId="78" priority="69" bottom="1" rank="1"/>
  </conditionalFormatting>
  <conditionalFormatting sqref="H122:K122 M122">
    <cfRule type="top10" dxfId="77" priority="56" bottom="1" rank="2"/>
    <cfRule type="top10" dxfId="76" priority="55" bottom="1" rank="1"/>
  </conditionalFormatting>
  <conditionalFormatting sqref="H128:K128 M128">
    <cfRule type="top10" dxfId="75" priority="42" bottom="1" rank="2"/>
    <cfRule type="top10" dxfId="74" priority="41" bottom="1" rank="1"/>
  </conditionalFormatting>
  <conditionalFormatting sqref="H134:K134 M134">
    <cfRule type="top10" dxfId="73" priority="27" bottom="1" rank="1"/>
    <cfRule type="top10" dxfId="72" priority="28" bottom="1" rank="2"/>
  </conditionalFormatting>
  <conditionalFormatting sqref="H140:K140 M140">
    <cfRule type="top10" dxfId="71" priority="14" bottom="1" rank="2"/>
    <cfRule type="top10" dxfId="70" priority="13" bottom="1" rank="1"/>
  </conditionalFormatting>
  <conditionalFormatting sqref="I13 L13">
    <cfRule type="top10" dxfId="69" priority="279" bottom="1" rank="1"/>
    <cfRule type="top10" dxfId="68" priority="280" bottom="1" rank="2"/>
  </conditionalFormatting>
  <conditionalFormatting sqref="I19 L19">
    <cfRule type="top10" dxfId="67" priority="266" bottom="1" rank="2"/>
    <cfRule type="top10" dxfId="66" priority="265" bottom="1" rank="1"/>
  </conditionalFormatting>
  <conditionalFormatting sqref="I25 L25">
    <cfRule type="top10" dxfId="65" priority="252" bottom="1" rank="2"/>
    <cfRule type="top10" dxfId="64" priority="251" bottom="1" rank="1"/>
  </conditionalFormatting>
  <conditionalFormatting sqref="I31 L31">
    <cfRule type="top10" dxfId="63" priority="237" bottom="1" rank="1"/>
    <cfRule type="top10" dxfId="62" priority="238" bottom="1" rank="2"/>
  </conditionalFormatting>
  <conditionalFormatting sqref="I37 L37">
    <cfRule type="top10" dxfId="61" priority="223" bottom="1" rank="1"/>
    <cfRule type="top10" dxfId="60" priority="224" bottom="1" rank="2"/>
  </conditionalFormatting>
  <conditionalFormatting sqref="I46">
    <cfRule type="top10" dxfId="59" priority="140" bottom="1" rank="2"/>
    <cfRule type="top10" dxfId="58" priority="139" bottom="1" rank="1"/>
  </conditionalFormatting>
  <conditionalFormatting sqref="I52">
    <cfRule type="top10" dxfId="57" priority="125" bottom="1" rank="1"/>
    <cfRule type="top10" dxfId="56" priority="126" bottom="1" rank="2"/>
  </conditionalFormatting>
  <conditionalFormatting sqref="I58">
    <cfRule type="top10" dxfId="55" priority="111" bottom="1" rank="1"/>
    <cfRule type="top10" dxfId="54" priority="112" bottom="1" rank="2"/>
  </conditionalFormatting>
  <conditionalFormatting sqref="I64">
    <cfRule type="top10" dxfId="53" priority="97" bottom="1" rank="1"/>
    <cfRule type="top10" dxfId="52" priority="98" bottom="1" rank="2"/>
  </conditionalFormatting>
  <conditionalFormatting sqref="I70">
    <cfRule type="top10" dxfId="51" priority="84" bottom="1" rank="2"/>
    <cfRule type="top10" dxfId="50" priority="83" bottom="1" rank="1"/>
  </conditionalFormatting>
  <conditionalFormatting sqref="I84 L84">
    <cfRule type="top10" dxfId="49" priority="210" bottom="1" rank="2"/>
    <cfRule type="top10" dxfId="48" priority="209" bottom="1" rank="1"/>
  </conditionalFormatting>
  <conditionalFormatting sqref="I90 L90">
    <cfRule type="top10" dxfId="47" priority="196" bottom="1" rank="2"/>
    <cfRule type="top10" dxfId="46" priority="195" bottom="1" rank="1"/>
  </conditionalFormatting>
  <conditionalFormatting sqref="I96 L96">
    <cfRule type="top10" dxfId="45" priority="182" bottom="1" rank="2"/>
    <cfRule type="top10" dxfId="44" priority="181" bottom="1" rank="1"/>
  </conditionalFormatting>
  <conditionalFormatting sqref="I102 L102">
    <cfRule type="top10" dxfId="43" priority="168" bottom="1" rank="2"/>
    <cfRule type="top10" dxfId="42" priority="167" bottom="1" rank="1"/>
  </conditionalFormatting>
  <conditionalFormatting sqref="I108 L108">
    <cfRule type="top10" dxfId="41" priority="153" bottom="1" rank="1"/>
    <cfRule type="top10" dxfId="40" priority="154" bottom="1" rank="2"/>
  </conditionalFormatting>
  <conditionalFormatting sqref="I117">
    <cfRule type="top10" dxfId="39" priority="68" bottom="1" rank="2"/>
    <cfRule type="top10" dxfId="38" priority="67" bottom="1" rank="1"/>
  </conditionalFormatting>
  <conditionalFormatting sqref="I123">
    <cfRule type="top10" dxfId="37" priority="54" bottom="1" rank="2"/>
    <cfRule type="top10" dxfId="36" priority="53" bottom="1" rank="1"/>
  </conditionalFormatting>
  <conditionalFormatting sqref="I129">
    <cfRule type="top10" dxfId="35" priority="39" bottom="1" rank="1"/>
    <cfRule type="top10" dxfId="34" priority="40" bottom="1" rank="2"/>
  </conditionalFormatting>
  <conditionalFormatting sqref="I135">
    <cfRule type="top10" dxfId="33" priority="25" bottom="1" rank="1"/>
    <cfRule type="top10" dxfId="32" priority="26" bottom="1" rank="2"/>
  </conditionalFormatting>
  <conditionalFormatting sqref="I141">
    <cfRule type="top10" dxfId="31" priority="11" bottom="1" rank="1"/>
    <cfRule type="top10" dxfId="30" priority="12" bottom="1" rank="2"/>
  </conditionalFormatting>
  <conditionalFormatting sqref="L70">
    <cfRule type="top10" dxfId="29" priority="78" bottom="1" rank="2"/>
    <cfRule type="top10" dxfId="28" priority="77" bottom="1" rank="1"/>
  </conditionalFormatting>
  <conditionalFormatting sqref="L141">
    <cfRule type="top10" dxfId="27" priority="5" bottom="1" rank="1"/>
    <cfRule type="top10" dxfId="26" priority="6" bottom="1" rank="2"/>
  </conditionalFormatting>
  <conditionalFormatting sqref="N8:N11 N14:N17 N20:N23 N26:N29 N32:N35 N41:N44 N47:N50 N53:N56 N59:N62 N65:N68 N79:N141">
    <cfRule type="expression" dxfId="25" priority="3301">
      <formula>RANK(N8,$D8:$M8,1)=1</formula>
    </cfRule>
    <cfRule type="expression" dxfId="24" priority="3302">
      <formula>RANK(N8,$D8:$M8,1)=2</formula>
    </cfRule>
  </conditionalFormatting>
  <printOptions horizontalCentered="1" verticalCentered="1"/>
  <pageMargins left="0" right="0" top="0" bottom="0" header="0" footer="0"/>
  <pageSetup paperSize="9" scale="36" orientation="portrait" r:id="rId1"/>
  <headerFooter>
    <oddFooter>&amp;L_x000D_&amp;1#&amp;"Calibri"&amp;8&amp;K008000 Public</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D0ECF-89E1-40A3-8961-D370B4272E9C}">
  <sheetPr codeName="Sheet15">
    <pageSetUpPr fitToPage="1"/>
  </sheetPr>
  <dimension ref="A1:L78"/>
  <sheetViews>
    <sheetView showGridLines="0" topLeftCell="A4" zoomScale="85" zoomScaleNormal="85" workbookViewId="0">
      <selection activeCell="O18" sqref="O18"/>
    </sheetView>
  </sheetViews>
  <sheetFormatPr defaultRowHeight="14.5" x14ac:dyDescent="0.35"/>
  <cols>
    <col min="1" max="1" width="17.453125" customWidth="1"/>
    <col min="2" max="2" width="23.453125" customWidth="1"/>
    <col min="3" max="3" width="26.36328125" customWidth="1"/>
    <col min="4" max="7" width="15.54296875" bestFit="1" customWidth="1"/>
    <col min="8" max="8" width="16.54296875" customWidth="1"/>
    <col min="9" max="9" width="12.54296875" customWidth="1"/>
    <col min="10" max="10" width="69.453125" customWidth="1"/>
    <col min="12" max="12" width="15.54296875" style="124" customWidth="1"/>
  </cols>
  <sheetData>
    <row r="1" spans="1:12" ht="18" x14ac:dyDescent="0.35">
      <c r="A1" s="226"/>
      <c r="B1" s="122"/>
      <c r="C1" s="122"/>
      <c r="D1" s="122"/>
      <c r="E1" s="122"/>
      <c r="F1" s="122"/>
      <c r="G1" s="122"/>
      <c r="H1" s="123"/>
      <c r="I1" s="124"/>
      <c r="J1" s="124"/>
    </row>
    <row r="2" spans="1:12" ht="15.5" x14ac:dyDescent="0.35">
      <c r="A2" s="610" t="s">
        <v>127</v>
      </c>
      <c r="B2" s="610"/>
      <c r="G2" s="97"/>
      <c r="H2" s="46" t="s">
        <v>276</v>
      </c>
      <c r="I2" s="98"/>
      <c r="J2" s="124"/>
    </row>
    <row r="3" spans="1:12" ht="15.5" x14ac:dyDescent="0.35">
      <c r="A3" s="590" t="s">
        <v>129</v>
      </c>
      <c r="B3" s="590"/>
      <c r="C3" s="209">
        <v>1000000</v>
      </c>
      <c r="D3" s="126"/>
      <c r="E3" s="126"/>
      <c r="F3" s="126"/>
      <c r="G3" s="101"/>
      <c r="H3" s="562" t="s">
        <v>277</v>
      </c>
      <c r="I3" s="562"/>
      <c r="J3" s="124"/>
    </row>
    <row r="4" spans="1:12" ht="15" thickBot="1" x14ac:dyDescent="0.4">
      <c r="A4" s="614"/>
      <c r="B4" s="614"/>
      <c r="C4" s="127"/>
      <c r="D4" s="127"/>
      <c r="E4" s="127"/>
      <c r="F4" s="127"/>
      <c r="I4" s="124"/>
      <c r="J4" s="124"/>
    </row>
    <row r="5" spans="1:12" ht="54.5" customHeight="1" thickBot="1" x14ac:dyDescent="0.4">
      <c r="A5" s="592"/>
      <c r="B5" s="615"/>
      <c r="C5" s="128" t="s">
        <v>278</v>
      </c>
      <c r="D5" s="128" t="s">
        <v>228</v>
      </c>
      <c r="E5" s="128" t="s">
        <v>229</v>
      </c>
      <c r="F5" s="128" t="s">
        <v>230</v>
      </c>
      <c r="G5" s="128" t="s">
        <v>231</v>
      </c>
      <c r="H5" s="129" t="s">
        <v>233</v>
      </c>
      <c r="I5" s="35"/>
      <c r="J5" s="52" t="s">
        <v>131</v>
      </c>
      <c r="L5" s="35"/>
    </row>
    <row r="6" spans="1:12" ht="43.5" customHeight="1" x14ac:dyDescent="0.35">
      <c r="A6" s="645" t="s">
        <v>213</v>
      </c>
      <c r="B6" s="646"/>
      <c r="C6" s="130" t="s">
        <v>311</v>
      </c>
      <c r="D6" s="130" t="s">
        <v>235</v>
      </c>
      <c r="E6" s="130" t="s">
        <v>234</v>
      </c>
      <c r="F6" s="130" t="s">
        <v>236</v>
      </c>
      <c r="G6" s="130" t="s">
        <v>234</v>
      </c>
      <c r="H6" s="131" t="s">
        <v>234</v>
      </c>
      <c r="I6" s="35"/>
      <c r="J6" s="529" t="s">
        <v>332</v>
      </c>
    </row>
    <row r="7" spans="1:12" ht="43.5" x14ac:dyDescent="0.35">
      <c r="A7" s="647"/>
      <c r="B7" s="648"/>
      <c r="C7" s="130" t="s">
        <v>154</v>
      </c>
      <c r="D7" s="130" t="s">
        <v>222</v>
      </c>
      <c r="E7" s="130" t="s">
        <v>223</v>
      </c>
      <c r="F7" s="130" t="s">
        <v>224</v>
      </c>
      <c r="G7" s="130" t="s">
        <v>225</v>
      </c>
      <c r="H7" s="131" t="s">
        <v>226</v>
      </c>
      <c r="I7" s="124"/>
      <c r="J7" s="530"/>
    </row>
    <row r="8" spans="1:12" ht="15" thickBot="1" x14ac:dyDescent="0.4">
      <c r="A8" s="227" t="s">
        <v>176</v>
      </c>
      <c r="B8" s="133"/>
      <c r="C8" s="134" t="s">
        <v>141</v>
      </c>
      <c r="D8" s="134" t="s">
        <v>142</v>
      </c>
      <c r="E8" s="135" t="s">
        <v>141</v>
      </c>
      <c r="F8" s="228" t="s">
        <v>141</v>
      </c>
      <c r="G8" s="136" t="s">
        <v>142</v>
      </c>
      <c r="H8" s="135" t="s">
        <v>141</v>
      </c>
      <c r="I8" s="124"/>
      <c r="J8" s="530"/>
    </row>
    <row r="9" spans="1:12" ht="29" x14ac:dyDescent="0.35">
      <c r="A9" s="640" t="s">
        <v>238</v>
      </c>
      <c r="B9" s="229" t="s">
        <v>140</v>
      </c>
      <c r="C9" s="230" t="s">
        <v>279</v>
      </c>
      <c r="D9" s="230" t="s">
        <v>280</v>
      </c>
      <c r="E9" s="230" t="s">
        <v>280</v>
      </c>
      <c r="F9" s="230" t="s">
        <v>280</v>
      </c>
      <c r="G9" s="230" t="s">
        <v>280</v>
      </c>
      <c r="H9" s="231" t="s">
        <v>280</v>
      </c>
      <c r="I9" s="124"/>
      <c r="J9" s="530"/>
      <c r="K9" s="96"/>
    </row>
    <row r="10" spans="1:12" x14ac:dyDescent="0.35">
      <c r="A10" s="641"/>
      <c r="B10" s="232" t="s">
        <v>281</v>
      </c>
      <c r="C10" s="233">
        <v>30</v>
      </c>
      <c r="D10" s="233">
        <v>30</v>
      </c>
      <c r="E10" s="233">
        <v>30</v>
      </c>
      <c r="F10" s="233">
        <v>30</v>
      </c>
      <c r="G10" s="234">
        <v>30</v>
      </c>
      <c r="H10" s="235">
        <v>30</v>
      </c>
      <c r="I10" s="124"/>
      <c r="J10" s="530"/>
      <c r="K10" s="96"/>
    </row>
    <row r="11" spans="1:12" x14ac:dyDescent="0.35">
      <c r="A11" s="641"/>
      <c r="B11" s="236" t="s">
        <v>282</v>
      </c>
      <c r="C11" s="237">
        <v>389.9</v>
      </c>
      <c r="D11" s="237" t="s">
        <v>283</v>
      </c>
      <c r="E11" s="237">
        <v>477.25</v>
      </c>
      <c r="F11" s="237">
        <v>610</v>
      </c>
      <c r="G11" s="237">
        <v>491.28000000000003</v>
      </c>
      <c r="H11" s="238">
        <v>480</v>
      </c>
      <c r="I11" s="239"/>
      <c r="J11" s="530"/>
      <c r="K11" s="96"/>
      <c r="L11" s="156"/>
    </row>
    <row r="12" spans="1:12" x14ac:dyDescent="0.35">
      <c r="A12" s="641"/>
      <c r="B12" s="236" t="s">
        <v>284</v>
      </c>
      <c r="C12" s="237">
        <f>C11*C10</f>
        <v>11697</v>
      </c>
      <c r="D12" s="237" t="s">
        <v>283</v>
      </c>
      <c r="E12" s="237">
        <f>E11*E10</f>
        <v>14317.5</v>
      </c>
      <c r="F12" s="237">
        <v>18300</v>
      </c>
      <c r="G12" s="237">
        <v>14738.400000000001</v>
      </c>
      <c r="H12" s="238">
        <v>14400</v>
      </c>
      <c r="I12" s="240"/>
      <c r="J12" s="530"/>
      <c r="K12" s="96"/>
      <c r="L12" s="156"/>
    </row>
    <row r="13" spans="1:12" ht="62.15" customHeight="1" x14ac:dyDescent="0.35">
      <c r="A13" s="641"/>
      <c r="B13" s="236" t="s">
        <v>285</v>
      </c>
      <c r="C13" s="237">
        <v>1116.55</v>
      </c>
      <c r="D13" s="237" t="s">
        <v>283</v>
      </c>
      <c r="E13" s="237">
        <f>87+1404</f>
        <v>1491</v>
      </c>
      <c r="F13" s="237">
        <f>70+1660</f>
        <v>1730</v>
      </c>
      <c r="G13" s="237">
        <v>1091.1200000000001</v>
      </c>
      <c r="H13" s="238">
        <v>996.85714285714289</v>
      </c>
      <c r="I13" s="240"/>
      <c r="J13" s="530"/>
      <c r="K13" s="96"/>
      <c r="L13" s="156"/>
    </row>
    <row r="14" spans="1:12" ht="29" x14ac:dyDescent="0.35">
      <c r="A14" s="641"/>
      <c r="B14" s="236" t="s">
        <v>286</v>
      </c>
      <c r="C14" s="237">
        <v>1506.45</v>
      </c>
      <c r="D14" s="237" t="s">
        <v>283</v>
      </c>
      <c r="E14" s="237">
        <f>E11+E13</f>
        <v>1968.25</v>
      </c>
      <c r="F14" s="237">
        <f>F11+F13</f>
        <v>2340</v>
      </c>
      <c r="G14" s="237">
        <v>1582.4</v>
      </c>
      <c r="H14" s="238">
        <v>1476.8571428571429</v>
      </c>
      <c r="I14" s="240"/>
      <c r="J14" s="530"/>
      <c r="K14" s="96"/>
      <c r="L14" s="156"/>
    </row>
    <row r="15" spans="1:12" ht="42.65" customHeight="1" thickBot="1" x14ac:dyDescent="0.4">
      <c r="A15" s="642"/>
      <c r="B15" s="241" t="s">
        <v>287</v>
      </c>
      <c r="C15" s="242">
        <f>C14*C10</f>
        <v>45193.5</v>
      </c>
      <c r="D15" s="243" t="s">
        <v>283</v>
      </c>
      <c r="E15" s="242">
        <f>E14*E10</f>
        <v>59047.5</v>
      </c>
      <c r="F15" s="242">
        <f>F14*F10</f>
        <v>70200</v>
      </c>
      <c r="G15" s="242">
        <v>47472</v>
      </c>
      <c r="H15" s="244">
        <v>44305.71428571429</v>
      </c>
      <c r="I15" s="240"/>
      <c r="J15" s="530"/>
      <c r="K15" s="96"/>
      <c r="L15" s="156"/>
    </row>
    <row r="16" spans="1:12" ht="29" x14ac:dyDescent="0.35">
      <c r="A16" s="640" t="s">
        <v>245</v>
      </c>
      <c r="B16" s="229" t="s">
        <v>140</v>
      </c>
      <c r="C16" s="230" t="s">
        <v>288</v>
      </c>
      <c r="D16" s="230" t="s">
        <v>289</v>
      </c>
      <c r="E16" s="230" t="s">
        <v>289</v>
      </c>
      <c r="F16" s="230" t="s">
        <v>289</v>
      </c>
      <c r="G16" s="230" t="s">
        <v>289</v>
      </c>
      <c r="H16" s="231" t="s">
        <v>289</v>
      </c>
      <c r="I16" s="124"/>
      <c r="J16" s="530"/>
      <c r="L16" s="156"/>
    </row>
    <row r="17" spans="1:12" x14ac:dyDescent="0.35">
      <c r="A17" s="641"/>
      <c r="B17" s="232" t="s">
        <v>281</v>
      </c>
      <c r="C17" s="233">
        <v>30</v>
      </c>
      <c r="D17" s="233">
        <v>30</v>
      </c>
      <c r="E17" s="233">
        <v>30</v>
      </c>
      <c r="F17" s="233">
        <v>30</v>
      </c>
      <c r="G17" s="234">
        <v>30</v>
      </c>
      <c r="H17" s="235">
        <v>30</v>
      </c>
      <c r="I17" s="124"/>
      <c r="J17" s="530"/>
      <c r="L17" s="156"/>
    </row>
    <row r="18" spans="1:12" x14ac:dyDescent="0.35">
      <c r="A18" s="641"/>
      <c r="B18" s="236" t="s">
        <v>282</v>
      </c>
      <c r="C18" s="237">
        <v>564.20000000000005</v>
      </c>
      <c r="D18" s="237">
        <v>1300</v>
      </c>
      <c r="E18" s="237">
        <v>712.1</v>
      </c>
      <c r="F18" s="237">
        <v>800</v>
      </c>
      <c r="G18" s="237">
        <v>729.56</v>
      </c>
      <c r="H18" s="238">
        <v>685.71428571428578</v>
      </c>
      <c r="I18" s="240"/>
      <c r="J18" s="530"/>
      <c r="L18" s="156"/>
    </row>
    <row r="19" spans="1:12" x14ac:dyDescent="0.35">
      <c r="A19" s="641"/>
      <c r="B19" s="236" t="s">
        <v>284</v>
      </c>
      <c r="C19" s="237">
        <f t="shared" ref="C19:F19" si="0">C18*C17</f>
        <v>16926</v>
      </c>
      <c r="D19" s="237">
        <f t="shared" si="0"/>
        <v>39000</v>
      </c>
      <c r="E19" s="237">
        <f t="shared" si="0"/>
        <v>21363</v>
      </c>
      <c r="F19" s="237">
        <f t="shared" si="0"/>
        <v>24000</v>
      </c>
      <c r="G19" s="237">
        <v>21886.799999999999</v>
      </c>
      <c r="H19" s="238">
        <v>20571.428571428572</v>
      </c>
      <c r="I19" s="240"/>
      <c r="J19" s="530"/>
      <c r="L19" s="156"/>
    </row>
    <row r="20" spans="1:12" ht="62.9" customHeight="1" x14ac:dyDescent="0.35">
      <c r="A20" s="641"/>
      <c r="B20" s="236" t="s">
        <v>285</v>
      </c>
      <c r="C20" s="237">
        <v>1962.25</v>
      </c>
      <c r="D20" s="237">
        <v>2760</v>
      </c>
      <c r="E20" s="237">
        <f>139+2183</f>
        <v>2322</v>
      </c>
      <c r="F20" s="237">
        <f>2280+90</f>
        <v>2370</v>
      </c>
      <c r="G20" s="237">
        <v>1700.16</v>
      </c>
      <c r="H20" s="238">
        <v>1611.4285714285713</v>
      </c>
      <c r="I20" s="240"/>
      <c r="J20" s="530"/>
      <c r="L20" s="156"/>
    </row>
    <row r="21" spans="1:12" ht="29" x14ac:dyDescent="0.35">
      <c r="A21" s="641"/>
      <c r="B21" s="236" t="s">
        <v>286</v>
      </c>
      <c r="C21" s="237">
        <f t="shared" ref="C21:F21" si="1">C18+C20</f>
        <v>2526.4499999999998</v>
      </c>
      <c r="D21" s="237">
        <f t="shared" si="1"/>
        <v>4060</v>
      </c>
      <c r="E21" s="237">
        <f t="shared" si="1"/>
        <v>3034.1</v>
      </c>
      <c r="F21" s="237">
        <f t="shared" si="1"/>
        <v>3170</v>
      </c>
      <c r="G21" s="237">
        <v>2429.7200000000003</v>
      </c>
      <c r="H21" s="238">
        <v>2297.1428571428569</v>
      </c>
      <c r="I21" s="240"/>
      <c r="J21" s="530"/>
      <c r="L21" s="156"/>
    </row>
    <row r="22" spans="1:12" ht="29.5" thickBot="1" x14ac:dyDescent="0.4">
      <c r="A22" s="643"/>
      <c r="B22" s="245" t="s">
        <v>287</v>
      </c>
      <c r="C22" s="242">
        <f t="shared" ref="C22:F22" si="2">C21*C17</f>
        <v>75793.5</v>
      </c>
      <c r="D22" s="243">
        <f t="shared" si="2"/>
        <v>121800</v>
      </c>
      <c r="E22" s="242">
        <f t="shared" si="2"/>
        <v>91023</v>
      </c>
      <c r="F22" s="242">
        <f t="shared" si="2"/>
        <v>95100</v>
      </c>
      <c r="G22" s="242">
        <v>72891.600000000006</v>
      </c>
      <c r="H22" s="244">
        <v>68914.28571428571</v>
      </c>
      <c r="I22" s="240"/>
      <c r="J22" s="530"/>
      <c r="L22" s="156"/>
    </row>
    <row r="23" spans="1:12" ht="29" x14ac:dyDescent="0.35">
      <c r="A23" s="640" t="s">
        <v>250</v>
      </c>
      <c r="B23" s="229" t="s">
        <v>140</v>
      </c>
      <c r="C23" s="230" t="s">
        <v>290</v>
      </c>
      <c r="D23" s="230" t="s">
        <v>291</v>
      </c>
      <c r="E23" s="230" t="s">
        <v>291</v>
      </c>
      <c r="F23" s="230" t="s">
        <v>291</v>
      </c>
      <c r="G23" s="230" t="s">
        <v>291</v>
      </c>
      <c r="H23" s="231" t="s">
        <v>291</v>
      </c>
      <c r="J23" s="530"/>
      <c r="L23" s="156"/>
    </row>
    <row r="24" spans="1:12" x14ac:dyDescent="0.35">
      <c r="A24" s="641"/>
      <c r="B24" s="232" t="s">
        <v>281</v>
      </c>
      <c r="C24" s="233">
        <v>30</v>
      </c>
      <c r="D24" s="233">
        <v>30</v>
      </c>
      <c r="E24" s="233">
        <v>30</v>
      </c>
      <c r="F24" s="233">
        <v>30</v>
      </c>
      <c r="G24" s="234">
        <v>30</v>
      </c>
      <c r="H24" s="235">
        <v>30</v>
      </c>
      <c r="J24" s="530"/>
      <c r="L24" s="156"/>
    </row>
    <row r="25" spans="1:12" x14ac:dyDescent="0.35">
      <c r="A25" s="641"/>
      <c r="B25" s="236" t="s">
        <v>282</v>
      </c>
      <c r="C25" s="237">
        <v>896.7</v>
      </c>
      <c r="D25" s="237" t="s">
        <v>283</v>
      </c>
      <c r="E25" s="237">
        <v>1153.3</v>
      </c>
      <c r="F25" s="237">
        <v>1290</v>
      </c>
      <c r="G25" s="246">
        <v>1100.32</v>
      </c>
      <c r="H25" s="238">
        <v>1131.4285714285716</v>
      </c>
      <c r="I25" s="240"/>
      <c r="J25" s="530"/>
      <c r="L25" s="156"/>
    </row>
    <row r="26" spans="1:12" x14ac:dyDescent="0.35">
      <c r="A26" s="641"/>
      <c r="B26" s="236" t="s">
        <v>284</v>
      </c>
      <c r="C26" s="237">
        <f>C25*C24</f>
        <v>26901</v>
      </c>
      <c r="D26" s="237" t="s">
        <v>283</v>
      </c>
      <c r="E26" s="237">
        <f>E25*E24</f>
        <v>34599</v>
      </c>
      <c r="F26" s="237">
        <f>F25*F24</f>
        <v>38700</v>
      </c>
      <c r="G26" s="237">
        <v>33009.599999999999</v>
      </c>
      <c r="H26" s="238">
        <v>33942.857142857145</v>
      </c>
      <c r="I26" s="240"/>
      <c r="J26" s="530"/>
      <c r="L26" s="156"/>
    </row>
    <row r="27" spans="1:12" ht="61.4" customHeight="1" x14ac:dyDescent="0.35">
      <c r="A27" s="641"/>
      <c r="B27" s="236" t="s">
        <v>285</v>
      </c>
      <c r="C27" s="237">
        <v>3363.15</v>
      </c>
      <c r="D27" s="237" t="s">
        <v>283</v>
      </c>
      <c r="E27" s="237">
        <f>213+3313</f>
        <v>3526</v>
      </c>
      <c r="F27" s="237">
        <f>140+3520</f>
        <v>3660</v>
      </c>
      <c r="G27" s="237">
        <v>2710.32</v>
      </c>
      <c r="H27" s="238">
        <v>2602.2857142857142</v>
      </c>
      <c r="I27" s="240"/>
      <c r="J27" s="530"/>
      <c r="L27" s="156"/>
    </row>
    <row r="28" spans="1:12" ht="29" x14ac:dyDescent="0.35">
      <c r="A28" s="641"/>
      <c r="B28" s="236" t="s">
        <v>286</v>
      </c>
      <c r="C28" s="237">
        <f>C25+C27</f>
        <v>4259.8500000000004</v>
      </c>
      <c r="D28" s="237" t="s">
        <v>283</v>
      </c>
      <c r="E28" s="237">
        <f>E25+E27</f>
        <v>4679.3</v>
      </c>
      <c r="F28" s="237">
        <f>F25+F27</f>
        <v>4950</v>
      </c>
      <c r="G28" s="237">
        <v>3810.6400000000003</v>
      </c>
      <c r="H28" s="238">
        <v>3733.7142857142862</v>
      </c>
      <c r="I28" s="240"/>
      <c r="J28" s="530"/>
      <c r="L28" s="156"/>
    </row>
    <row r="29" spans="1:12" ht="29.5" thickBot="1" x14ac:dyDescent="0.4">
      <c r="A29" s="642"/>
      <c r="B29" s="241" t="s">
        <v>287</v>
      </c>
      <c r="C29" s="242">
        <f>C28*C24</f>
        <v>127795.50000000001</v>
      </c>
      <c r="D29" s="242" t="s">
        <v>283</v>
      </c>
      <c r="E29" s="242">
        <f>E28*E24</f>
        <v>140379</v>
      </c>
      <c r="F29" s="242">
        <f>F28*F24</f>
        <v>148500</v>
      </c>
      <c r="G29" s="242">
        <v>114319.20000000001</v>
      </c>
      <c r="H29" s="244">
        <v>112011.42857142857</v>
      </c>
      <c r="I29" s="240"/>
      <c r="J29" s="530"/>
      <c r="L29" s="156"/>
    </row>
    <row r="30" spans="1:12" ht="29" x14ac:dyDescent="0.35">
      <c r="A30" s="644" t="s">
        <v>255</v>
      </c>
      <c r="B30" s="247" t="s">
        <v>140</v>
      </c>
      <c r="C30" s="248" t="s">
        <v>292</v>
      </c>
      <c r="D30" s="248" t="s">
        <v>293</v>
      </c>
      <c r="E30" s="248" t="s">
        <v>293</v>
      </c>
      <c r="F30" s="248" t="s">
        <v>293</v>
      </c>
      <c r="G30" s="248" t="s">
        <v>293</v>
      </c>
      <c r="H30" s="249" t="s">
        <v>293</v>
      </c>
      <c r="J30" s="530"/>
      <c r="L30" s="156"/>
    </row>
    <row r="31" spans="1:12" x14ac:dyDescent="0.35">
      <c r="A31" s="641"/>
      <c r="B31" s="232" t="s">
        <v>281</v>
      </c>
      <c r="C31" s="233">
        <v>30</v>
      </c>
      <c r="D31" s="233">
        <v>30</v>
      </c>
      <c r="E31" s="233">
        <v>30</v>
      </c>
      <c r="F31" s="233">
        <v>30</v>
      </c>
      <c r="G31" s="233">
        <v>30</v>
      </c>
      <c r="H31" s="235">
        <v>30</v>
      </c>
      <c r="J31" s="530"/>
      <c r="L31" s="156"/>
    </row>
    <row r="32" spans="1:12" x14ac:dyDescent="0.35">
      <c r="A32" s="641"/>
      <c r="B32" s="236" t="s">
        <v>282</v>
      </c>
      <c r="C32" s="237">
        <v>1457.4</v>
      </c>
      <c r="D32" s="237" t="s">
        <v>283</v>
      </c>
      <c r="E32" s="237">
        <v>1988.3</v>
      </c>
      <c r="F32" s="237">
        <v>2090</v>
      </c>
      <c r="G32" s="237">
        <v>1968.8000000000002</v>
      </c>
      <c r="H32" s="238">
        <v>1842.8571428571431</v>
      </c>
      <c r="I32" s="240"/>
      <c r="J32" s="530"/>
      <c r="L32" s="156"/>
    </row>
    <row r="33" spans="1:12" x14ac:dyDescent="0.35">
      <c r="A33" s="641"/>
      <c r="B33" s="236" t="s">
        <v>284</v>
      </c>
      <c r="C33" s="237">
        <f>C32*C31</f>
        <v>43722</v>
      </c>
      <c r="D33" s="237" t="s">
        <v>283</v>
      </c>
      <c r="E33" s="237">
        <f>E32*E31</f>
        <v>59649</v>
      </c>
      <c r="F33" s="237">
        <f>F32*F31</f>
        <v>62700</v>
      </c>
      <c r="G33" s="237">
        <v>59064</v>
      </c>
      <c r="H33" s="238">
        <v>55285.714285714283</v>
      </c>
      <c r="I33" s="240"/>
      <c r="J33" s="530"/>
      <c r="L33" s="156"/>
    </row>
    <row r="34" spans="1:12" ht="62.9" customHeight="1" x14ac:dyDescent="0.35">
      <c r="A34" s="641"/>
      <c r="B34" s="236" t="s">
        <v>285</v>
      </c>
      <c r="C34" s="237">
        <v>5498.3</v>
      </c>
      <c r="D34" s="237" t="s">
        <v>283</v>
      </c>
      <c r="E34" s="237">
        <f>328+5168</f>
        <v>5496</v>
      </c>
      <c r="F34" s="237">
        <f>230+5190</f>
        <v>5420</v>
      </c>
      <c r="G34" s="237">
        <v>4243.96</v>
      </c>
      <c r="H34" s="238">
        <v>4386.8571428571431</v>
      </c>
      <c r="I34" s="240"/>
      <c r="J34" s="530"/>
      <c r="L34" s="156"/>
    </row>
    <row r="35" spans="1:12" ht="29" x14ac:dyDescent="0.35">
      <c r="A35" s="641"/>
      <c r="B35" s="236" t="s">
        <v>286</v>
      </c>
      <c r="C35" s="237">
        <f>C32+C34</f>
        <v>6955.7000000000007</v>
      </c>
      <c r="D35" s="237" t="s">
        <v>283</v>
      </c>
      <c r="E35" s="237">
        <f>E34+E32</f>
        <v>7484.3</v>
      </c>
      <c r="F35" s="237">
        <f>F34+F32</f>
        <v>7510</v>
      </c>
      <c r="G35" s="237">
        <v>6212.76</v>
      </c>
      <c r="H35" s="238">
        <v>6229.7142857142853</v>
      </c>
      <c r="I35" s="240"/>
      <c r="J35" s="530"/>
      <c r="L35" s="156"/>
    </row>
    <row r="36" spans="1:12" ht="35.9" customHeight="1" thickBot="1" x14ac:dyDescent="0.4">
      <c r="A36" s="642"/>
      <c r="B36" s="241" t="s">
        <v>287</v>
      </c>
      <c r="C36" s="242">
        <f>C35*C31</f>
        <v>208671.00000000003</v>
      </c>
      <c r="D36" s="243" t="s">
        <v>283</v>
      </c>
      <c r="E36" s="242">
        <f>E35*E31</f>
        <v>224529</v>
      </c>
      <c r="F36" s="242">
        <f>F35*F31</f>
        <v>225300</v>
      </c>
      <c r="G36" s="242">
        <v>186382.80000000002</v>
      </c>
      <c r="H36" s="244">
        <v>186891.42857142858</v>
      </c>
      <c r="I36" s="240"/>
      <c r="J36" s="530"/>
      <c r="L36" s="156"/>
    </row>
    <row r="37" spans="1:12" ht="29" x14ac:dyDescent="0.35">
      <c r="A37" s="640" t="s">
        <v>260</v>
      </c>
      <c r="B37" s="229" t="s">
        <v>140</v>
      </c>
      <c r="C37" s="230" t="s">
        <v>294</v>
      </c>
      <c r="D37" s="230" t="s">
        <v>295</v>
      </c>
      <c r="E37" s="230" t="s">
        <v>295</v>
      </c>
      <c r="F37" s="230" t="s">
        <v>295</v>
      </c>
      <c r="G37" s="230" t="s">
        <v>295</v>
      </c>
      <c r="H37" s="231" t="s">
        <v>295</v>
      </c>
      <c r="J37" s="530"/>
      <c r="L37" s="156"/>
    </row>
    <row r="38" spans="1:12" x14ac:dyDescent="0.35">
      <c r="A38" s="641"/>
      <c r="B38" s="232" t="s">
        <v>281</v>
      </c>
      <c r="C38" s="233">
        <v>30</v>
      </c>
      <c r="D38" s="233">
        <v>30</v>
      </c>
      <c r="E38" s="233">
        <v>30</v>
      </c>
      <c r="F38" s="233">
        <v>30</v>
      </c>
      <c r="G38" s="233">
        <v>30</v>
      </c>
      <c r="H38" s="235">
        <v>30</v>
      </c>
      <c r="J38" s="530"/>
      <c r="L38" s="156"/>
    </row>
    <row r="39" spans="1:12" x14ac:dyDescent="0.35">
      <c r="A39" s="641"/>
      <c r="B39" s="236" t="s">
        <v>282</v>
      </c>
      <c r="C39" s="237">
        <v>2531.9</v>
      </c>
      <c r="D39" s="237" t="s">
        <v>283</v>
      </c>
      <c r="E39" s="237">
        <v>3524.4</v>
      </c>
      <c r="F39" s="237">
        <v>3570</v>
      </c>
      <c r="G39" s="237">
        <v>3520.84</v>
      </c>
      <c r="H39" s="238">
        <v>3000</v>
      </c>
      <c r="I39" s="240"/>
      <c r="J39" s="530"/>
      <c r="L39" s="156"/>
    </row>
    <row r="40" spans="1:12" x14ac:dyDescent="0.35">
      <c r="A40" s="641"/>
      <c r="B40" s="236" t="s">
        <v>284</v>
      </c>
      <c r="C40" s="237">
        <f>C39*C38</f>
        <v>75957</v>
      </c>
      <c r="D40" s="237" t="s">
        <v>283</v>
      </c>
      <c r="E40" s="237">
        <f>E39*E38</f>
        <v>105732</v>
      </c>
      <c r="F40" s="237">
        <f>F39*F38</f>
        <v>107100</v>
      </c>
      <c r="G40" s="237">
        <v>105625.20000000001</v>
      </c>
      <c r="H40" s="238">
        <v>90000</v>
      </c>
      <c r="I40" s="240"/>
      <c r="J40" s="530"/>
      <c r="L40" s="156"/>
    </row>
    <row r="41" spans="1:12" ht="63" customHeight="1" x14ac:dyDescent="0.35">
      <c r="A41" s="641"/>
      <c r="B41" s="236" t="s">
        <v>285</v>
      </c>
      <c r="C41" s="237">
        <v>8825.9</v>
      </c>
      <c r="D41" s="237" t="s">
        <v>283</v>
      </c>
      <c r="E41" s="237">
        <f>519+7971</f>
        <v>8490</v>
      </c>
      <c r="F41" s="237">
        <f>400+7740</f>
        <v>8140</v>
      </c>
      <c r="G41" s="237">
        <v>6510.84</v>
      </c>
      <c r="H41" s="238">
        <v>6651.4285714285725</v>
      </c>
      <c r="I41" s="240"/>
      <c r="J41" s="530"/>
      <c r="L41" s="156"/>
    </row>
    <row r="42" spans="1:12" ht="53.9" customHeight="1" x14ac:dyDescent="0.35">
      <c r="A42" s="641"/>
      <c r="B42" s="236" t="s">
        <v>286</v>
      </c>
      <c r="C42" s="237">
        <f>C39+C41</f>
        <v>11357.8</v>
      </c>
      <c r="D42" s="237" t="s">
        <v>283</v>
      </c>
      <c r="E42" s="237">
        <f>E39+E41</f>
        <v>12014.4</v>
      </c>
      <c r="F42" s="237">
        <f>F39+F41</f>
        <v>11710</v>
      </c>
      <c r="G42" s="237">
        <v>10031.68</v>
      </c>
      <c r="H42" s="238">
        <v>9651.4285714285725</v>
      </c>
      <c r="I42" s="240"/>
      <c r="J42" s="530"/>
      <c r="L42" s="156"/>
    </row>
    <row r="43" spans="1:12" ht="34.5" customHeight="1" thickBot="1" x14ac:dyDescent="0.4">
      <c r="A43" s="642"/>
      <c r="B43" s="241" t="s">
        <v>287</v>
      </c>
      <c r="C43" s="242">
        <f>C42*C38</f>
        <v>340734</v>
      </c>
      <c r="D43" s="242" t="s">
        <v>283</v>
      </c>
      <c r="E43" s="242">
        <f>E42*E38</f>
        <v>360432</v>
      </c>
      <c r="F43" s="242">
        <f>F42*F38</f>
        <v>351300</v>
      </c>
      <c r="G43" s="242">
        <v>300950.40000000002</v>
      </c>
      <c r="H43" s="244">
        <v>289542.85714285716</v>
      </c>
      <c r="I43" s="240"/>
      <c r="J43" s="531"/>
      <c r="L43" s="156"/>
    </row>
    <row r="71" spans="12:12" x14ac:dyDescent="0.35">
      <c r="L71"/>
    </row>
    <row r="72" spans="12:12" x14ac:dyDescent="0.35">
      <c r="L72"/>
    </row>
    <row r="73" spans="12:12" x14ac:dyDescent="0.35">
      <c r="L73"/>
    </row>
    <row r="74" spans="12:12" x14ac:dyDescent="0.35">
      <c r="L74"/>
    </row>
    <row r="75" spans="12:12" x14ac:dyDescent="0.35">
      <c r="L75"/>
    </row>
    <row r="76" spans="12:12" x14ac:dyDescent="0.35">
      <c r="L76"/>
    </row>
    <row r="77" spans="12:12" x14ac:dyDescent="0.35">
      <c r="L77"/>
    </row>
    <row r="78" spans="12:12" x14ac:dyDescent="0.35">
      <c r="L78"/>
    </row>
  </sheetData>
  <mergeCells count="12">
    <mergeCell ref="J6:J43"/>
    <mergeCell ref="A9:A15"/>
    <mergeCell ref="A16:A22"/>
    <mergeCell ref="A23:A29"/>
    <mergeCell ref="A30:A36"/>
    <mergeCell ref="A37:A43"/>
    <mergeCell ref="A6:B7"/>
    <mergeCell ref="A2:B2"/>
    <mergeCell ref="A3:B3"/>
    <mergeCell ref="H3:I3"/>
    <mergeCell ref="A4:B4"/>
    <mergeCell ref="A5:B5"/>
  </mergeCells>
  <conditionalFormatting sqref="C15:H15">
    <cfRule type="top10" dxfId="23" priority="2247" bottom="1" rank="1"/>
    <cfRule type="top10" dxfId="22" priority="2248" bottom="1" rank="2"/>
  </conditionalFormatting>
  <conditionalFormatting sqref="C22:H22">
    <cfRule type="top10" dxfId="21" priority="2249" bottom="1" rank="1"/>
    <cfRule type="top10" dxfId="20" priority="2250" bottom="1" rank="2"/>
  </conditionalFormatting>
  <conditionalFormatting sqref="C29:H29">
    <cfRule type="top10" dxfId="19" priority="2251" bottom="1" rank="1"/>
    <cfRule type="top10" dxfId="18" priority="2252" bottom="1" rank="2"/>
  </conditionalFormatting>
  <conditionalFormatting sqref="C36:H36">
    <cfRule type="top10" dxfId="17" priority="2253" bottom="1" rank="1"/>
    <cfRule type="top10" dxfId="16" priority="2254" bottom="1" rank="2"/>
  </conditionalFormatting>
  <conditionalFormatting sqref="C43:H43">
    <cfRule type="top10" dxfId="15" priority="2255" bottom="1" rank="1"/>
    <cfRule type="top10" dxfId="14" priority="2256" bottom="1" rank="2"/>
  </conditionalFormatting>
  <conditionalFormatting sqref="I11:I15 I18:I22 I25:I29 I32:I36 I39:I43">
    <cfRule type="expression" dxfId="13" priority="2257">
      <formula>RANK(I11,$C11:$I11,1)=1</formula>
    </cfRule>
    <cfRule type="expression" dxfId="12" priority="2258">
      <formula>RANK(I11,$C11:$I11,1)=2</formula>
    </cfRule>
  </conditionalFormatting>
  <printOptions horizontalCentered="1" verticalCentered="1"/>
  <pageMargins left="0" right="0" top="0" bottom="0" header="0" footer="0"/>
  <pageSetup paperSize="9" scale="45" orientation="portrait" r:id="rId1"/>
  <headerFooter>
    <oddFooter>&amp;L_x000D_&amp;1#&amp;"Calibri"&amp;8&amp;K008000 Public</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07719-605A-4BFC-B188-EF9EBAF5217B}">
  <sheetPr codeName="Sheet16">
    <pageSetUpPr fitToPage="1"/>
  </sheetPr>
  <dimension ref="A1:K78"/>
  <sheetViews>
    <sheetView showGridLines="0" zoomScale="70" zoomScaleNormal="70" workbookViewId="0">
      <selection activeCell="J6" sqref="J6:J43"/>
    </sheetView>
  </sheetViews>
  <sheetFormatPr defaultRowHeight="14.5" x14ac:dyDescent="0.35"/>
  <cols>
    <col min="1" max="1" width="10.54296875" style="254" bestFit="1" customWidth="1"/>
    <col min="2" max="2" width="21" bestFit="1" customWidth="1"/>
    <col min="3" max="3" width="23.54296875" customWidth="1"/>
    <col min="4" max="5" width="14.54296875" bestFit="1" customWidth="1"/>
    <col min="6" max="6" width="15" bestFit="1" customWidth="1"/>
    <col min="7" max="7" width="12.54296875" bestFit="1" customWidth="1"/>
    <col min="8" max="8" width="19.453125" customWidth="1"/>
    <col min="9" max="9" width="13.453125" customWidth="1"/>
    <col min="10" max="10" width="66.453125" customWidth="1"/>
    <col min="11" max="11" width="15.54296875" style="124" customWidth="1"/>
  </cols>
  <sheetData>
    <row r="1" spans="1:11" ht="18" x14ac:dyDescent="0.35">
      <c r="A1" s="250"/>
      <c r="B1" s="122"/>
      <c r="C1" s="122"/>
      <c r="D1" s="122"/>
      <c r="E1" s="122"/>
      <c r="F1" s="122"/>
      <c r="G1" s="122"/>
      <c r="H1" s="123"/>
      <c r="I1" s="124"/>
      <c r="J1" s="124"/>
    </row>
    <row r="2" spans="1:11" ht="15.5" x14ac:dyDescent="0.35">
      <c r="A2" s="610" t="s">
        <v>160</v>
      </c>
      <c r="B2" s="610"/>
      <c r="G2" s="97"/>
      <c r="H2" s="46" t="s">
        <v>276</v>
      </c>
      <c r="I2" s="98"/>
      <c r="J2" s="124"/>
    </row>
    <row r="3" spans="1:11" ht="15.5" x14ac:dyDescent="0.35">
      <c r="A3" s="590" t="s">
        <v>129</v>
      </c>
      <c r="B3" s="590"/>
      <c r="C3" s="209">
        <v>1000000</v>
      </c>
      <c r="D3" s="126"/>
      <c r="E3" s="126"/>
      <c r="F3" s="126"/>
      <c r="G3" s="101"/>
      <c r="H3" s="562" t="s">
        <v>277</v>
      </c>
      <c r="I3" s="562"/>
      <c r="J3" s="124"/>
    </row>
    <row r="4" spans="1:11" ht="15" thickBot="1" x14ac:dyDescent="0.4">
      <c r="A4" s="614"/>
      <c r="B4" s="614"/>
      <c r="C4" s="127"/>
      <c r="D4" s="127"/>
      <c r="E4" s="127"/>
      <c r="F4" s="127"/>
      <c r="I4" s="124"/>
      <c r="J4" s="124"/>
    </row>
    <row r="5" spans="1:11" ht="98.4" customHeight="1" thickBot="1" x14ac:dyDescent="0.4">
      <c r="A5" s="592"/>
      <c r="B5" s="615"/>
      <c r="C5" s="128" t="s">
        <v>278</v>
      </c>
      <c r="D5" s="128" t="s">
        <v>228</v>
      </c>
      <c r="E5" s="128" t="s">
        <v>229</v>
      </c>
      <c r="F5" s="128" t="s">
        <v>230</v>
      </c>
      <c r="G5" s="128" t="s">
        <v>231</v>
      </c>
      <c r="H5" s="129" t="s">
        <v>233</v>
      </c>
      <c r="I5" s="35"/>
      <c r="J5" s="52" t="s">
        <v>131</v>
      </c>
      <c r="K5" s="35"/>
    </row>
    <row r="6" spans="1:11" ht="45" customHeight="1" x14ac:dyDescent="0.35">
      <c r="A6" s="652" t="s">
        <v>213</v>
      </c>
      <c r="B6" s="653"/>
      <c r="C6" s="130" t="s">
        <v>311</v>
      </c>
      <c r="D6" s="130" t="s">
        <v>235</v>
      </c>
      <c r="E6" s="130" t="s">
        <v>234</v>
      </c>
      <c r="F6" s="130" t="s">
        <v>236</v>
      </c>
      <c r="G6" s="130" t="s">
        <v>234</v>
      </c>
      <c r="H6" s="131" t="s">
        <v>234</v>
      </c>
      <c r="I6" s="35"/>
      <c r="J6" s="529" t="s">
        <v>331</v>
      </c>
    </row>
    <row r="7" spans="1:11" ht="43.5" x14ac:dyDescent="0.35">
      <c r="A7" s="654"/>
      <c r="B7" s="655"/>
      <c r="C7" s="130" t="s">
        <v>154</v>
      </c>
      <c r="D7" s="130" t="s">
        <v>222</v>
      </c>
      <c r="E7" s="130" t="s">
        <v>223</v>
      </c>
      <c r="F7" s="130" t="s">
        <v>224</v>
      </c>
      <c r="G7" s="130" t="s">
        <v>225</v>
      </c>
      <c r="H7" s="131" t="s">
        <v>226</v>
      </c>
      <c r="I7" s="124"/>
      <c r="J7" s="530"/>
    </row>
    <row r="8" spans="1:11" ht="15" thickBot="1" x14ac:dyDescent="0.4">
      <c r="A8" s="132" t="s">
        <v>176</v>
      </c>
      <c r="B8" s="133" t="s">
        <v>140</v>
      </c>
      <c r="C8" s="134" t="s">
        <v>141</v>
      </c>
      <c r="D8" s="134" t="s">
        <v>142</v>
      </c>
      <c r="E8" s="135" t="s">
        <v>141</v>
      </c>
      <c r="F8" s="228" t="s">
        <v>141</v>
      </c>
      <c r="G8" s="136" t="s">
        <v>142</v>
      </c>
      <c r="H8" s="135" t="s">
        <v>141</v>
      </c>
      <c r="I8" s="124"/>
      <c r="J8" s="530"/>
    </row>
    <row r="9" spans="1:11" ht="29" x14ac:dyDescent="0.35">
      <c r="A9" s="649" t="s">
        <v>238</v>
      </c>
      <c r="B9" s="229" t="s">
        <v>140</v>
      </c>
      <c r="C9" s="230" t="s">
        <v>279</v>
      </c>
      <c r="D9" s="230" t="s">
        <v>280</v>
      </c>
      <c r="E9" s="230" t="s">
        <v>280</v>
      </c>
      <c r="F9" s="230" t="s">
        <v>280</v>
      </c>
      <c r="G9" s="230" t="s">
        <v>280</v>
      </c>
      <c r="H9" s="231" t="s">
        <v>280</v>
      </c>
      <c r="I9" s="124"/>
      <c r="J9" s="530"/>
    </row>
    <row r="10" spans="1:11" x14ac:dyDescent="0.35">
      <c r="A10" s="650"/>
      <c r="B10" s="232" t="s">
        <v>281</v>
      </c>
      <c r="C10" s="233">
        <v>30</v>
      </c>
      <c r="D10" s="233">
        <v>30</v>
      </c>
      <c r="E10" s="233">
        <v>30</v>
      </c>
      <c r="F10" s="233">
        <v>30</v>
      </c>
      <c r="G10" s="234">
        <v>30</v>
      </c>
      <c r="H10" s="235">
        <v>30</v>
      </c>
      <c r="I10" s="124"/>
      <c r="J10" s="530"/>
    </row>
    <row r="11" spans="1:11" ht="29" x14ac:dyDescent="0.35">
      <c r="A11" s="650"/>
      <c r="B11" s="236" t="s">
        <v>282</v>
      </c>
      <c r="C11" s="237">
        <v>326.89999999999998</v>
      </c>
      <c r="D11" s="237" t="s">
        <v>283</v>
      </c>
      <c r="E11" s="237">
        <v>186.9</v>
      </c>
      <c r="F11" s="237">
        <v>460</v>
      </c>
      <c r="G11" s="237">
        <v>387.32</v>
      </c>
      <c r="H11" s="238">
        <v>368.57142857142856</v>
      </c>
      <c r="I11" s="251"/>
      <c r="J11" s="530"/>
      <c r="K11" s="156"/>
    </row>
    <row r="12" spans="1:11" ht="29" x14ac:dyDescent="0.35">
      <c r="A12" s="650"/>
      <c r="B12" s="236" t="s">
        <v>284</v>
      </c>
      <c r="C12" s="237">
        <f>C11*C10</f>
        <v>9807</v>
      </c>
      <c r="D12" s="237" t="s">
        <v>283</v>
      </c>
      <c r="E12" s="237">
        <f>E11*E10</f>
        <v>5607</v>
      </c>
      <c r="F12" s="237">
        <f>F11*F10</f>
        <v>13800</v>
      </c>
      <c r="G12" s="237">
        <v>11619.6</v>
      </c>
      <c r="H12" s="238">
        <v>11057.142857142857</v>
      </c>
      <c r="I12" s="240"/>
      <c r="J12" s="530"/>
      <c r="K12" s="156"/>
    </row>
    <row r="13" spans="1:11" ht="43.5" x14ac:dyDescent="0.35">
      <c r="A13" s="650"/>
      <c r="B13" s="236" t="s">
        <v>285</v>
      </c>
      <c r="C13" s="237">
        <v>1542.15</v>
      </c>
      <c r="D13" s="237" t="s">
        <v>283</v>
      </c>
      <c r="E13" s="237">
        <f>36.35+968.1</f>
        <v>1004.45</v>
      </c>
      <c r="F13" s="237">
        <v>2490</v>
      </c>
      <c r="G13" s="237">
        <v>1299.96</v>
      </c>
      <c r="H13" s="238">
        <v>1275.4285714285716</v>
      </c>
      <c r="I13" s="251"/>
      <c r="J13" s="530"/>
      <c r="K13" s="156"/>
    </row>
    <row r="14" spans="1:11" ht="43.5" x14ac:dyDescent="0.35">
      <c r="A14" s="650"/>
      <c r="B14" s="236" t="s">
        <v>286</v>
      </c>
      <c r="C14" s="237">
        <f>C11+C13</f>
        <v>1869.0500000000002</v>
      </c>
      <c r="D14" s="237" t="s">
        <v>283</v>
      </c>
      <c r="E14" s="237">
        <f>E11+E13</f>
        <v>1191.3500000000001</v>
      </c>
      <c r="F14" s="237">
        <f>F11+F13</f>
        <v>2950</v>
      </c>
      <c r="G14" s="237">
        <v>1687.28</v>
      </c>
      <c r="H14" s="238">
        <v>1644</v>
      </c>
      <c r="I14" s="240"/>
      <c r="J14" s="530"/>
      <c r="K14" s="156"/>
    </row>
    <row r="15" spans="1:11" ht="29.5" thickBot="1" x14ac:dyDescent="0.4">
      <c r="A15" s="651"/>
      <c r="B15" s="252" t="s">
        <v>287</v>
      </c>
      <c r="C15" s="242">
        <f>C14*C10</f>
        <v>56071.500000000007</v>
      </c>
      <c r="D15" s="242" t="s">
        <v>283</v>
      </c>
      <c r="E15" s="242">
        <f>E14*E10</f>
        <v>35740.500000000007</v>
      </c>
      <c r="F15" s="242">
        <f>F14*F10</f>
        <v>88500</v>
      </c>
      <c r="G15" s="242">
        <v>50618.400000000001</v>
      </c>
      <c r="H15" s="244">
        <v>49320</v>
      </c>
      <c r="I15" s="240"/>
      <c r="J15" s="530"/>
      <c r="K15" s="156"/>
    </row>
    <row r="16" spans="1:11" ht="29" x14ac:dyDescent="0.35">
      <c r="A16" s="649" t="s">
        <v>245</v>
      </c>
      <c r="B16" s="229" t="s">
        <v>140</v>
      </c>
      <c r="C16" s="230" t="s">
        <v>288</v>
      </c>
      <c r="D16" s="230" t="s">
        <v>289</v>
      </c>
      <c r="E16" s="230" t="s">
        <v>289</v>
      </c>
      <c r="F16" s="230" t="s">
        <v>289</v>
      </c>
      <c r="G16" s="230" t="s">
        <v>289</v>
      </c>
      <c r="H16" s="231" t="s">
        <v>289</v>
      </c>
      <c r="I16" s="124"/>
      <c r="J16" s="530"/>
      <c r="K16" s="156"/>
    </row>
    <row r="17" spans="1:11" x14ac:dyDescent="0.35">
      <c r="A17" s="650"/>
      <c r="B17" s="232" t="s">
        <v>281</v>
      </c>
      <c r="C17" s="233">
        <v>30</v>
      </c>
      <c r="D17" s="233">
        <v>30</v>
      </c>
      <c r="E17" s="233">
        <v>30</v>
      </c>
      <c r="F17" s="233">
        <v>30</v>
      </c>
      <c r="G17" s="234">
        <v>30</v>
      </c>
      <c r="H17" s="235">
        <v>30</v>
      </c>
      <c r="I17" s="124"/>
      <c r="J17" s="530"/>
      <c r="K17" s="156"/>
    </row>
    <row r="18" spans="1:11" ht="29" x14ac:dyDescent="0.35">
      <c r="A18" s="650"/>
      <c r="B18" s="236" t="s">
        <v>282</v>
      </c>
      <c r="C18" s="237">
        <v>461.3</v>
      </c>
      <c r="D18" s="237">
        <v>880</v>
      </c>
      <c r="E18" s="237">
        <v>526.35</v>
      </c>
      <c r="F18" s="237">
        <v>590</v>
      </c>
      <c r="G18" s="237">
        <v>550.16</v>
      </c>
      <c r="H18" s="238">
        <v>497.14285714285717</v>
      </c>
      <c r="I18" s="240"/>
      <c r="J18" s="530"/>
      <c r="K18" s="156"/>
    </row>
    <row r="19" spans="1:11" ht="29" x14ac:dyDescent="0.35">
      <c r="A19" s="650"/>
      <c r="B19" s="236" t="s">
        <v>284</v>
      </c>
      <c r="C19" s="237">
        <f>C18*C17</f>
        <v>13839</v>
      </c>
      <c r="D19" s="237">
        <f t="shared" ref="D19:F19" si="0">D18*D17</f>
        <v>26400</v>
      </c>
      <c r="E19" s="237">
        <f t="shared" si="0"/>
        <v>15790.5</v>
      </c>
      <c r="F19" s="237">
        <f t="shared" si="0"/>
        <v>17700</v>
      </c>
      <c r="G19" s="237">
        <v>16504.8</v>
      </c>
      <c r="H19" s="238">
        <v>14914.285714285714</v>
      </c>
      <c r="I19" s="240"/>
      <c r="J19" s="530"/>
      <c r="K19" s="156"/>
    </row>
    <row r="20" spans="1:11" ht="43.5" x14ac:dyDescent="0.35">
      <c r="A20" s="650"/>
      <c r="B20" s="236" t="s">
        <v>285</v>
      </c>
      <c r="C20" s="237">
        <v>2264.65</v>
      </c>
      <c r="D20" s="237">
        <v>3160</v>
      </c>
      <c r="E20" s="237">
        <f>100+2597</f>
        <v>2697</v>
      </c>
      <c r="F20" s="237">
        <v>3240</v>
      </c>
      <c r="G20" s="237">
        <v>1954.0800000000002</v>
      </c>
      <c r="H20" s="238">
        <v>1902.8571428571431</v>
      </c>
      <c r="I20" s="240"/>
      <c r="J20" s="530"/>
      <c r="K20" s="156"/>
    </row>
    <row r="21" spans="1:11" ht="43.5" x14ac:dyDescent="0.35">
      <c r="A21" s="650"/>
      <c r="B21" s="236" t="s">
        <v>286</v>
      </c>
      <c r="C21" s="237">
        <f>C18+C20</f>
        <v>2725.9500000000003</v>
      </c>
      <c r="D21" s="237">
        <f t="shared" ref="D21:F21" si="1">D18+D20</f>
        <v>4040</v>
      </c>
      <c r="E21" s="237">
        <f t="shared" si="1"/>
        <v>3223.35</v>
      </c>
      <c r="F21" s="237">
        <f t="shared" si="1"/>
        <v>3830</v>
      </c>
      <c r="G21" s="237">
        <v>2504.2400000000002</v>
      </c>
      <c r="H21" s="238">
        <v>2400</v>
      </c>
      <c r="I21" s="240"/>
      <c r="J21" s="530"/>
      <c r="K21" s="156"/>
    </row>
    <row r="22" spans="1:11" ht="57" customHeight="1" thickBot="1" x14ac:dyDescent="0.4">
      <c r="A22" s="651"/>
      <c r="B22" s="252" t="s">
        <v>287</v>
      </c>
      <c r="C22" s="242">
        <f>C21*C17</f>
        <v>81778.500000000015</v>
      </c>
      <c r="D22" s="242">
        <f t="shared" ref="D22:F22" si="2">D21*D17</f>
        <v>121200</v>
      </c>
      <c r="E22" s="242">
        <f t="shared" si="2"/>
        <v>96700.5</v>
      </c>
      <c r="F22" s="242">
        <f t="shared" si="2"/>
        <v>114900</v>
      </c>
      <c r="G22" s="242">
        <v>75127.199999999997</v>
      </c>
      <c r="H22" s="244">
        <v>72000</v>
      </c>
      <c r="I22" s="240"/>
      <c r="J22" s="530"/>
      <c r="K22" s="156"/>
    </row>
    <row r="23" spans="1:11" ht="29" x14ac:dyDescent="0.35">
      <c r="A23" s="649" t="s">
        <v>250</v>
      </c>
      <c r="B23" s="229" t="s">
        <v>140</v>
      </c>
      <c r="C23" s="230" t="s">
        <v>290</v>
      </c>
      <c r="D23" s="230" t="s">
        <v>291</v>
      </c>
      <c r="E23" s="230" t="s">
        <v>291</v>
      </c>
      <c r="F23" s="230" t="s">
        <v>291</v>
      </c>
      <c r="G23" s="230" t="s">
        <v>291</v>
      </c>
      <c r="H23" s="231" t="s">
        <v>291</v>
      </c>
      <c r="J23" s="530"/>
      <c r="K23" s="156"/>
    </row>
    <row r="24" spans="1:11" x14ac:dyDescent="0.35">
      <c r="A24" s="650"/>
      <c r="B24" s="232" t="s">
        <v>281</v>
      </c>
      <c r="C24" s="233">
        <v>30</v>
      </c>
      <c r="D24" s="233">
        <v>30</v>
      </c>
      <c r="E24" s="233">
        <v>30</v>
      </c>
      <c r="F24" s="233">
        <v>30</v>
      </c>
      <c r="G24" s="233">
        <v>30</v>
      </c>
      <c r="H24" s="235">
        <v>30</v>
      </c>
      <c r="J24" s="530"/>
      <c r="K24" s="156"/>
    </row>
    <row r="25" spans="1:11" ht="29" x14ac:dyDescent="0.35">
      <c r="A25" s="650"/>
      <c r="B25" s="236" t="s">
        <v>282</v>
      </c>
      <c r="C25" s="237">
        <v>686.7</v>
      </c>
      <c r="D25" s="237" t="s">
        <v>283</v>
      </c>
      <c r="E25" s="237">
        <v>794.65</v>
      </c>
      <c r="F25" s="237">
        <v>890</v>
      </c>
      <c r="G25" s="246">
        <v>841.80000000000007</v>
      </c>
      <c r="H25" s="253">
        <v>780</v>
      </c>
      <c r="I25" s="240"/>
      <c r="J25" s="530"/>
      <c r="K25" s="156"/>
    </row>
    <row r="26" spans="1:11" ht="29" x14ac:dyDescent="0.35">
      <c r="A26" s="650"/>
      <c r="B26" s="236" t="s">
        <v>284</v>
      </c>
      <c r="C26" s="237">
        <f>C25*C24</f>
        <v>20601</v>
      </c>
      <c r="D26" s="237" t="s">
        <v>283</v>
      </c>
      <c r="E26" s="237">
        <f>E25*E24</f>
        <v>23839.5</v>
      </c>
      <c r="F26" s="237">
        <f>F25*F24</f>
        <v>26700</v>
      </c>
      <c r="G26" s="237">
        <v>25254</v>
      </c>
      <c r="H26" s="238">
        <v>23400</v>
      </c>
      <c r="I26" s="240"/>
      <c r="J26" s="530"/>
      <c r="K26" s="156"/>
    </row>
    <row r="27" spans="1:11" ht="43.5" x14ac:dyDescent="0.35">
      <c r="A27" s="650"/>
      <c r="B27" s="236" t="s">
        <v>285</v>
      </c>
      <c r="C27" s="237">
        <v>3279.75</v>
      </c>
      <c r="D27" s="237" t="s">
        <v>283</v>
      </c>
      <c r="E27" s="237">
        <f>131+3497</f>
        <v>3628</v>
      </c>
      <c r="F27" s="237">
        <v>4340</v>
      </c>
      <c r="G27" s="237">
        <v>3010.24</v>
      </c>
      <c r="H27" s="238">
        <v>2618.5714285714284</v>
      </c>
      <c r="I27" s="240"/>
      <c r="J27" s="530"/>
      <c r="K27" s="156"/>
    </row>
    <row r="28" spans="1:11" ht="43.5" x14ac:dyDescent="0.35">
      <c r="A28" s="650"/>
      <c r="B28" s="236" t="s">
        <v>286</v>
      </c>
      <c r="C28" s="237">
        <f>C25+C27</f>
        <v>3966.45</v>
      </c>
      <c r="D28" s="237" t="s">
        <v>283</v>
      </c>
      <c r="E28" s="237">
        <f>E25+E27</f>
        <v>4422.6499999999996</v>
      </c>
      <c r="F28" s="237">
        <f>F25+F27</f>
        <v>5230</v>
      </c>
      <c r="G28" s="237">
        <v>3852.04</v>
      </c>
      <c r="H28" s="238">
        <v>3398.5714285714284</v>
      </c>
      <c r="I28" s="240"/>
      <c r="J28" s="530"/>
      <c r="K28" s="156"/>
    </row>
    <row r="29" spans="1:11" ht="35.9" customHeight="1" thickBot="1" x14ac:dyDescent="0.4">
      <c r="A29" s="651"/>
      <c r="B29" s="252" t="s">
        <v>287</v>
      </c>
      <c r="C29" s="242">
        <f>C28*C24</f>
        <v>118993.5</v>
      </c>
      <c r="D29" s="242" t="s">
        <v>283</v>
      </c>
      <c r="E29" s="242">
        <f>E28*E24</f>
        <v>132679.5</v>
      </c>
      <c r="F29" s="242">
        <f>F28*F24</f>
        <v>156900</v>
      </c>
      <c r="G29" s="242">
        <v>115561.20000000001</v>
      </c>
      <c r="H29" s="244">
        <v>101957.14285714284</v>
      </c>
      <c r="I29" s="240"/>
      <c r="J29" s="530"/>
      <c r="K29" s="156"/>
    </row>
    <row r="30" spans="1:11" ht="29" x14ac:dyDescent="0.35">
      <c r="A30" s="649" t="s">
        <v>255</v>
      </c>
      <c r="B30" s="229" t="s">
        <v>140</v>
      </c>
      <c r="C30" s="230" t="s">
        <v>292</v>
      </c>
      <c r="D30" s="230" t="s">
        <v>293</v>
      </c>
      <c r="E30" s="230" t="s">
        <v>293</v>
      </c>
      <c r="F30" s="230" t="s">
        <v>293</v>
      </c>
      <c r="G30" s="230" t="s">
        <v>293</v>
      </c>
      <c r="H30" s="231" t="s">
        <v>293</v>
      </c>
      <c r="J30" s="530"/>
      <c r="K30" s="156"/>
    </row>
    <row r="31" spans="1:11" x14ac:dyDescent="0.35">
      <c r="A31" s="650"/>
      <c r="B31" s="232" t="s">
        <v>281</v>
      </c>
      <c r="C31" s="233">
        <v>30</v>
      </c>
      <c r="D31" s="233">
        <v>30</v>
      </c>
      <c r="E31" s="233">
        <v>30</v>
      </c>
      <c r="F31" s="233">
        <v>30</v>
      </c>
      <c r="G31" s="234">
        <v>30</v>
      </c>
      <c r="H31" s="235">
        <v>30</v>
      </c>
      <c r="J31" s="530"/>
      <c r="K31" s="156"/>
    </row>
    <row r="32" spans="1:11" ht="29" x14ac:dyDescent="0.35">
      <c r="A32" s="650"/>
      <c r="B32" s="236" t="s">
        <v>282</v>
      </c>
      <c r="C32" s="237">
        <v>1096.9000000000001</v>
      </c>
      <c r="D32" s="237" t="s">
        <v>283</v>
      </c>
      <c r="E32" s="237">
        <v>1341.25</v>
      </c>
      <c r="F32" s="237">
        <v>1440</v>
      </c>
      <c r="G32" s="237">
        <v>1320.2</v>
      </c>
      <c r="H32" s="238">
        <v>1140</v>
      </c>
      <c r="I32" s="240"/>
      <c r="J32" s="530"/>
      <c r="K32" s="156"/>
    </row>
    <row r="33" spans="1:11" ht="29" x14ac:dyDescent="0.35">
      <c r="A33" s="650"/>
      <c r="B33" s="236" t="s">
        <v>284</v>
      </c>
      <c r="C33" s="237">
        <f>C32*C31</f>
        <v>32907</v>
      </c>
      <c r="D33" s="237" t="s">
        <v>283</v>
      </c>
      <c r="E33" s="237">
        <f>E32*E31</f>
        <v>40237.5</v>
      </c>
      <c r="F33" s="237">
        <f>F32*F31</f>
        <v>43200</v>
      </c>
      <c r="G33" s="237">
        <v>39606</v>
      </c>
      <c r="H33" s="238">
        <v>34200</v>
      </c>
      <c r="I33" s="240"/>
      <c r="J33" s="530"/>
      <c r="K33" s="156"/>
    </row>
    <row r="34" spans="1:11" ht="43.5" x14ac:dyDescent="0.35">
      <c r="A34" s="650"/>
      <c r="B34" s="236" t="s">
        <v>285</v>
      </c>
      <c r="C34" s="237">
        <v>4468.45</v>
      </c>
      <c r="D34" s="237" t="s">
        <v>283</v>
      </c>
      <c r="E34" s="237">
        <f>180+4577</f>
        <v>4757</v>
      </c>
      <c r="F34" s="237">
        <v>6480</v>
      </c>
      <c r="G34" s="237">
        <v>4184.16</v>
      </c>
      <c r="H34" s="238">
        <v>3694.2857142857138</v>
      </c>
      <c r="I34" s="240"/>
      <c r="J34" s="530"/>
      <c r="K34" s="156"/>
    </row>
    <row r="35" spans="1:11" ht="43.5" x14ac:dyDescent="0.35">
      <c r="A35" s="650"/>
      <c r="B35" s="236" t="s">
        <v>286</v>
      </c>
      <c r="C35" s="237">
        <f>C32+C34</f>
        <v>5565.35</v>
      </c>
      <c r="D35" s="237" t="s">
        <v>283</v>
      </c>
      <c r="E35" s="237">
        <f>E32+E34</f>
        <v>6098.25</v>
      </c>
      <c r="F35" s="237">
        <f>F32+F34</f>
        <v>7920</v>
      </c>
      <c r="G35" s="237">
        <v>5504.3600000000006</v>
      </c>
      <c r="H35" s="238">
        <v>4834.2857142857138</v>
      </c>
      <c r="I35" s="240"/>
      <c r="J35" s="530"/>
      <c r="K35" s="156"/>
    </row>
    <row r="36" spans="1:11" ht="38.9" customHeight="1" thickBot="1" x14ac:dyDescent="0.4">
      <c r="A36" s="651"/>
      <c r="B36" s="252" t="s">
        <v>287</v>
      </c>
      <c r="C36" s="242">
        <f>C35*C31</f>
        <v>166960.5</v>
      </c>
      <c r="D36" s="242" t="s">
        <v>283</v>
      </c>
      <c r="E36" s="242">
        <f>E35*E31</f>
        <v>182947.5</v>
      </c>
      <c r="F36" s="242">
        <f>F35*F31</f>
        <v>237600</v>
      </c>
      <c r="G36" s="242">
        <v>165130.80000000002</v>
      </c>
      <c r="H36" s="244">
        <v>145028.57142857142</v>
      </c>
      <c r="I36" s="240"/>
      <c r="J36" s="530"/>
      <c r="K36" s="156"/>
    </row>
    <row r="37" spans="1:11" ht="29" x14ac:dyDescent="0.35">
      <c r="A37" s="649" t="s">
        <v>260</v>
      </c>
      <c r="B37" s="229" t="s">
        <v>140</v>
      </c>
      <c r="C37" s="230" t="s">
        <v>294</v>
      </c>
      <c r="D37" s="230" t="s">
        <v>295</v>
      </c>
      <c r="E37" s="230" t="s">
        <v>295</v>
      </c>
      <c r="F37" s="230" t="s">
        <v>295</v>
      </c>
      <c r="G37" s="230" t="s">
        <v>295</v>
      </c>
      <c r="H37" s="231" t="s">
        <v>295</v>
      </c>
      <c r="J37" s="530"/>
      <c r="K37" s="156"/>
    </row>
    <row r="38" spans="1:11" x14ac:dyDescent="0.35">
      <c r="A38" s="650"/>
      <c r="B38" s="232" t="s">
        <v>281</v>
      </c>
      <c r="C38" s="233">
        <v>30</v>
      </c>
      <c r="D38" s="233">
        <v>30</v>
      </c>
      <c r="E38" s="233">
        <v>30</v>
      </c>
      <c r="F38" s="233">
        <v>30</v>
      </c>
      <c r="G38" s="234">
        <v>30</v>
      </c>
      <c r="H38" s="235">
        <v>30</v>
      </c>
      <c r="J38" s="530"/>
      <c r="K38" s="156"/>
    </row>
    <row r="39" spans="1:11" ht="29" x14ac:dyDescent="0.35">
      <c r="A39" s="650"/>
      <c r="B39" s="236" t="s">
        <v>282</v>
      </c>
      <c r="C39" s="237">
        <v>1851.5</v>
      </c>
      <c r="D39" s="237" t="s">
        <v>283</v>
      </c>
      <c r="E39" s="237">
        <v>2492</v>
      </c>
      <c r="F39" s="237">
        <v>2580</v>
      </c>
      <c r="G39" s="237">
        <v>2496.88</v>
      </c>
      <c r="H39" s="238">
        <v>2125.7142857142858</v>
      </c>
      <c r="I39" s="240"/>
      <c r="J39" s="530"/>
      <c r="K39" s="156"/>
    </row>
    <row r="40" spans="1:11" ht="29" x14ac:dyDescent="0.35">
      <c r="A40" s="650"/>
      <c r="B40" s="236" t="s">
        <v>284</v>
      </c>
      <c r="C40" s="237">
        <f>C39*C38</f>
        <v>55545</v>
      </c>
      <c r="D40" s="237" t="s">
        <v>283</v>
      </c>
      <c r="E40" s="237">
        <f>E39*E38</f>
        <v>74760</v>
      </c>
      <c r="F40" s="237">
        <f>F39*F38</f>
        <v>77400</v>
      </c>
      <c r="G40" s="237">
        <v>74906.400000000009</v>
      </c>
      <c r="H40" s="238">
        <v>63771.42857142858</v>
      </c>
      <c r="I40" s="240"/>
      <c r="J40" s="530"/>
      <c r="K40" s="156"/>
    </row>
    <row r="41" spans="1:11" ht="43.5" x14ac:dyDescent="0.35">
      <c r="A41" s="650"/>
      <c r="B41" s="236" t="s">
        <v>285</v>
      </c>
      <c r="C41" s="237">
        <v>5899.95</v>
      </c>
      <c r="D41" s="237" t="s">
        <v>283</v>
      </c>
      <c r="E41" s="237">
        <f>278+5827</f>
        <v>6105</v>
      </c>
      <c r="F41" s="237">
        <v>7650</v>
      </c>
      <c r="G41" s="237">
        <v>5963.4400000000005</v>
      </c>
      <c r="H41" s="238">
        <v>5494.2857142857138</v>
      </c>
      <c r="I41" s="240"/>
      <c r="J41" s="530"/>
      <c r="K41" s="156"/>
    </row>
    <row r="42" spans="1:11" ht="53.9" customHeight="1" x14ac:dyDescent="0.35">
      <c r="A42" s="650"/>
      <c r="B42" s="236" t="s">
        <v>286</v>
      </c>
      <c r="C42" s="237">
        <f>C39+C41</f>
        <v>7751.45</v>
      </c>
      <c r="D42" s="237" t="s">
        <v>283</v>
      </c>
      <c r="E42" s="237">
        <f>E39+E41</f>
        <v>8597</v>
      </c>
      <c r="F42" s="237">
        <f>F39+F41</f>
        <v>10230</v>
      </c>
      <c r="G42" s="237">
        <v>8460.32</v>
      </c>
      <c r="H42" s="238">
        <v>7620</v>
      </c>
      <c r="I42" s="240"/>
      <c r="J42" s="530"/>
      <c r="K42" s="156"/>
    </row>
    <row r="43" spans="1:11" ht="43.5" customHeight="1" thickBot="1" x14ac:dyDescent="0.4">
      <c r="A43" s="651"/>
      <c r="B43" s="252" t="s">
        <v>287</v>
      </c>
      <c r="C43" s="242">
        <f>C42*C38</f>
        <v>232543.5</v>
      </c>
      <c r="D43" s="242" t="s">
        <v>283</v>
      </c>
      <c r="E43" s="242">
        <f>E42*E38</f>
        <v>257910</v>
      </c>
      <c r="F43" s="242">
        <f>F42*F38</f>
        <v>306900</v>
      </c>
      <c r="G43" s="242">
        <v>253809.6</v>
      </c>
      <c r="H43" s="244">
        <v>228600</v>
      </c>
      <c r="I43" s="240"/>
      <c r="J43" s="531"/>
      <c r="K43" s="156"/>
    </row>
    <row r="71" spans="11:11" x14ac:dyDescent="0.35">
      <c r="K71"/>
    </row>
    <row r="72" spans="11:11" x14ac:dyDescent="0.35">
      <c r="K72"/>
    </row>
    <row r="73" spans="11:11" x14ac:dyDescent="0.35">
      <c r="K73"/>
    </row>
    <row r="74" spans="11:11" x14ac:dyDescent="0.35">
      <c r="K74"/>
    </row>
    <row r="75" spans="11:11" x14ac:dyDescent="0.35">
      <c r="K75"/>
    </row>
    <row r="76" spans="11:11" x14ac:dyDescent="0.35">
      <c r="K76"/>
    </row>
    <row r="77" spans="11:11" x14ac:dyDescent="0.35">
      <c r="K77"/>
    </row>
    <row r="78" spans="11:11" x14ac:dyDescent="0.35">
      <c r="K78"/>
    </row>
  </sheetData>
  <mergeCells count="12">
    <mergeCell ref="J6:J43"/>
    <mergeCell ref="A9:A15"/>
    <mergeCell ref="A16:A22"/>
    <mergeCell ref="A23:A29"/>
    <mergeCell ref="A30:A36"/>
    <mergeCell ref="A37:A43"/>
    <mergeCell ref="A6:B7"/>
    <mergeCell ref="A2:B2"/>
    <mergeCell ref="A3:B3"/>
    <mergeCell ref="H3:I3"/>
    <mergeCell ref="A4:B4"/>
    <mergeCell ref="A5:B5"/>
  </mergeCells>
  <conditionalFormatting sqref="C15:H15">
    <cfRule type="top10" dxfId="11" priority="2259" bottom="1" rank="1"/>
    <cfRule type="top10" dxfId="10" priority="2260" bottom="1" rank="2"/>
  </conditionalFormatting>
  <conditionalFormatting sqref="C22:H22">
    <cfRule type="top10" dxfId="9" priority="2261" bottom="1" rank="1"/>
    <cfRule type="top10" dxfId="8" priority="2262" bottom="1" rank="2"/>
  </conditionalFormatting>
  <conditionalFormatting sqref="C29:H29">
    <cfRule type="top10" dxfId="7" priority="2263" bottom="1" rank="1"/>
    <cfRule type="top10" dxfId="6" priority="2264" bottom="1" rank="2"/>
  </conditionalFormatting>
  <conditionalFormatting sqref="C36:H36">
    <cfRule type="top10" dxfId="5" priority="2265" bottom="1" rank="1"/>
    <cfRule type="top10" dxfId="4" priority="2266" bottom="1" rank="2"/>
  </conditionalFormatting>
  <conditionalFormatting sqref="C43:H43">
    <cfRule type="top10" dxfId="3" priority="2267" bottom="1" rank="1"/>
    <cfRule type="top10" dxfId="2" priority="2268" bottom="1" rank="2"/>
  </conditionalFormatting>
  <conditionalFormatting sqref="I11:I15 I18:I22 I25:I29 I32:I36 I39:I43">
    <cfRule type="expression" dxfId="1" priority="2269">
      <formula>RANK(I11,$C11:$I11,1)=1</formula>
    </cfRule>
    <cfRule type="expression" dxfId="0" priority="2270">
      <formula>RANK(I11,$C11:$I11,1)=2</formula>
    </cfRule>
  </conditionalFormatting>
  <printOptions horizontalCentered="1" verticalCentered="1"/>
  <pageMargins left="0" right="0" top="0" bottom="0" header="0" footer="0"/>
  <pageSetup paperSize="9" scale="46" orientation="portrait" r:id="rId1"/>
  <headerFooter>
    <oddFooter>&amp;L_x000D_&amp;1#&amp;"Calibri"&amp;8&amp;K008000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4DA39-D8EA-4244-B4E8-4A8DC5D56908}">
  <sheetPr codeName="Sheet2">
    <pageSetUpPr fitToPage="1"/>
  </sheetPr>
  <dimension ref="A1:G10"/>
  <sheetViews>
    <sheetView zoomScale="75" zoomScaleNormal="75" zoomScaleSheetLayoutView="62" workbookViewId="0">
      <selection activeCell="A9" sqref="A9:E9"/>
    </sheetView>
  </sheetViews>
  <sheetFormatPr defaultColWidth="9.453125" defaultRowHeight="14" x14ac:dyDescent="0.3"/>
  <cols>
    <col min="1" max="3" width="30.54296875" style="2" customWidth="1"/>
    <col min="4" max="4" width="9.453125" style="2"/>
    <col min="5" max="5" width="32.453125" style="2" customWidth="1"/>
    <col min="6" max="16384" width="9.453125" style="2"/>
  </cols>
  <sheetData>
    <row r="1" spans="1:7" ht="33" customHeight="1" x14ac:dyDescent="0.3">
      <c r="A1" s="474" t="s">
        <v>2</v>
      </c>
      <c r="B1" s="475"/>
      <c r="C1" s="475"/>
      <c r="D1" s="476"/>
      <c r="E1" s="476"/>
    </row>
    <row r="3" spans="1:7" ht="23" x14ac:dyDescent="0.3">
      <c r="A3" s="477" t="s">
        <v>3</v>
      </c>
      <c r="B3" s="476"/>
      <c r="C3" s="476"/>
      <c r="D3" s="476"/>
      <c r="E3" s="476"/>
    </row>
    <row r="4" spans="1:7" s="3" customFormat="1" ht="16" thickBot="1" x14ac:dyDescent="0.4">
      <c r="A4" s="478" t="s">
        <v>4</v>
      </c>
      <c r="B4" s="478"/>
      <c r="C4" s="478"/>
      <c r="F4" s="4"/>
    </row>
    <row r="5" spans="1:7" s="3" customFormat="1" ht="57.75" customHeight="1" x14ac:dyDescent="0.35">
      <c r="A5" s="479" t="s">
        <v>5</v>
      </c>
      <c r="B5" s="480"/>
      <c r="C5" s="480"/>
      <c r="D5" s="480"/>
      <c r="E5" s="481"/>
    </row>
    <row r="6" spans="1:7" s="3" customFormat="1" ht="45" customHeight="1" x14ac:dyDescent="0.35">
      <c r="A6" s="482"/>
      <c r="B6" s="483"/>
      <c r="C6" s="483"/>
      <c r="D6" s="483"/>
      <c r="E6" s="484"/>
      <c r="G6" s="5"/>
    </row>
    <row r="7" spans="1:7" s="3" customFormat="1" ht="72.75" customHeight="1" x14ac:dyDescent="0.35">
      <c r="A7" s="482"/>
      <c r="B7" s="483"/>
      <c r="C7" s="483"/>
      <c r="D7" s="483"/>
      <c r="E7" s="484"/>
    </row>
    <row r="8" spans="1:7" s="6" customFormat="1" ht="38" customHeight="1" x14ac:dyDescent="0.35">
      <c r="A8" s="482"/>
      <c r="B8" s="483"/>
      <c r="C8" s="483"/>
      <c r="D8" s="483"/>
      <c r="E8" s="484"/>
    </row>
    <row r="9" spans="1:7" s="3" customFormat="1" ht="20.25" customHeight="1" thickBot="1" x14ac:dyDescent="0.4">
      <c r="A9" s="485" t="s">
        <v>431</v>
      </c>
      <c r="B9" s="486"/>
      <c r="C9" s="486"/>
      <c r="D9" s="486"/>
      <c r="E9" s="487"/>
    </row>
    <row r="10" spans="1:7" s="3" customFormat="1" ht="15.5" x14ac:dyDescent="0.35"/>
  </sheetData>
  <mergeCells count="5">
    <mergeCell ref="A1:E1"/>
    <mergeCell ref="A3:E3"/>
    <mergeCell ref="A4:C4"/>
    <mergeCell ref="A5:E8"/>
    <mergeCell ref="A9:E9"/>
  </mergeCells>
  <printOptions horizontalCentered="1" verticalCentered="1"/>
  <pageMargins left="0.25" right="0.25" top="0.25" bottom="0.45" header="0.25" footer="0.25"/>
  <pageSetup paperSize="9" fitToHeight="0" orientation="landscape" r:id="rId1"/>
  <headerFooter alignWithMargins="0">
    <oddFooter>&amp;L_x000D_&amp;1#&amp;"Calibri"&amp;8&amp;K008000 Public&amp;RPg&amp;P/&amp;N</oddFooter>
  </headerFooter>
  <rowBreaks count="1" manualBreakCount="1">
    <brk id="9" max="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7475E-56C0-4444-8070-470BFC6B4FCA}">
  <sheetPr codeName="Sheet3"/>
  <dimension ref="A1:C14"/>
  <sheetViews>
    <sheetView showGridLines="0" tabSelected="1" zoomScale="75" zoomScaleNormal="75" workbookViewId="0">
      <selection activeCell="O7" sqref="O7"/>
    </sheetView>
  </sheetViews>
  <sheetFormatPr defaultColWidth="9.453125" defaultRowHeight="14.5" x14ac:dyDescent="0.35"/>
  <cols>
    <col min="1" max="1" width="17.54296875" style="7" customWidth="1"/>
    <col min="2" max="2" width="25" style="7" bestFit="1" customWidth="1"/>
    <col min="3" max="3" width="121.90625" style="7" customWidth="1"/>
    <col min="4" max="16384" width="9.453125" style="7"/>
  </cols>
  <sheetData>
    <row r="1" spans="1:3" ht="15" thickBot="1" x14ac:dyDescent="0.4">
      <c r="A1" s="488" t="s">
        <v>345</v>
      </c>
      <c r="B1" s="488"/>
      <c r="C1" s="488"/>
    </row>
    <row r="2" spans="1:3" x14ac:dyDescent="0.35">
      <c r="A2" s="255" t="s">
        <v>296</v>
      </c>
      <c r="B2" s="255" t="s">
        <v>297</v>
      </c>
      <c r="C2" s="256" t="s">
        <v>298</v>
      </c>
    </row>
    <row r="3" spans="1:3" ht="127" customHeight="1" x14ac:dyDescent="0.35">
      <c r="A3" s="257" t="s">
        <v>8</v>
      </c>
      <c r="B3" s="396" t="s">
        <v>357</v>
      </c>
      <c r="C3" s="258" t="s">
        <v>399</v>
      </c>
    </row>
    <row r="4" spans="1:3" ht="145" x14ac:dyDescent="0.35">
      <c r="A4" s="257" t="s">
        <v>8</v>
      </c>
      <c r="B4" s="396" t="s">
        <v>358</v>
      </c>
      <c r="C4" s="258" t="s">
        <v>400</v>
      </c>
    </row>
    <row r="5" spans="1:3" ht="130.5" customHeight="1" x14ac:dyDescent="0.35">
      <c r="A5" s="257" t="s">
        <v>8</v>
      </c>
      <c r="B5" s="21" t="s">
        <v>16</v>
      </c>
      <c r="C5" s="258" t="s">
        <v>299</v>
      </c>
    </row>
    <row r="6" spans="1:3" ht="145" x14ac:dyDescent="0.35">
      <c r="A6" s="257" t="s">
        <v>10</v>
      </c>
      <c r="B6" s="21" t="s">
        <v>344</v>
      </c>
      <c r="C6" s="260" t="s">
        <v>401</v>
      </c>
    </row>
    <row r="7" spans="1:3" ht="145" x14ac:dyDescent="0.35">
      <c r="A7" s="257" t="s">
        <v>10</v>
      </c>
      <c r="B7" s="259" t="s">
        <v>19</v>
      </c>
      <c r="C7" s="281" t="s">
        <v>402</v>
      </c>
    </row>
    <row r="8" spans="1:3" ht="116" x14ac:dyDescent="0.35">
      <c r="A8" s="261" t="s">
        <v>12</v>
      </c>
      <c r="B8" s="262" t="s">
        <v>21</v>
      </c>
      <c r="C8" s="263" t="s">
        <v>403</v>
      </c>
    </row>
    <row r="9" spans="1:3" ht="87" x14ac:dyDescent="0.35">
      <c r="A9" s="261" t="s">
        <v>13</v>
      </c>
      <c r="B9" s="259" t="s">
        <v>212</v>
      </c>
      <c r="C9" s="263" t="s">
        <v>404</v>
      </c>
    </row>
    <row r="10" spans="1:3" ht="106.5" customHeight="1" x14ac:dyDescent="0.35">
      <c r="A10" s="261" t="s">
        <v>13</v>
      </c>
      <c r="B10" s="264" t="s">
        <v>22</v>
      </c>
      <c r="C10" s="263" t="s">
        <v>300</v>
      </c>
    </row>
    <row r="11" spans="1:3" ht="58" x14ac:dyDescent="0.35">
      <c r="A11" s="261" t="s">
        <v>11</v>
      </c>
      <c r="B11" s="264" t="s">
        <v>20</v>
      </c>
      <c r="C11" s="263" t="s">
        <v>405</v>
      </c>
    </row>
    <row r="12" spans="1:3" ht="116" x14ac:dyDescent="0.35">
      <c r="A12" s="261" t="s">
        <v>14</v>
      </c>
      <c r="B12" s="264" t="s">
        <v>24</v>
      </c>
      <c r="C12" s="263" t="s">
        <v>406</v>
      </c>
    </row>
    <row r="13" spans="1:3" ht="52.5" customHeight="1" x14ac:dyDescent="0.35">
      <c r="A13" s="257" t="s">
        <v>9</v>
      </c>
      <c r="B13" s="259" t="s">
        <v>17</v>
      </c>
      <c r="C13" s="260" t="s">
        <v>301</v>
      </c>
    </row>
    <row r="14" spans="1:3" ht="58" hidden="1" x14ac:dyDescent="0.35">
      <c r="A14" s="257" t="s">
        <v>9</v>
      </c>
      <c r="B14" s="259" t="s">
        <v>18</v>
      </c>
      <c r="C14" s="260" t="s">
        <v>302</v>
      </c>
    </row>
  </sheetData>
  <sheetProtection algorithmName="SHA-512" hashValue="svv+gWizf010AIlnedkEVtwhv7kI/yV9Sg8IeQozJU7krNVAmNP3aiauDBpa02d7dbZ2+JR+DsLFO1+bU9EC0Q==" saltValue="lU5Hi2pRVV0lRmohfofMOA==" spinCount="100000" sheet="1" objects="1" scenarios="1"/>
  <mergeCells count="1">
    <mergeCell ref="A1:C1"/>
  </mergeCells>
  <pageMargins left="0.7" right="0.7" top="0.75" bottom="0.75" header="0.3" footer="0.3"/>
  <pageSetup paperSize="9" scale="75" orientation="portrait" r:id="rId1"/>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24FD-116D-4EFB-A18F-3C895CF3A9A0}">
  <sheetPr codeName="Sheet4"/>
  <dimension ref="A1:M29"/>
  <sheetViews>
    <sheetView showGridLines="0" zoomScale="75" zoomScaleNormal="75" workbookViewId="0">
      <pane xSplit="1" ySplit="3" topLeftCell="B4" activePane="bottomRight" state="frozen"/>
      <selection pane="topRight" activeCell="B1" sqref="B1"/>
      <selection pane="bottomLeft" activeCell="A4" sqref="A4"/>
      <selection pane="bottomRight" activeCell="P11" sqref="P11"/>
    </sheetView>
  </sheetViews>
  <sheetFormatPr defaultColWidth="9.453125" defaultRowHeight="14.5" x14ac:dyDescent="0.35"/>
  <cols>
    <col min="1" max="1" width="17.54296875" style="7" customWidth="1"/>
    <col min="2" max="2" width="25" style="7" bestFit="1" customWidth="1"/>
    <col min="3" max="4" width="31.81640625" style="7" customWidth="1"/>
    <col min="5" max="5" width="28.81640625" style="7" customWidth="1"/>
    <col min="6" max="6" width="28.81640625" style="7" hidden="1" customWidth="1"/>
    <col min="7" max="7" width="28.81640625" style="7" customWidth="1"/>
    <col min="8" max="8" width="20.453125" style="7" bestFit="1" customWidth="1"/>
    <col min="9" max="9" width="21.81640625" style="7" bestFit="1" customWidth="1"/>
    <col min="10" max="10" width="18.1796875" style="7" customWidth="1"/>
    <col min="11" max="11" width="25.54296875" style="7" customWidth="1"/>
    <col min="12" max="12" width="24.453125" style="7" bestFit="1" customWidth="1"/>
    <col min="13" max="13" width="20.81640625" style="7" bestFit="1" customWidth="1"/>
    <col min="14" max="16384" width="9.453125" style="7"/>
  </cols>
  <sheetData>
    <row r="1" spans="1:13" ht="64.5" customHeight="1" x14ac:dyDescent="0.35">
      <c r="A1" s="489" t="s">
        <v>6</v>
      </c>
      <c r="B1" s="489"/>
      <c r="C1" s="489"/>
      <c r="D1" s="489"/>
      <c r="E1" s="489"/>
      <c r="F1" s="489"/>
      <c r="G1" s="489"/>
      <c r="H1" s="489"/>
      <c r="I1" s="489"/>
      <c r="J1" s="489"/>
      <c r="K1" s="489"/>
      <c r="L1" s="489"/>
      <c r="M1" s="489"/>
    </row>
    <row r="2" spans="1:13" ht="14.5" customHeight="1" x14ac:dyDescent="0.35">
      <c r="A2" s="8" t="s">
        <v>7</v>
      </c>
      <c r="B2" s="9" t="s">
        <v>8</v>
      </c>
      <c r="C2" s="9" t="s">
        <v>8</v>
      </c>
      <c r="D2" s="9" t="s">
        <v>8</v>
      </c>
      <c r="E2" s="9" t="s">
        <v>9</v>
      </c>
      <c r="F2" s="9" t="s">
        <v>9</v>
      </c>
      <c r="G2" s="10" t="s">
        <v>10</v>
      </c>
      <c r="H2" s="9" t="s">
        <v>10</v>
      </c>
      <c r="I2" s="9" t="s">
        <v>11</v>
      </c>
      <c r="J2" s="10" t="s">
        <v>12</v>
      </c>
      <c r="K2" s="9" t="s">
        <v>13</v>
      </c>
      <c r="L2" s="9" t="s">
        <v>13</v>
      </c>
      <c r="M2" s="9" t="s">
        <v>14</v>
      </c>
    </row>
    <row r="3" spans="1:13" ht="43.5" x14ac:dyDescent="0.35">
      <c r="A3" s="8" t="s">
        <v>15</v>
      </c>
      <c r="B3" s="8" t="s">
        <v>16</v>
      </c>
      <c r="C3" s="8" t="s">
        <v>357</v>
      </c>
      <c r="D3" s="8" t="s">
        <v>358</v>
      </c>
      <c r="E3" s="9" t="s">
        <v>17</v>
      </c>
      <c r="F3" s="11" t="s">
        <v>18</v>
      </c>
      <c r="G3" s="12" t="s">
        <v>356</v>
      </c>
      <c r="H3" s="9" t="s">
        <v>19</v>
      </c>
      <c r="I3" s="9" t="s">
        <v>20</v>
      </c>
      <c r="J3" s="12" t="s">
        <v>21</v>
      </c>
      <c r="K3" s="9" t="s">
        <v>22</v>
      </c>
      <c r="L3" s="9" t="s">
        <v>23</v>
      </c>
      <c r="M3" s="9" t="s">
        <v>24</v>
      </c>
    </row>
    <row r="4" spans="1:13" x14ac:dyDescent="0.35">
      <c r="A4" s="13" t="s">
        <v>25</v>
      </c>
      <c r="B4" s="14" t="s">
        <v>26</v>
      </c>
      <c r="C4" s="15" t="s">
        <v>27</v>
      </c>
      <c r="D4" s="15" t="s">
        <v>27</v>
      </c>
      <c r="E4" s="15" t="s">
        <v>27</v>
      </c>
      <c r="F4" s="15" t="s">
        <v>27</v>
      </c>
      <c r="G4" s="17" t="s">
        <v>346</v>
      </c>
      <c r="H4" s="15" t="s">
        <v>27</v>
      </c>
      <c r="I4" s="15" t="s">
        <v>27</v>
      </c>
      <c r="J4" s="15" t="s">
        <v>27</v>
      </c>
      <c r="K4" s="15" t="s">
        <v>27</v>
      </c>
      <c r="L4" s="15" t="s">
        <v>27</v>
      </c>
      <c r="M4" s="15" t="s">
        <v>27</v>
      </c>
    </row>
    <row r="5" spans="1:13" ht="29" x14ac:dyDescent="0.35">
      <c r="A5" s="13" t="s">
        <v>28</v>
      </c>
      <c r="B5" s="14" t="s">
        <v>29</v>
      </c>
      <c r="C5" s="16" t="s">
        <v>31</v>
      </c>
      <c r="D5" s="16" t="s">
        <v>31</v>
      </c>
      <c r="E5" s="17" t="s">
        <v>32</v>
      </c>
      <c r="F5" s="18" t="s">
        <v>33</v>
      </c>
      <c r="G5" s="18" t="s">
        <v>347</v>
      </c>
      <c r="H5" s="17" t="s">
        <v>30</v>
      </c>
      <c r="I5" s="17" t="s">
        <v>34</v>
      </c>
      <c r="J5" s="17" t="s">
        <v>30</v>
      </c>
      <c r="K5" s="17" t="s">
        <v>35</v>
      </c>
      <c r="L5" s="17" t="s">
        <v>36</v>
      </c>
      <c r="M5" s="17" t="s">
        <v>33</v>
      </c>
    </row>
    <row r="6" spans="1:13" ht="87" x14ac:dyDescent="0.35">
      <c r="A6" s="13" t="s">
        <v>37</v>
      </c>
      <c r="B6" s="15" t="s">
        <v>38</v>
      </c>
      <c r="C6" s="19" t="s">
        <v>39</v>
      </c>
      <c r="D6" s="397" t="s">
        <v>386</v>
      </c>
      <c r="E6" s="19" t="s">
        <v>40</v>
      </c>
      <c r="F6" s="15" t="s">
        <v>38</v>
      </c>
      <c r="G6" s="17" t="s">
        <v>348</v>
      </c>
      <c r="H6" s="19" t="s">
        <v>41</v>
      </c>
      <c r="I6" s="19" t="s">
        <v>42</v>
      </c>
      <c r="J6" s="14" t="s">
        <v>43</v>
      </c>
      <c r="K6" s="15" t="s">
        <v>44</v>
      </c>
      <c r="L6" s="20" t="s">
        <v>45</v>
      </c>
      <c r="M6" s="15" t="s">
        <v>46</v>
      </c>
    </row>
    <row r="7" spans="1:13" ht="58" x14ac:dyDescent="0.35">
      <c r="A7" s="13" t="s">
        <v>47</v>
      </c>
      <c r="B7" s="21" t="s">
        <v>48</v>
      </c>
      <c r="C7" s="22" t="s">
        <v>49</v>
      </c>
      <c r="D7" s="22" t="s">
        <v>38</v>
      </c>
      <c r="E7" s="19" t="s">
        <v>50</v>
      </c>
      <c r="F7" s="19" t="s">
        <v>51</v>
      </c>
      <c r="G7" s="20" t="s">
        <v>38</v>
      </c>
      <c r="H7" s="19" t="s">
        <v>52</v>
      </c>
      <c r="I7" s="19" t="s">
        <v>53</v>
      </c>
      <c r="J7" s="23" t="s">
        <v>54</v>
      </c>
      <c r="K7" s="24" t="s">
        <v>55</v>
      </c>
      <c r="L7" s="24" t="s">
        <v>56</v>
      </c>
      <c r="M7" s="24" t="s">
        <v>57</v>
      </c>
    </row>
    <row r="8" spans="1:13" ht="43.5" x14ac:dyDescent="0.35">
      <c r="A8" s="13" t="s">
        <v>58</v>
      </c>
      <c r="B8" s="25">
        <v>150000</v>
      </c>
      <c r="C8" s="26" t="s">
        <v>59</v>
      </c>
      <c r="D8" s="26" t="s">
        <v>59</v>
      </c>
      <c r="E8" s="27">
        <v>401000</v>
      </c>
      <c r="F8" s="28">
        <v>50000</v>
      </c>
      <c r="G8" s="273">
        <v>500000</v>
      </c>
      <c r="H8" s="27">
        <v>200000</v>
      </c>
      <c r="I8" s="27">
        <v>401000</v>
      </c>
      <c r="J8" s="26">
        <v>75000</v>
      </c>
      <c r="K8" s="23" t="s">
        <v>60</v>
      </c>
      <c r="L8" s="27">
        <v>500000</v>
      </c>
      <c r="M8" s="26" t="s">
        <v>59</v>
      </c>
    </row>
    <row r="9" spans="1:13" ht="29" x14ac:dyDescent="0.35">
      <c r="A9" s="13" t="s">
        <v>61</v>
      </c>
      <c r="B9" s="25">
        <v>500000</v>
      </c>
      <c r="C9" s="26" t="s">
        <v>359</v>
      </c>
      <c r="D9" s="26" t="s">
        <v>359</v>
      </c>
      <c r="E9" s="29" t="s">
        <v>62</v>
      </c>
      <c r="F9" s="29" t="s">
        <v>63</v>
      </c>
      <c r="G9" s="29" t="s">
        <v>62</v>
      </c>
      <c r="H9" s="29" t="s">
        <v>62</v>
      </c>
      <c r="I9" s="29" t="s">
        <v>62</v>
      </c>
      <c r="J9" s="27">
        <v>20000000</v>
      </c>
      <c r="K9" s="27">
        <v>499999</v>
      </c>
      <c r="L9" s="15" t="s">
        <v>64</v>
      </c>
      <c r="M9" s="15" t="s">
        <v>65</v>
      </c>
    </row>
    <row r="10" spans="1:13" ht="249.5" customHeight="1" x14ac:dyDescent="0.35">
      <c r="A10" s="13" t="s">
        <v>66</v>
      </c>
      <c r="B10" s="14" t="s">
        <v>67</v>
      </c>
      <c r="C10" s="14" t="s">
        <v>68</v>
      </c>
      <c r="D10" s="14" t="s">
        <v>382</v>
      </c>
      <c r="E10" s="30" t="s">
        <v>69</v>
      </c>
      <c r="F10" s="30" t="s">
        <v>70</v>
      </c>
      <c r="G10" s="30" t="s">
        <v>349</v>
      </c>
      <c r="H10" s="30" t="s">
        <v>71</v>
      </c>
      <c r="I10" s="30" t="s">
        <v>72</v>
      </c>
      <c r="J10" s="14" t="s">
        <v>73</v>
      </c>
      <c r="K10" s="14" t="s">
        <v>74</v>
      </c>
      <c r="L10" s="14" t="s">
        <v>75</v>
      </c>
      <c r="M10" s="30" t="s">
        <v>76</v>
      </c>
    </row>
    <row r="11" spans="1:13" x14ac:dyDescent="0.35">
      <c r="A11" s="13" t="s">
        <v>77</v>
      </c>
      <c r="B11" s="14" t="s">
        <v>78</v>
      </c>
      <c r="C11" s="18" t="s">
        <v>79</v>
      </c>
      <c r="D11" s="18" t="s">
        <v>79</v>
      </c>
      <c r="E11" s="17" t="s">
        <v>78</v>
      </c>
      <c r="F11" s="17" t="s">
        <v>78</v>
      </c>
      <c r="G11" s="17" t="s">
        <v>78</v>
      </c>
      <c r="H11" s="20" t="s">
        <v>78</v>
      </c>
      <c r="I11" s="20" t="s">
        <v>78</v>
      </c>
      <c r="J11" s="20" t="s">
        <v>78</v>
      </c>
      <c r="K11" s="20" t="s">
        <v>78</v>
      </c>
      <c r="L11" s="20" t="s">
        <v>78</v>
      </c>
      <c r="M11" s="18" t="s">
        <v>80</v>
      </c>
    </row>
    <row r="12" spans="1:13" ht="29" x14ac:dyDescent="0.35">
      <c r="A12" s="13" t="s">
        <v>81</v>
      </c>
      <c r="B12" s="20" t="s">
        <v>38</v>
      </c>
      <c r="C12" s="17" t="s">
        <v>82</v>
      </c>
      <c r="D12" s="17" t="s">
        <v>82</v>
      </c>
      <c r="E12" s="20" t="s">
        <v>38</v>
      </c>
      <c r="F12" s="20" t="s">
        <v>82</v>
      </c>
      <c r="G12" s="20" t="s">
        <v>38</v>
      </c>
      <c r="H12" s="17" t="s">
        <v>82</v>
      </c>
      <c r="I12" s="17" t="s">
        <v>83</v>
      </c>
      <c r="J12" s="20" t="s">
        <v>82</v>
      </c>
      <c r="K12" s="20" t="s">
        <v>38</v>
      </c>
      <c r="L12" s="20" t="s">
        <v>38</v>
      </c>
      <c r="M12" s="20" t="s">
        <v>84</v>
      </c>
    </row>
    <row r="13" spans="1:13" ht="362.5" x14ac:dyDescent="0.35">
      <c r="A13" s="13" t="s">
        <v>85</v>
      </c>
      <c r="B13" s="20" t="s">
        <v>38</v>
      </c>
      <c r="C13" s="23" t="s">
        <v>86</v>
      </c>
      <c r="D13" s="23" t="s">
        <v>86</v>
      </c>
      <c r="E13" s="20" t="s">
        <v>38</v>
      </c>
      <c r="F13" s="14" t="s">
        <v>87</v>
      </c>
      <c r="G13" s="20" t="s">
        <v>38</v>
      </c>
      <c r="H13" s="20" t="s">
        <v>38</v>
      </c>
      <c r="I13" s="14" t="s">
        <v>88</v>
      </c>
      <c r="J13" s="20" t="s">
        <v>38</v>
      </c>
      <c r="K13" s="20" t="s">
        <v>38</v>
      </c>
      <c r="L13" s="20" t="s">
        <v>38</v>
      </c>
      <c r="M13" s="31" t="s">
        <v>89</v>
      </c>
    </row>
    <row r="14" spans="1:13" ht="101.5" x14ac:dyDescent="0.35">
      <c r="A14" s="32" t="s">
        <v>90</v>
      </c>
      <c r="B14" s="30" t="s">
        <v>91</v>
      </c>
      <c r="C14" s="30" t="s">
        <v>91</v>
      </c>
      <c r="D14" s="30" t="s">
        <v>91</v>
      </c>
      <c r="E14" s="14" t="s">
        <v>92</v>
      </c>
      <c r="F14" s="20" t="s">
        <v>91</v>
      </c>
      <c r="G14" s="30" t="s">
        <v>91</v>
      </c>
      <c r="H14" s="20" t="s">
        <v>91</v>
      </c>
      <c r="I14" s="14" t="s">
        <v>93</v>
      </c>
      <c r="J14" s="14" t="s">
        <v>93</v>
      </c>
      <c r="K14" s="23" t="s">
        <v>94</v>
      </c>
      <c r="L14" s="33" t="s">
        <v>95</v>
      </c>
      <c r="M14" s="34" t="s">
        <v>93</v>
      </c>
    </row>
    <row r="15" spans="1:13" ht="87" x14ac:dyDescent="0.35">
      <c r="A15" s="32" t="s">
        <v>96</v>
      </c>
      <c r="B15" s="30" t="s">
        <v>97</v>
      </c>
      <c r="C15" s="30" t="s">
        <v>97</v>
      </c>
      <c r="D15" s="30" t="s">
        <v>97</v>
      </c>
      <c r="E15" s="30" t="s">
        <v>97</v>
      </c>
      <c r="F15" s="30" t="s">
        <v>98</v>
      </c>
      <c r="G15" s="30" t="s">
        <v>97</v>
      </c>
      <c r="H15" s="14" t="s">
        <v>99</v>
      </c>
      <c r="I15" s="14" t="s">
        <v>99</v>
      </c>
      <c r="J15" s="14" t="s">
        <v>100</v>
      </c>
      <c r="K15" s="35" t="s">
        <v>101</v>
      </c>
      <c r="L15" s="14" t="s">
        <v>102</v>
      </c>
      <c r="M15" s="34" t="s">
        <v>100</v>
      </c>
    </row>
    <row r="16" spans="1:13" x14ac:dyDescent="0.35">
      <c r="A16" s="32" t="s">
        <v>103</v>
      </c>
      <c r="B16" s="30" t="s">
        <v>104</v>
      </c>
      <c r="C16" s="23" t="s">
        <v>105</v>
      </c>
      <c r="D16" s="23" t="s">
        <v>105</v>
      </c>
      <c r="E16" s="30" t="s">
        <v>104</v>
      </c>
      <c r="F16" s="30" t="s">
        <v>104</v>
      </c>
      <c r="G16" s="30" t="s">
        <v>104</v>
      </c>
      <c r="H16" s="30" t="s">
        <v>104</v>
      </c>
      <c r="I16" s="30" t="s">
        <v>104</v>
      </c>
      <c r="J16" s="30" t="s">
        <v>104</v>
      </c>
      <c r="K16" s="30" t="s">
        <v>104</v>
      </c>
      <c r="L16" s="30" t="s">
        <v>104</v>
      </c>
      <c r="M16" s="30" t="s">
        <v>104</v>
      </c>
    </row>
    <row r="17" spans="1:13" ht="43.5" x14ac:dyDescent="0.35">
      <c r="A17" s="32" t="s">
        <v>106</v>
      </c>
      <c r="B17" s="14" t="s">
        <v>107</v>
      </c>
      <c r="C17" s="15" t="s">
        <v>38</v>
      </c>
      <c r="D17" s="15" t="s">
        <v>38</v>
      </c>
      <c r="E17" s="15" t="s">
        <v>38</v>
      </c>
      <c r="F17" s="15" t="s">
        <v>38</v>
      </c>
      <c r="G17" s="15" t="s">
        <v>38</v>
      </c>
      <c r="H17" s="15" t="s">
        <v>38</v>
      </c>
      <c r="I17" s="15" t="s">
        <v>38</v>
      </c>
      <c r="J17" s="15" t="s">
        <v>38</v>
      </c>
      <c r="K17" s="15" t="s">
        <v>38</v>
      </c>
      <c r="L17" s="15" t="s">
        <v>38</v>
      </c>
      <c r="M17" s="15" t="s">
        <v>38</v>
      </c>
    </row>
    <row r="18" spans="1:13" ht="333.65" customHeight="1" x14ac:dyDescent="0.35">
      <c r="A18" s="13" t="s">
        <v>108</v>
      </c>
      <c r="B18" s="36" t="s">
        <v>109</v>
      </c>
      <c r="C18" s="31" t="s">
        <v>110</v>
      </c>
      <c r="D18" s="31" t="s">
        <v>383</v>
      </c>
      <c r="E18" s="37" t="s">
        <v>111</v>
      </c>
      <c r="F18" s="37" t="s">
        <v>112</v>
      </c>
      <c r="G18" s="38" t="s">
        <v>350</v>
      </c>
      <c r="H18" s="31" t="s">
        <v>113</v>
      </c>
      <c r="I18" s="31" t="s">
        <v>114</v>
      </c>
      <c r="J18" s="38" t="s">
        <v>115</v>
      </c>
      <c r="K18" s="37" t="s">
        <v>111</v>
      </c>
      <c r="L18" s="37" t="s">
        <v>111</v>
      </c>
      <c r="M18" s="38" t="s">
        <v>116</v>
      </c>
    </row>
    <row r="19" spans="1:13" ht="246.5" x14ac:dyDescent="0.35">
      <c r="A19" s="13" t="s">
        <v>117</v>
      </c>
      <c r="B19" s="36" t="s">
        <v>118</v>
      </c>
      <c r="C19" s="39" t="s">
        <v>119</v>
      </c>
      <c r="D19" s="39" t="s">
        <v>360</v>
      </c>
      <c r="E19" s="37" t="s">
        <v>120</v>
      </c>
      <c r="F19" s="37" t="s">
        <v>121</v>
      </c>
      <c r="G19" s="40" t="s">
        <v>351</v>
      </c>
      <c r="H19" s="37" t="s">
        <v>122</v>
      </c>
      <c r="I19" s="40" t="s">
        <v>123</v>
      </c>
      <c r="J19" s="40" t="s">
        <v>124</v>
      </c>
      <c r="K19" s="37" t="s">
        <v>125</v>
      </c>
      <c r="L19" s="37" t="s">
        <v>313</v>
      </c>
      <c r="M19" s="37" t="s">
        <v>126</v>
      </c>
    </row>
    <row r="20" spans="1:13" x14ac:dyDescent="0.35">
      <c r="A20" s="41"/>
      <c r="B20" s="41"/>
      <c r="C20" s="42"/>
      <c r="D20" s="42"/>
      <c r="E20" s="42"/>
      <c r="F20" s="42"/>
      <c r="G20" s="42"/>
      <c r="H20" s="42"/>
      <c r="I20" s="42"/>
      <c r="J20" s="42"/>
      <c r="K20" s="42"/>
      <c r="L20" s="42"/>
      <c r="M20" s="42"/>
    </row>
    <row r="21" spans="1:13" x14ac:dyDescent="0.35">
      <c r="A21" s="41"/>
      <c r="B21" s="41"/>
      <c r="C21" s="42"/>
      <c r="D21" s="42"/>
      <c r="E21" s="42"/>
      <c r="F21" s="42"/>
      <c r="G21" s="42"/>
      <c r="H21" s="42"/>
      <c r="I21" s="42"/>
      <c r="J21" s="42"/>
      <c r="K21" s="42"/>
      <c r="L21" s="42"/>
      <c r="M21" s="42"/>
    </row>
    <row r="22" spans="1:13" x14ac:dyDescent="0.35">
      <c r="A22" s="41"/>
      <c r="B22" s="41"/>
      <c r="C22" s="42"/>
      <c r="D22" s="42"/>
      <c r="E22" s="42"/>
      <c r="F22" s="42"/>
      <c r="G22" s="42"/>
      <c r="H22" s="42"/>
      <c r="I22" s="42"/>
      <c r="J22" s="42"/>
      <c r="K22" s="42"/>
      <c r="L22" s="42"/>
      <c r="M22" s="42"/>
    </row>
    <row r="23" spans="1:13" x14ac:dyDescent="0.35">
      <c r="A23" s="41"/>
      <c r="B23" s="41"/>
      <c r="C23" s="42"/>
      <c r="D23" s="42"/>
      <c r="E23" s="42"/>
      <c r="F23" s="42"/>
      <c r="G23" s="42"/>
      <c r="H23" s="42"/>
      <c r="I23" s="42"/>
      <c r="J23" s="42"/>
      <c r="K23" s="42"/>
      <c r="L23" s="42"/>
      <c r="M23" s="42"/>
    </row>
    <row r="24" spans="1:13" x14ac:dyDescent="0.35">
      <c r="A24" s="41"/>
      <c r="B24" s="41"/>
      <c r="C24" s="42"/>
      <c r="D24" s="42"/>
      <c r="E24" s="42"/>
      <c r="F24" s="42"/>
      <c r="G24" s="42"/>
      <c r="H24" s="42"/>
      <c r="I24" s="42"/>
      <c r="J24" s="42"/>
      <c r="K24" s="42"/>
      <c r="L24" s="42"/>
      <c r="M24" s="42"/>
    </row>
    <row r="25" spans="1:13" x14ac:dyDescent="0.35">
      <c r="A25" s="41"/>
      <c r="B25" s="41"/>
      <c r="C25" s="42"/>
      <c r="D25" s="42"/>
      <c r="E25" s="42"/>
      <c r="F25" s="42"/>
      <c r="G25" s="42"/>
      <c r="H25" s="42"/>
      <c r="I25" s="42"/>
      <c r="J25" s="42"/>
      <c r="K25" s="42"/>
      <c r="L25" s="42"/>
      <c r="M25" s="42"/>
    </row>
    <row r="26" spans="1:13" x14ac:dyDescent="0.35">
      <c r="A26" s="41"/>
      <c r="B26" s="41"/>
      <c r="C26" s="42"/>
      <c r="D26" s="42"/>
      <c r="E26" s="42"/>
      <c r="F26" s="42"/>
      <c r="G26" s="42"/>
      <c r="H26" s="42"/>
      <c r="I26" s="42"/>
      <c r="J26" s="42"/>
      <c r="K26" s="42"/>
      <c r="L26" s="42"/>
      <c r="M26" s="42"/>
    </row>
    <row r="27" spans="1:13" x14ac:dyDescent="0.35">
      <c r="A27" s="41"/>
      <c r="B27" s="41"/>
      <c r="C27" s="42"/>
      <c r="D27" s="42"/>
      <c r="E27" s="42"/>
      <c r="F27" s="42"/>
      <c r="G27" s="42"/>
      <c r="H27" s="42"/>
      <c r="I27" s="42"/>
      <c r="J27" s="42"/>
      <c r="K27" s="42"/>
      <c r="L27" s="42"/>
      <c r="M27" s="42"/>
    </row>
    <row r="28" spans="1:13" x14ac:dyDescent="0.35">
      <c r="A28" s="41"/>
      <c r="B28" s="41"/>
      <c r="C28" s="42"/>
      <c r="D28" s="42"/>
      <c r="E28" s="42"/>
      <c r="F28" s="42"/>
      <c r="G28" s="42"/>
      <c r="H28" s="42"/>
      <c r="I28" s="42"/>
      <c r="J28" s="42"/>
      <c r="K28" s="42"/>
      <c r="L28" s="42"/>
      <c r="M28" s="42"/>
    </row>
    <row r="29" spans="1:13" x14ac:dyDescent="0.35">
      <c r="A29" s="41"/>
      <c r="B29" s="41"/>
      <c r="C29" s="42"/>
      <c r="D29" s="42"/>
      <c r="E29" s="42"/>
      <c r="F29" s="42"/>
      <c r="G29" s="42"/>
      <c r="H29" s="42"/>
      <c r="I29" s="42"/>
      <c r="J29" s="42"/>
      <c r="K29" s="42"/>
      <c r="L29" s="42"/>
      <c r="M29" s="42"/>
    </row>
  </sheetData>
  <sheetProtection algorithmName="SHA-512" hashValue="3SpNJKNhBRlMHE3cKtFQte9BOWCdfnqqrUnCHRTrT8AtLK/vNF3Z1y1wBTSFIQkyOW6sySOZCSgS87FaETkQZA==" saltValue="9u9W5B/Yb7BFKo8E14HwdQ==" spinCount="100000" sheet="1" objects="1" scenarios="1"/>
  <mergeCells count="1">
    <mergeCell ref="A1:M1"/>
  </mergeCells>
  <pageMargins left="0.7" right="0.7" top="0.75" bottom="0.75" header="0.3" footer="0.3"/>
  <pageSetup paperSize="9" scale="75" orientation="portrait" r:id="rId1"/>
  <headerFooter>
    <oddFooter>&amp;L_x000D_&amp;1#&amp;"Calibri"&amp;8&amp;K008000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8B62-C791-4CA4-BE45-9B02BB3281F7}">
  <sheetPr>
    <tabColor rgb="FFFFC000"/>
    <pageSetUpPr fitToPage="1"/>
  </sheetPr>
  <dimension ref="A1:T31"/>
  <sheetViews>
    <sheetView showGridLines="0" topLeftCell="A2" zoomScale="75" zoomScaleNormal="75" zoomScaleSheetLayoutView="100" workbookViewId="0">
      <selection activeCell="F7" sqref="F7"/>
    </sheetView>
  </sheetViews>
  <sheetFormatPr defaultRowHeight="14.5" x14ac:dyDescent="0.35"/>
  <cols>
    <col min="1" max="1" width="2.54296875" customWidth="1"/>
    <col min="2" max="2" width="11.1796875" style="96" customWidth="1"/>
    <col min="3" max="3" width="31.90625" customWidth="1"/>
    <col min="4" max="4" width="34.453125" customWidth="1"/>
    <col min="5" max="5" width="33.90625" customWidth="1"/>
    <col min="6" max="6" width="80.08984375" customWidth="1"/>
    <col min="10" max="26" width="0" hidden="1" customWidth="1"/>
  </cols>
  <sheetData>
    <row r="1" spans="1:20" hidden="1" x14ac:dyDescent="0.35">
      <c r="A1" s="95"/>
    </row>
    <row r="2" spans="1:20" ht="22.5" customHeight="1" x14ac:dyDescent="0.35">
      <c r="A2" s="46"/>
    </row>
    <row r="3" spans="1:20" ht="28.4" customHeight="1" x14ac:dyDescent="0.45">
      <c r="A3" s="46"/>
      <c r="C3" s="466" t="s">
        <v>415</v>
      </c>
      <c r="D3" s="467"/>
      <c r="E3" s="467"/>
      <c r="F3" s="467"/>
    </row>
    <row r="4" spans="1:20" s="96" customFormat="1" ht="39" customHeight="1" x14ac:dyDescent="0.35">
      <c r="A4" s="103"/>
      <c r="C4" s="311" t="s">
        <v>398</v>
      </c>
      <c r="D4"/>
      <c r="E4"/>
      <c r="F4"/>
      <c r="G4"/>
      <c r="H4"/>
      <c r="I4"/>
      <c r="J4" s="490" t="s">
        <v>416</v>
      </c>
      <c r="K4" s="490"/>
      <c r="L4" s="490"/>
      <c r="M4" s="490"/>
      <c r="N4" s="490"/>
      <c r="O4"/>
      <c r="P4"/>
      <c r="Q4"/>
    </row>
    <row r="5" spans="1:20" s="96" customFormat="1" ht="18.75" customHeight="1" x14ac:dyDescent="0.35">
      <c r="A5" s="103"/>
      <c r="C5" s="460" t="s">
        <v>7</v>
      </c>
      <c r="D5" s="460" t="s">
        <v>390</v>
      </c>
      <c r="E5" s="461" t="s">
        <v>393</v>
      </c>
      <c r="F5" s="462" t="s">
        <v>391</v>
      </c>
      <c r="G5"/>
      <c r="H5"/>
      <c r="I5"/>
      <c r="J5"/>
      <c r="K5"/>
      <c r="L5"/>
      <c r="M5"/>
      <c r="N5"/>
      <c r="O5"/>
      <c r="P5"/>
      <c r="Q5"/>
    </row>
    <row r="6" spans="1:20" s="96" customFormat="1" ht="68.5" customHeight="1" x14ac:dyDescent="0.35">
      <c r="A6" s="103"/>
      <c r="C6" s="464" t="s">
        <v>10</v>
      </c>
      <c r="D6" s="464" t="s">
        <v>19</v>
      </c>
      <c r="E6" s="464" t="s">
        <v>392</v>
      </c>
      <c r="F6" s="468" t="s">
        <v>434</v>
      </c>
      <c r="G6"/>
      <c r="H6"/>
      <c r="I6"/>
      <c r="J6" s="494" t="s">
        <v>424</v>
      </c>
      <c r="K6" s="495"/>
      <c r="L6" s="495"/>
      <c r="M6" s="495"/>
      <c r="N6" s="495"/>
      <c r="O6" s="495"/>
      <c r="P6" s="495"/>
      <c r="Q6" s="495"/>
      <c r="R6" s="495"/>
      <c r="S6" s="495"/>
      <c r="T6" s="496"/>
    </row>
    <row r="7" spans="1:20" s="96" customFormat="1" ht="68" customHeight="1" x14ac:dyDescent="0.35">
      <c r="A7" s="105"/>
      <c r="C7" s="464" t="s">
        <v>10</v>
      </c>
      <c r="D7" s="464" t="s">
        <v>394</v>
      </c>
      <c r="E7" s="464" t="s">
        <v>392</v>
      </c>
      <c r="F7" s="468" t="s">
        <v>433</v>
      </c>
      <c r="G7"/>
      <c r="H7"/>
      <c r="I7"/>
      <c r="J7" s="497"/>
      <c r="K7" s="498"/>
      <c r="L7" s="498"/>
      <c r="M7" s="498"/>
      <c r="N7" s="498"/>
      <c r="O7" s="498"/>
      <c r="P7" s="498"/>
      <c r="Q7" s="498"/>
      <c r="R7" s="498"/>
      <c r="S7" s="498"/>
      <c r="T7" s="499"/>
    </row>
    <row r="8" spans="1:20" s="96" customFormat="1" ht="95.4" customHeight="1" x14ac:dyDescent="0.35">
      <c r="A8" s="110"/>
      <c r="C8" s="464" t="s">
        <v>11</v>
      </c>
      <c r="D8" s="464" t="s">
        <v>20</v>
      </c>
      <c r="E8" s="464" t="s">
        <v>396</v>
      </c>
      <c r="F8" s="468" t="s">
        <v>432</v>
      </c>
      <c r="G8"/>
      <c r="H8"/>
      <c r="I8"/>
      <c r="J8" s="491" t="s">
        <v>426</v>
      </c>
      <c r="K8" s="492"/>
      <c r="L8" s="492"/>
      <c r="M8" s="492"/>
      <c r="N8" s="492"/>
      <c r="O8" s="492"/>
      <c r="P8" s="492"/>
      <c r="Q8" s="492"/>
      <c r="R8" s="492"/>
      <c r="S8" s="492"/>
      <c r="T8" s="493"/>
    </row>
    <row r="9" spans="1:20" s="96" customFormat="1" ht="80" customHeight="1" x14ac:dyDescent="0.35">
      <c r="A9" s="110"/>
      <c r="C9" s="464" t="s">
        <v>13</v>
      </c>
      <c r="D9" s="464" t="s">
        <v>212</v>
      </c>
      <c r="E9" s="463" t="s">
        <v>397</v>
      </c>
      <c r="F9" s="468" t="s">
        <v>429</v>
      </c>
      <c r="G9"/>
      <c r="H9"/>
      <c r="I9"/>
      <c r="J9" s="500" t="s">
        <v>427</v>
      </c>
      <c r="K9" s="501"/>
      <c r="L9" s="501"/>
      <c r="M9" s="501"/>
      <c r="N9" s="501"/>
      <c r="O9" s="501"/>
      <c r="P9" s="501"/>
      <c r="Q9" s="501"/>
      <c r="R9" s="501"/>
      <c r="S9" s="501"/>
      <c r="T9" s="502"/>
    </row>
    <row r="10" spans="1:20" s="96" customFormat="1" ht="92" customHeight="1" x14ac:dyDescent="0.35">
      <c r="A10" s="110"/>
      <c r="C10" s="464" t="s">
        <v>12</v>
      </c>
      <c r="D10" s="464" t="s">
        <v>21</v>
      </c>
      <c r="E10" s="464" t="s">
        <v>396</v>
      </c>
      <c r="F10" s="469" t="s">
        <v>430</v>
      </c>
      <c r="G10"/>
      <c r="H10"/>
      <c r="I10"/>
      <c r="J10" s="491" t="s">
        <v>425</v>
      </c>
      <c r="K10" s="503"/>
      <c r="L10" s="503"/>
      <c r="M10" s="503"/>
      <c r="N10" s="503"/>
      <c r="O10" s="503"/>
      <c r="P10" s="503"/>
      <c r="Q10" s="503"/>
      <c r="R10" s="503"/>
      <c r="S10" s="503"/>
      <c r="T10" s="504"/>
    </row>
    <row r="11" spans="1:20" s="96" customFormat="1" ht="77" customHeight="1" x14ac:dyDescent="0.35">
      <c r="A11" s="110"/>
      <c r="C11" s="463" t="s">
        <v>8</v>
      </c>
      <c r="D11" s="463" t="s">
        <v>133</v>
      </c>
      <c r="E11" s="463" t="s">
        <v>420</v>
      </c>
      <c r="F11" s="468" t="s">
        <v>422</v>
      </c>
      <c r="G11"/>
      <c r="H11"/>
      <c r="I11"/>
      <c r="J11" s="491" t="s">
        <v>421</v>
      </c>
      <c r="K11" s="492"/>
      <c r="L11" s="492"/>
      <c r="M11" s="492"/>
      <c r="N11" s="492"/>
      <c r="O11" s="492"/>
      <c r="P11" s="492"/>
      <c r="Q11" s="492"/>
      <c r="R11" s="492"/>
      <c r="S11" s="492"/>
      <c r="T11" s="493"/>
    </row>
    <row r="12" spans="1:20" s="96" customFormat="1" ht="177.5" customHeight="1" x14ac:dyDescent="0.35">
      <c r="A12" s="116"/>
      <c r="C12" s="464" t="s">
        <v>8</v>
      </c>
      <c r="D12" s="464" t="s">
        <v>418</v>
      </c>
      <c r="E12" s="464" t="s">
        <v>396</v>
      </c>
      <c r="F12" s="468" t="s">
        <v>419</v>
      </c>
      <c r="G12"/>
      <c r="H12"/>
      <c r="I12"/>
      <c r="J12" s="491" t="s">
        <v>417</v>
      </c>
      <c r="K12" s="492"/>
      <c r="L12" s="492"/>
      <c r="M12" s="492"/>
      <c r="N12" s="492"/>
      <c r="O12" s="492"/>
      <c r="P12" s="492"/>
      <c r="Q12" s="492"/>
      <c r="R12" s="492"/>
      <c r="S12" s="492"/>
      <c r="T12" s="493"/>
    </row>
    <row r="13" spans="1:20" s="96" customFormat="1" ht="105.5" customHeight="1" x14ac:dyDescent="0.35">
      <c r="A13" s="116"/>
      <c r="C13" s="464" t="s">
        <v>14</v>
      </c>
      <c r="D13" s="464" t="s">
        <v>24</v>
      </c>
      <c r="E13" s="464" t="s">
        <v>395</v>
      </c>
      <c r="F13" s="469" t="s">
        <v>428</v>
      </c>
      <c r="G13"/>
      <c r="H13"/>
      <c r="I13"/>
      <c r="J13" s="491" t="s">
        <v>423</v>
      </c>
      <c r="K13" s="492"/>
      <c r="L13" s="492"/>
      <c r="M13" s="492"/>
      <c r="N13" s="492"/>
      <c r="O13" s="492"/>
      <c r="P13" s="492"/>
      <c r="Q13" s="492"/>
      <c r="R13" s="492"/>
      <c r="S13" s="492"/>
      <c r="T13" s="493"/>
    </row>
    <row r="14" spans="1:20" s="96" customFormat="1" ht="21" customHeight="1" x14ac:dyDescent="0.35">
      <c r="A14" s="103"/>
      <c r="C14"/>
      <c r="D14"/>
      <c r="E14"/>
      <c r="F14"/>
      <c r="G14"/>
      <c r="H14"/>
      <c r="I14"/>
      <c r="J14"/>
      <c r="K14"/>
      <c r="L14"/>
      <c r="M14"/>
      <c r="N14"/>
      <c r="O14"/>
      <c r="P14"/>
      <c r="Q14"/>
    </row>
    <row r="15" spans="1:20" s="96" customFormat="1" x14ac:dyDescent="0.35">
      <c r="A15" s="105"/>
      <c r="C15"/>
      <c r="D15"/>
      <c r="E15"/>
      <c r="F15"/>
      <c r="G15"/>
      <c r="H15"/>
      <c r="I15"/>
      <c r="J15"/>
      <c r="K15"/>
      <c r="L15"/>
      <c r="M15"/>
      <c r="N15"/>
      <c r="O15"/>
      <c r="P15"/>
      <c r="Q15"/>
    </row>
    <row r="16" spans="1:20" s="96" customFormat="1" x14ac:dyDescent="0.35">
      <c r="A16" s="110"/>
      <c r="C16"/>
      <c r="D16"/>
      <c r="E16"/>
      <c r="F16"/>
      <c r="G16"/>
      <c r="H16"/>
      <c r="I16"/>
      <c r="J16"/>
      <c r="K16"/>
      <c r="L16"/>
      <c r="M16"/>
      <c r="N16"/>
      <c r="O16"/>
      <c r="P16"/>
      <c r="Q16"/>
    </row>
    <row r="17" spans="1:17" s="96" customFormat="1" x14ac:dyDescent="0.35">
      <c r="A17" s="110"/>
      <c r="C17"/>
      <c r="D17"/>
      <c r="E17"/>
      <c r="F17"/>
      <c r="G17"/>
      <c r="H17"/>
      <c r="I17"/>
      <c r="J17"/>
      <c r="K17"/>
      <c r="L17"/>
      <c r="M17"/>
      <c r="N17"/>
      <c r="O17"/>
      <c r="P17"/>
      <c r="Q17"/>
    </row>
    <row r="18" spans="1:17" s="96" customFormat="1" x14ac:dyDescent="0.35">
      <c r="A18" s="110"/>
      <c r="C18"/>
      <c r="D18"/>
      <c r="E18"/>
      <c r="F18"/>
      <c r="G18"/>
      <c r="H18"/>
      <c r="I18"/>
      <c r="J18"/>
      <c r="K18"/>
      <c r="L18"/>
      <c r="M18"/>
      <c r="N18"/>
      <c r="O18"/>
      <c r="P18"/>
      <c r="Q18"/>
    </row>
    <row r="19" spans="1:17" s="96" customFormat="1" x14ac:dyDescent="0.35">
      <c r="A19" s="110"/>
      <c r="C19"/>
      <c r="D19"/>
      <c r="E19"/>
      <c r="F19"/>
      <c r="G19"/>
      <c r="H19"/>
      <c r="I19"/>
      <c r="J19"/>
      <c r="K19"/>
      <c r="L19"/>
      <c r="M19"/>
      <c r="N19"/>
      <c r="O19"/>
      <c r="P19"/>
      <c r="Q19"/>
    </row>
    <row r="20" spans="1:17" s="96" customFormat="1" x14ac:dyDescent="0.35">
      <c r="A20" s="116"/>
      <c r="C20"/>
      <c r="D20"/>
      <c r="E20"/>
      <c r="F20"/>
      <c r="G20"/>
      <c r="H20"/>
      <c r="I20"/>
      <c r="J20"/>
      <c r="K20"/>
      <c r="L20"/>
      <c r="M20"/>
      <c r="N20"/>
      <c r="O20"/>
      <c r="P20"/>
      <c r="Q20"/>
    </row>
    <row r="21" spans="1:17" s="96" customFormat="1" x14ac:dyDescent="0.35">
      <c r="A21" s="116"/>
      <c r="C21"/>
      <c r="D21"/>
      <c r="E21"/>
      <c r="F21"/>
      <c r="G21"/>
      <c r="H21"/>
      <c r="I21"/>
      <c r="J21"/>
      <c r="K21"/>
      <c r="L21"/>
      <c r="M21"/>
      <c r="N21"/>
      <c r="O21"/>
      <c r="P21"/>
      <c r="Q21"/>
    </row>
    <row r="22" spans="1:17" s="96" customFormat="1" ht="25.5" customHeight="1" x14ac:dyDescent="0.35">
      <c r="A22" s="103"/>
      <c r="C22"/>
      <c r="D22"/>
      <c r="E22"/>
      <c r="F22"/>
      <c r="G22"/>
      <c r="H22"/>
      <c r="I22"/>
      <c r="J22"/>
      <c r="K22"/>
      <c r="L22"/>
      <c r="M22"/>
      <c r="N22"/>
      <c r="O22"/>
      <c r="P22"/>
      <c r="Q22"/>
    </row>
    <row r="23" spans="1:17" s="96" customFormat="1" ht="12.5" customHeight="1" x14ac:dyDescent="0.35">
      <c r="A23" s="103"/>
      <c r="C23"/>
      <c r="D23"/>
      <c r="E23"/>
      <c r="F23"/>
      <c r="G23"/>
      <c r="H23"/>
      <c r="I23"/>
      <c r="J23"/>
      <c r="K23"/>
      <c r="L23"/>
      <c r="M23"/>
      <c r="N23"/>
      <c r="O23"/>
      <c r="P23"/>
      <c r="Q23"/>
    </row>
    <row r="24" spans="1:17" s="96" customFormat="1" x14ac:dyDescent="0.35">
      <c r="A24" s="103"/>
      <c r="C24"/>
      <c r="D24"/>
      <c r="E24"/>
      <c r="F24"/>
      <c r="G24"/>
      <c r="H24"/>
      <c r="I24"/>
      <c r="J24"/>
      <c r="K24"/>
      <c r="L24"/>
      <c r="M24"/>
      <c r="N24"/>
      <c r="O24"/>
      <c r="P24"/>
      <c r="Q24"/>
    </row>
    <row r="25" spans="1:17" s="96" customFormat="1" x14ac:dyDescent="0.35">
      <c r="A25" s="105"/>
      <c r="C25"/>
      <c r="D25"/>
      <c r="E25"/>
      <c r="F25"/>
      <c r="G25"/>
      <c r="H25"/>
      <c r="I25"/>
      <c r="J25"/>
      <c r="K25"/>
      <c r="L25"/>
      <c r="M25"/>
      <c r="N25"/>
      <c r="O25"/>
      <c r="P25"/>
      <c r="Q25"/>
    </row>
    <row r="26" spans="1:17" s="96" customFormat="1" x14ac:dyDescent="0.35">
      <c r="A26" s="110"/>
      <c r="C26"/>
      <c r="D26"/>
      <c r="E26"/>
      <c r="F26"/>
      <c r="G26"/>
      <c r="H26"/>
      <c r="I26"/>
      <c r="J26"/>
      <c r="K26"/>
      <c r="L26"/>
      <c r="M26"/>
      <c r="N26"/>
      <c r="O26"/>
      <c r="P26"/>
      <c r="Q26"/>
    </row>
    <row r="27" spans="1:17" x14ac:dyDescent="0.35">
      <c r="A27" s="110"/>
    </row>
    <row r="28" spans="1:17" x14ac:dyDescent="0.35">
      <c r="A28" s="110"/>
    </row>
    <row r="29" spans="1:17" x14ac:dyDescent="0.35">
      <c r="A29" s="110"/>
    </row>
    <row r="30" spans="1:17" x14ac:dyDescent="0.35">
      <c r="A30" s="116"/>
    </row>
    <row r="31" spans="1:17" x14ac:dyDescent="0.35">
      <c r="A31" s="116"/>
    </row>
  </sheetData>
  <sheetProtection algorithmName="SHA-512" hashValue="ijl9U4hBODZGnBtDrZ9aYxAT3DH1ZYEoDLIVxEmVC0NZMvYluYo60Kpd/sWpEco2Uq0NPBBSx3CrszSDwpMU7Q==" saltValue="AvGXF4RwmXkN9QF+7U2UZA==" spinCount="100000" sheet="1" objects="1" scenarios="1"/>
  <mergeCells count="8">
    <mergeCell ref="J4:N4"/>
    <mergeCell ref="J12:T12"/>
    <mergeCell ref="J11:T11"/>
    <mergeCell ref="J13:T13"/>
    <mergeCell ref="J6:T7"/>
    <mergeCell ref="J8:T8"/>
    <mergeCell ref="J9:T9"/>
    <mergeCell ref="J10:T10"/>
  </mergeCells>
  <conditionalFormatting sqref="A8:A13 A16:A21 A26:A31">
    <cfRule type="expression" dxfId="1707" priority="116">
      <formula>RANK(A8,#REF!,1)=2</formula>
    </cfRule>
    <cfRule type="expression" dxfId="1706" priority="117">
      <formula>RANK(A8,#REF!,1)=1</formula>
    </cfRule>
  </conditionalFormatting>
  <hyperlinks>
    <hyperlink ref="J6" r:id="rId1" xr:uid="{D547EB16-9833-4532-A97C-8FCC8DB7DDBD}"/>
  </hyperlinks>
  <printOptions horizontalCentered="1" verticalCentered="1"/>
  <pageMargins left="0" right="0" top="0" bottom="0" header="0" footer="0"/>
  <pageSetup paperSize="9" scale="47" orientation="landscape" r:id="rId2"/>
  <headerFooter>
    <oddFooter>&amp;L_x000D_&amp;1#&amp;"Calibri"&amp;8&amp;K008000 Public</oddFoot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4D580-C3E3-455B-B418-3DF0E2F4C3FF}">
  <sheetPr codeName="Sheet5"/>
  <dimension ref="A1:J125"/>
  <sheetViews>
    <sheetView showGridLines="0" zoomScale="75" zoomScaleNormal="75" workbookViewId="0">
      <selection activeCell="E34" sqref="E34"/>
    </sheetView>
  </sheetViews>
  <sheetFormatPr defaultRowHeight="14.5" x14ac:dyDescent="0.35"/>
  <cols>
    <col min="1" max="1" width="11.54296875" customWidth="1"/>
    <col min="2" max="2" width="10.54296875" customWidth="1"/>
    <col min="3" max="3" width="23.54296875" customWidth="1"/>
    <col min="4" max="4" width="25.54296875" customWidth="1"/>
    <col min="5" max="5" width="26.54296875" customWidth="1"/>
    <col min="6" max="6" width="23.54296875" customWidth="1"/>
    <col min="7" max="7" width="28" customWidth="1"/>
    <col min="9" max="9" width="63.453125" customWidth="1"/>
    <col min="10" max="10" width="13.81640625" bestFit="1" customWidth="1"/>
  </cols>
  <sheetData>
    <row r="1" spans="1:9" x14ac:dyDescent="0.35">
      <c r="D1" s="311"/>
    </row>
    <row r="2" spans="1:9" ht="15.5" x14ac:dyDescent="0.35">
      <c r="A2" s="527" t="s">
        <v>127</v>
      </c>
      <c r="B2" s="527"/>
      <c r="C2" s="43"/>
      <c r="D2" s="43"/>
      <c r="E2" s="44"/>
      <c r="F2" s="45"/>
      <c r="G2" s="44" t="s">
        <v>128</v>
      </c>
      <c r="H2" s="46"/>
    </row>
    <row r="3" spans="1:9" ht="29.25" customHeight="1" x14ac:dyDescent="0.35">
      <c r="A3" s="528" t="s">
        <v>129</v>
      </c>
      <c r="B3" s="528"/>
      <c r="C3" s="48" t="s">
        <v>130</v>
      </c>
      <c r="D3" s="43"/>
      <c r="E3" s="43"/>
      <c r="F3" s="43"/>
      <c r="G3" s="43"/>
    </row>
    <row r="4" spans="1:9" ht="16" thickBot="1" x14ac:dyDescent="0.4">
      <c r="A4" s="49"/>
      <c r="B4" s="43"/>
      <c r="C4" s="43"/>
      <c r="D4" s="43"/>
      <c r="E4" s="43"/>
      <c r="F4" s="43"/>
      <c r="G4" s="43"/>
    </row>
    <row r="5" spans="1:9" ht="16" thickBot="1" x14ac:dyDescent="0.4">
      <c r="A5" s="505"/>
      <c r="B5" s="506"/>
      <c r="C5" s="51" t="s">
        <v>8</v>
      </c>
      <c r="D5" s="51" t="s">
        <v>8</v>
      </c>
      <c r="E5" s="50" t="s">
        <v>10</v>
      </c>
      <c r="F5" s="50" t="s">
        <v>12</v>
      </c>
      <c r="G5" s="50" t="s">
        <v>13</v>
      </c>
      <c r="I5" s="52" t="s">
        <v>131</v>
      </c>
    </row>
    <row r="6" spans="1:9" ht="62.4" customHeight="1" thickBot="1" x14ac:dyDescent="0.4">
      <c r="A6" s="532"/>
      <c r="B6" s="533"/>
      <c r="C6" s="54" t="s">
        <v>132</v>
      </c>
      <c r="D6" s="55" t="s">
        <v>133</v>
      </c>
      <c r="E6" s="55" t="s">
        <v>19</v>
      </c>
      <c r="F6" s="55" t="s">
        <v>21</v>
      </c>
      <c r="G6" s="55" t="s">
        <v>22</v>
      </c>
      <c r="I6" s="529" t="s">
        <v>407</v>
      </c>
    </row>
    <row r="7" spans="1:9" ht="15.75" customHeight="1" x14ac:dyDescent="0.35">
      <c r="A7" s="505" t="s">
        <v>134</v>
      </c>
      <c r="B7" s="506"/>
      <c r="C7" s="50" t="s">
        <v>135</v>
      </c>
      <c r="D7" s="50" t="s">
        <v>135</v>
      </c>
      <c r="E7" s="50" t="s">
        <v>135</v>
      </c>
      <c r="F7" s="50" t="s">
        <v>135</v>
      </c>
      <c r="G7" s="50" t="s">
        <v>135</v>
      </c>
      <c r="I7" s="530"/>
    </row>
    <row r="8" spans="1:9" ht="16" thickBot="1" x14ac:dyDescent="0.4">
      <c r="A8" s="532"/>
      <c r="B8" s="533"/>
      <c r="C8" s="53" t="s">
        <v>136</v>
      </c>
      <c r="D8" s="53" t="s">
        <v>309</v>
      </c>
      <c r="E8" s="53" t="s">
        <v>137</v>
      </c>
      <c r="F8" s="53" t="s">
        <v>137</v>
      </c>
      <c r="G8" s="53" t="s">
        <v>138</v>
      </c>
      <c r="I8" s="530"/>
    </row>
    <row r="9" spans="1:9" ht="31.5" thickBot="1" x14ac:dyDescent="0.4">
      <c r="A9" s="56" t="s">
        <v>139</v>
      </c>
      <c r="B9" s="57" t="s">
        <v>140</v>
      </c>
      <c r="C9" s="58" t="s">
        <v>141</v>
      </c>
      <c r="D9" s="59" t="s">
        <v>141</v>
      </c>
      <c r="E9" s="59" t="s">
        <v>141</v>
      </c>
      <c r="F9" s="59" t="s">
        <v>142</v>
      </c>
      <c r="G9" s="59" t="s">
        <v>142</v>
      </c>
      <c r="I9" s="530"/>
    </row>
    <row r="10" spans="1:9" ht="36" customHeight="1" x14ac:dyDescent="0.35">
      <c r="A10" s="534" t="s">
        <v>143</v>
      </c>
      <c r="B10" s="536" t="s">
        <v>144</v>
      </c>
      <c r="C10" s="91" t="s">
        <v>145</v>
      </c>
      <c r="D10" s="539" t="s">
        <v>111</v>
      </c>
      <c r="E10" s="266" t="s">
        <v>314</v>
      </c>
      <c r="F10" s="539" t="s">
        <v>111</v>
      </c>
      <c r="G10" s="62" t="s">
        <v>146</v>
      </c>
      <c r="I10" s="530"/>
    </row>
    <row r="11" spans="1:9" ht="31" x14ac:dyDescent="0.35">
      <c r="A11" s="534"/>
      <c r="B11" s="537"/>
      <c r="C11" s="267" t="s">
        <v>147</v>
      </c>
      <c r="D11" s="539"/>
      <c r="E11" s="64" t="s">
        <v>315</v>
      </c>
      <c r="F11" s="539"/>
      <c r="G11" s="65" t="s">
        <v>148</v>
      </c>
      <c r="I11" s="530"/>
    </row>
    <row r="12" spans="1:9" ht="55.5" customHeight="1" thickBot="1" x14ac:dyDescent="0.4">
      <c r="A12" s="535"/>
      <c r="B12" s="538"/>
      <c r="C12" s="63" t="s">
        <v>149</v>
      </c>
      <c r="D12" s="540"/>
      <c r="E12" s="66" t="s">
        <v>343</v>
      </c>
      <c r="F12" s="540"/>
      <c r="G12" s="67" t="s">
        <v>150</v>
      </c>
      <c r="I12" s="530"/>
    </row>
    <row r="13" spans="1:9" ht="15.5" x14ac:dyDescent="0.35">
      <c r="A13" s="509" t="s">
        <v>151</v>
      </c>
      <c r="B13" s="510"/>
      <c r="C13" s="68" t="s">
        <v>135</v>
      </c>
      <c r="D13" s="68" t="s">
        <v>135</v>
      </c>
      <c r="E13" s="68" t="s">
        <v>135</v>
      </c>
      <c r="F13" s="68" t="s">
        <v>135</v>
      </c>
      <c r="G13" s="68" t="s">
        <v>135</v>
      </c>
      <c r="I13" s="530"/>
    </row>
    <row r="14" spans="1:9" ht="15.75" customHeight="1" thickBot="1" x14ac:dyDescent="0.4">
      <c r="A14" s="511"/>
      <c r="B14" s="512"/>
      <c r="C14" s="70" t="s">
        <v>136</v>
      </c>
      <c r="D14" s="70" t="s">
        <v>309</v>
      </c>
      <c r="E14" s="70" t="s">
        <v>137</v>
      </c>
      <c r="F14" s="70" t="s">
        <v>137</v>
      </c>
      <c r="G14" s="70" t="s">
        <v>137</v>
      </c>
      <c r="I14" s="530"/>
    </row>
    <row r="15" spans="1:9" ht="16" thickBot="1" x14ac:dyDescent="0.4">
      <c r="A15" s="513"/>
      <c r="B15" s="514"/>
      <c r="C15" s="72" t="s">
        <v>152</v>
      </c>
      <c r="D15" s="70" t="s">
        <v>154</v>
      </c>
      <c r="E15" s="72" t="s">
        <v>155</v>
      </c>
      <c r="F15" s="72" t="s">
        <v>156</v>
      </c>
      <c r="G15" s="72" t="s">
        <v>111</v>
      </c>
      <c r="I15" s="530"/>
    </row>
    <row r="16" spans="1:9" ht="31.5" thickBot="1" x14ac:dyDescent="0.4">
      <c r="A16" s="73" t="s">
        <v>139</v>
      </c>
      <c r="B16" s="71" t="s">
        <v>140</v>
      </c>
      <c r="C16" s="74" t="s">
        <v>141</v>
      </c>
      <c r="D16" s="72" t="s">
        <v>141</v>
      </c>
      <c r="E16" s="72" t="s">
        <v>141</v>
      </c>
      <c r="F16" s="75" t="s">
        <v>142</v>
      </c>
      <c r="G16" s="75" t="s">
        <v>142</v>
      </c>
      <c r="I16" s="530"/>
    </row>
    <row r="17" spans="1:9" ht="33" customHeight="1" x14ac:dyDescent="0.35">
      <c r="A17" s="515" t="s">
        <v>143</v>
      </c>
      <c r="B17" s="518" t="s">
        <v>144</v>
      </c>
      <c r="C17" s="268" t="s">
        <v>145</v>
      </c>
      <c r="D17" s="524" t="s">
        <v>111</v>
      </c>
      <c r="E17" s="271" t="s">
        <v>314</v>
      </c>
      <c r="F17" s="524" t="s">
        <v>111</v>
      </c>
      <c r="G17" s="521" t="s">
        <v>111</v>
      </c>
      <c r="I17" s="530"/>
    </row>
    <row r="18" spans="1:9" ht="15.5" x14ac:dyDescent="0.35">
      <c r="A18" s="516"/>
      <c r="B18" s="519"/>
      <c r="C18" s="76" t="s">
        <v>157</v>
      </c>
      <c r="D18" s="525"/>
      <c r="E18" s="77" t="s">
        <v>316</v>
      </c>
      <c r="F18" s="525"/>
      <c r="G18" s="522"/>
      <c r="I18" s="530"/>
    </row>
    <row r="19" spans="1:9" ht="36.75" customHeight="1" x14ac:dyDescent="0.35">
      <c r="A19" s="516"/>
      <c r="B19" s="519"/>
      <c r="C19" s="64" t="s">
        <v>158</v>
      </c>
      <c r="D19" s="525"/>
      <c r="E19" s="77" t="s">
        <v>317</v>
      </c>
      <c r="F19" s="525"/>
      <c r="G19" s="522"/>
      <c r="I19" s="530"/>
    </row>
    <row r="20" spans="1:9" ht="47" thickBot="1" x14ac:dyDescent="0.4">
      <c r="A20" s="517"/>
      <c r="B20" s="520"/>
      <c r="C20" s="78" t="s">
        <v>159</v>
      </c>
      <c r="D20" s="526"/>
      <c r="E20" s="272" t="s">
        <v>318</v>
      </c>
      <c r="F20" s="526"/>
      <c r="G20" s="523"/>
      <c r="I20" s="531"/>
    </row>
    <row r="21" spans="1:9" ht="15.5" x14ac:dyDescent="0.35">
      <c r="A21" s="43"/>
      <c r="B21" s="43"/>
      <c r="C21" s="43"/>
      <c r="D21" s="43"/>
      <c r="E21" s="43"/>
      <c r="F21" s="43"/>
      <c r="G21" s="43"/>
      <c r="I21" s="465"/>
    </row>
    <row r="22" spans="1:9" ht="15.5" x14ac:dyDescent="0.35">
      <c r="A22" s="43"/>
      <c r="B22" s="43"/>
      <c r="C22" s="43"/>
      <c r="D22" s="43"/>
      <c r="E22" s="43"/>
      <c r="F22" s="43"/>
      <c r="G22" s="43"/>
      <c r="I22" s="465"/>
    </row>
    <row r="23" spans="1:9" ht="15.5" x14ac:dyDescent="0.35">
      <c r="A23" s="43"/>
      <c r="B23" s="43"/>
      <c r="C23" s="43"/>
      <c r="D23" s="43"/>
      <c r="E23" s="43"/>
      <c r="F23" s="43"/>
      <c r="G23" s="43"/>
      <c r="I23" s="465"/>
    </row>
    <row r="24" spans="1:9" ht="15.5" x14ac:dyDescent="0.35">
      <c r="A24" s="527" t="s">
        <v>160</v>
      </c>
      <c r="B24" s="527"/>
      <c r="C24" s="43"/>
      <c r="D24" s="43"/>
      <c r="E24" s="45"/>
      <c r="F24" s="44" t="s">
        <v>128</v>
      </c>
      <c r="G24" s="43"/>
      <c r="I24" s="465"/>
    </row>
    <row r="25" spans="1:9" ht="35.25" customHeight="1" x14ac:dyDescent="0.35">
      <c r="A25" s="528" t="s">
        <v>129</v>
      </c>
      <c r="B25" s="528"/>
      <c r="C25" s="48" t="s">
        <v>130</v>
      </c>
      <c r="D25" s="43"/>
      <c r="E25" s="43"/>
      <c r="F25" s="43"/>
      <c r="G25" s="43"/>
      <c r="I25" s="465"/>
    </row>
    <row r="26" spans="1:9" ht="16" thickBot="1" x14ac:dyDescent="0.4">
      <c r="A26" s="528"/>
      <c r="B26" s="528"/>
      <c r="C26" s="48"/>
      <c r="D26" s="43"/>
      <c r="E26" s="43"/>
      <c r="F26" s="43"/>
      <c r="G26" s="43"/>
      <c r="I26" s="465"/>
    </row>
    <row r="27" spans="1:9" ht="15.5" x14ac:dyDescent="0.35">
      <c r="A27" s="505"/>
      <c r="B27" s="506"/>
      <c r="C27" s="51" t="s">
        <v>8</v>
      </c>
      <c r="D27" s="51" t="s">
        <v>8</v>
      </c>
      <c r="E27" s="50" t="s">
        <v>10</v>
      </c>
      <c r="F27" s="50" t="s">
        <v>12</v>
      </c>
      <c r="G27" s="50" t="s">
        <v>13</v>
      </c>
      <c r="I27" s="465"/>
    </row>
    <row r="28" spans="1:9" ht="60" customHeight="1" thickBot="1" x14ac:dyDescent="0.4">
      <c r="A28" s="507"/>
      <c r="B28" s="508"/>
      <c r="C28" s="54" t="s">
        <v>161</v>
      </c>
      <c r="D28" s="55" t="s">
        <v>133</v>
      </c>
      <c r="E28" s="55" t="s">
        <v>19</v>
      </c>
      <c r="F28" s="55" t="s">
        <v>21</v>
      </c>
      <c r="G28" s="55" t="s">
        <v>22</v>
      </c>
      <c r="I28" s="465"/>
    </row>
    <row r="29" spans="1:9" ht="15.75" customHeight="1" x14ac:dyDescent="0.35">
      <c r="A29" s="505" t="s">
        <v>134</v>
      </c>
      <c r="B29" s="506"/>
      <c r="C29" s="50" t="s">
        <v>135</v>
      </c>
      <c r="D29" s="50" t="s">
        <v>135</v>
      </c>
      <c r="E29" s="50" t="s">
        <v>135</v>
      </c>
      <c r="F29" s="50" t="s">
        <v>135</v>
      </c>
      <c r="G29" s="50" t="s">
        <v>135</v>
      </c>
      <c r="I29" s="465"/>
    </row>
    <row r="30" spans="1:9" ht="16" thickBot="1" x14ac:dyDescent="0.4">
      <c r="A30" s="507"/>
      <c r="B30" s="508"/>
      <c r="C30" s="53" t="s">
        <v>136</v>
      </c>
      <c r="D30" s="53" t="s">
        <v>309</v>
      </c>
      <c r="E30" s="53" t="s">
        <v>137</v>
      </c>
      <c r="F30" s="53" t="s">
        <v>137</v>
      </c>
      <c r="G30" s="53" t="s">
        <v>138</v>
      </c>
      <c r="I30" s="465"/>
    </row>
    <row r="31" spans="1:9" ht="31.5" thickBot="1" x14ac:dyDescent="0.4">
      <c r="A31" s="56" t="s">
        <v>139</v>
      </c>
      <c r="B31" s="57" t="s">
        <v>140</v>
      </c>
      <c r="C31" s="58" t="s">
        <v>141</v>
      </c>
      <c r="D31" s="59" t="s">
        <v>141</v>
      </c>
      <c r="E31" s="59" t="s">
        <v>141</v>
      </c>
      <c r="F31" s="59" t="s">
        <v>142</v>
      </c>
      <c r="G31" s="59" t="s">
        <v>142</v>
      </c>
      <c r="I31" s="465"/>
    </row>
    <row r="32" spans="1:9" ht="35.25" customHeight="1" x14ac:dyDescent="0.35">
      <c r="A32" s="534" t="s">
        <v>143</v>
      </c>
      <c r="B32" s="536" t="s">
        <v>144</v>
      </c>
      <c r="C32" s="60" t="s">
        <v>162</v>
      </c>
      <c r="D32" s="541" t="s">
        <v>111</v>
      </c>
      <c r="E32" s="61" t="s">
        <v>319</v>
      </c>
      <c r="F32" s="541" t="s">
        <v>111</v>
      </c>
      <c r="G32" s="79" t="s">
        <v>163</v>
      </c>
      <c r="I32" s="465"/>
    </row>
    <row r="33" spans="1:9" ht="31" x14ac:dyDescent="0.35">
      <c r="A33" s="534"/>
      <c r="B33" s="537"/>
      <c r="C33" s="63" t="s">
        <v>164</v>
      </c>
      <c r="D33" s="539"/>
      <c r="E33" s="64" t="s">
        <v>320</v>
      </c>
      <c r="F33" s="539"/>
      <c r="G33" s="65" t="s">
        <v>165</v>
      </c>
      <c r="I33" s="465"/>
    </row>
    <row r="34" spans="1:9" ht="51" customHeight="1" thickBot="1" x14ac:dyDescent="0.4">
      <c r="A34" s="535"/>
      <c r="B34" s="538"/>
      <c r="C34" s="63" t="s">
        <v>166</v>
      </c>
      <c r="D34" s="540"/>
      <c r="E34" s="66" t="s">
        <v>321</v>
      </c>
      <c r="F34" s="540"/>
      <c r="G34" s="67" t="s">
        <v>167</v>
      </c>
      <c r="I34" s="465"/>
    </row>
    <row r="35" spans="1:9" ht="15.5" x14ac:dyDescent="0.35">
      <c r="A35" s="509" t="s">
        <v>151</v>
      </c>
      <c r="B35" s="510"/>
      <c r="C35" s="75" t="s">
        <v>135</v>
      </c>
      <c r="D35" s="68" t="s">
        <v>135</v>
      </c>
      <c r="E35" s="75" t="s">
        <v>135</v>
      </c>
      <c r="F35" s="75" t="s">
        <v>135</v>
      </c>
      <c r="G35" s="75" t="s">
        <v>135</v>
      </c>
      <c r="I35" s="465"/>
    </row>
    <row r="36" spans="1:9" ht="15.75" customHeight="1" thickBot="1" x14ac:dyDescent="0.4">
      <c r="A36" s="511"/>
      <c r="B36" s="512"/>
      <c r="C36" s="70" t="s">
        <v>136</v>
      </c>
      <c r="D36" s="70" t="s">
        <v>137</v>
      </c>
      <c r="E36" s="70" t="s">
        <v>137</v>
      </c>
      <c r="F36" s="70" t="s">
        <v>137</v>
      </c>
      <c r="G36" s="70" t="s">
        <v>137</v>
      </c>
      <c r="I36" s="465"/>
    </row>
    <row r="37" spans="1:9" ht="16" thickBot="1" x14ac:dyDescent="0.4">
      <c r="A37" s="513"/>
      <c r="B37" s="514"/>
      <c r="C37" s="72" t="s">
        <v>152</v>
      </c>
      <c r="D37" s="70" t="s">
        <v>154</v>
      </c>
      <c r="E37" s="72" t="s">
        <v>155</v>
      </c>
      <c r="F37" s="72" t="s">
        <v>156</v>
      </c>
      <c r="G37" s="72" t="s">
        <v>111</v>
      </c>
      <c r="I37" s="465"/>
    </row>
    <row r="38" spans="1:9" ht="31.5" thickBot="1" x14ac:dyDescent="0.4">
      <c r="A38" s="80" t="s">
        <v>139</v>
      </c>
      <c r="B38" s="69" t="s">
        <v>140</v>
      </c>
      <c r="C38" s="74" t="s">
        <v>141</v>
      </c>
      <c r="D38" s="72" t="s">
        <v>141</v>
      </c>
      <c r="E38" s="72" t="s">
        <v>141</v>
      </c>
      <c r="F38" s="75" t="s">
        <v>142</v>
      </c>
      <c r="G38" s="75" t="s">
        <v>142</v>
      </c>
      <c r="I38" s="465"/>
    </row>
    <row r="39" spans="1:9" ht="32.25" customHeight="1" x14ac:dyDescent="0.35">
      <c r="A39" s="542" t="s">
        <v>143</v>
      </c>
      <c r="B39" s="545" t="s">
        <v>144</v>
      </c>
      <c r="C39" s="269" t="s">
        <v>162</v>
      </c>
      <c r="D39" s="524" t="s">
        <v>111</v>
      </c>
      <c r="E39" s="93" t="s">
        <v>319</v>
      </c>
      <c r="F39" s="524" t="s">
        <v>111</v>
      </c>
      <c r="G39" s="521" t="s">
        <v>111</v>
      </c>
      <c r="I39" s="465"/>
    </row>
    <row r="40" spans="1:9" ht="15.5" x14ac:dyDescent="0.35">
      <c r="A40" s="543"/>
      <c r="B40" s="546"/>
      <c r="C40" s="64" t="s">
        <v>168</v>
      </c>
      <c r="D40" s="525"/>
      <c r="E40" s="77" t="s">
        <v>322</v>
      </c>
      <c r="F40" s="525"/>
      <c r="G40" s="522"/>
      <c r="I40" s="465"/>
    </row>
    <row r="41" spans="1:9" ht="31" x14ac:dyDescent="0.35">
      <c r="A41" s="543"/>
      <c r="B41" s="546"/>
      <c r="C41" s="64" t="s">
        <v>169</v>
      </c>
      <c r="D41" s="525"/>
      <c r="E41" s="77" t="s">
        <v>323</v>
      </c>
      <c r="F41" s="525"/>
      <c r="G41" s="522"/>
      <c r="I41" s="465"/>
    </row>
    <row r="42" spans="1:9" ht="50.25" customHeight="1" thickBot="1" x14ac:dyDescent="0.4">
      <c r="A42" s="544"/>
      <c r="B42" s="547"/>
      <c r="C42" s="81" t="s">
        <v>170</v>
      </c>
      <c r="D42" s="526"/>
      <c r="E42" s="272" t="s">
        <v>324</v>
      </c>
      <c r="F42" s="526"/>
      <c r="G42" s="523"/>
    </row>
    <row r="43" spans="1:9" ht="15.5" x14ac:dyDescent="0.35">
      <c r="A43" s="43"/>
      <c r="B43" s="43"/>
      <c r="C43" s="43"/>
      <c r="D43" s="43"/>
      <c r="E43" s="43"/>
      <c r="F43" s="43"/>
      <c r="G43" s="43"/>
    </row>
    <row r="44" spans="1:9" ht="15.5" x14ac:dyDescent="0.35">
      <c r="A44" s="527" t="s">
        <v>127</v>
      </c>
      <c r="B44" s="527"/>
      <c r="C44" s="43"/>
      <c r="D44" s="43"/>
      <c r="E44" s="45"/>
      <c r="F44" s="44" t="s">
        <v>128</v>
      </c>
      <c r="G44" s="43"/>
    </row>
    <row r="45" spans="1:9" ht="33" customHeight="1" x14ac:dyDescent="0.35">
      <c r="A45" s="528" t="s">
        <v>171</v>
      </c>
      <c r="B45" s="528"/>
      <c r="C45" s="82" t="s">
        <v>172</v>
      </c>
      <c r="D45" s="83" t="s">
        <v>173</v>
      </c>
      <c r="E45" s="84" t="s">
        <v>174</v>
      </c>
      <c r="F45" s="43"/>
      <c r="G45" s="43"/>
    </row>
    <row r="46" spans="1:9" ht="16" thickBot="1" x14ac:dyDescent="0.4">
      <c r="A46" s="47"/>
      <c r="B46" s="47"/>
      <c r="C46" s="85"/>
      <c r="D46" s="43"/>
      <c r="E46" s="43"/>
      <c r="F46" s="43"/>
    </row>
    <row r="47" spans="1:9" ht="15.5" x14ac:dyDescent="0.35">
      <c r="A47" s="548"/>
      <c r="B47" s="549"/>
      <c r="C47" s="408" t="s">
        <v>8</v>
      </c>
      <c r="D47" s="408" t="s">
        <v>8</v>
      </c>
      <c r="E47" s="407" t="s">
        <v>10</v>
      </c>
      <c r="F47" s="409" t="s">
        <v>12</v>
      </c>
    </row>
    <row r="48" spans="1:9" ht="62" x14ac:dyDescent="0.35">
      <c r="A48" s="550"/>
      <c r="B48" s="551"/>
      <c r="C48" s="399" t="s">
        <v>175</v>
      </c>
      <c r="D48" s="400" t="s">
        <v>133</v>
      </c>
      <c r="E48" s="400" t="s">
        <v>19</v>
      </c>
      <c r="F48" s="410" t="s">
        <v>21</v>
      </c>
    </row>
    <row r="49" spans="1:6" ht="15.5" x14ac:dyDescent="0.35">
      <c r="A49" s="552" t="s">
        <v>134</v>
      </c>
      <c r="B49" s="553"/>
      <c r="C49" s="398" t="s">
        <v>135</v>
      </c>
      <c r="D49" s="398" t="s">
        <v>135</v>
      </c>
      <c r="E49" s="398" t="s">
        <v>135</v>
      </c>
      <c r="F49" s="411" t="s">
        <v>135</v>
      </c>
    </row>
    <row r="50" spans="1:6" ht="15.5" x14ac:dyDescent="0.35">
      <c r="A50" s="552"/>
      <c r="B50" s="553"/>
      <c r="C50" s="398" t="s">
        <v>136</v>
      </c>
      <c r="D50" s="398" t="s">
        <v>309</v>
      </c>
      <c r="E50" s="398" t="s">
        <v>137</v>
      </c>
      <c r="F50" s="411" t="s">
        <v>137</v>
      </c>
    </row>
    <row r="51" spans="1:6" ht="15.5" x14ac:dyDescent="0.35">
      <c r="A51" s="552"/>
      <c r="B51" s="553"/>
      <c r="C51" s="398"/>
      <c r="D51" s="398"/>
      <c r="E51" s="398"/>
      <c r="F51" s="411"/>
    </row>
    <row r="52" spans="1:6" ht="31" x14ac:dyDescent="0.35">
      <c r="A52" s="412" t="s">
        <v>176</v>
      </c>
      <c r="B52" s="401" t="s">
        <v>140</v>
      </c>
      <c r="C52" s="402" t="s">
        <v>141</v>
      </c>
      <c r="D52" s="402" t="s">
        <v>141</v>
      </c>
      <c r="E52" s="398" t="s">
        <v>141</v>
      </c>
      <c r="F52" s="411" t="s">
        <v>142</v>
      </c>
    </row>
    <row r="53" spans="1:6" ht="33.75" customHeight="1" x14ac:dyDescent="0.35">
      <c r="A53" s="554" t="s">
        <v>177</v>
      </c>
      <c r="B53" s="546" t="s">
        <v>178</v>
      </c>
      <c r="C53" s="406" t="s">
        <v>179</v>
      </c>
      <c r="D53" s="64" t="s">
        <v>180</v>
      </c>
      <c r="E53" s="77" t="s">
        <v>325</v>
      </c>
      <c r="F53" s="65" t="s">
        <v>181</v>
      </c>
    </row>
    <row r="54" spans="1:6" ht="65.400000000000006" customHeight="1" x14ac:dyDescent="0.35">
      <c r="A54" s="554"/>
      <c r="B54" s="546"/>
      <c r="C54" s="64" t="s">
        <v>182</v>
      </c>
      <c r="D54" s="64" t="s">
        <v>183</v>
      </c>
      <c r="E54" s="86" t="s">
        <v>326</v>
      </c>
      <c r="F54" s="87" t="s">
        <v>184</v>
      </c>
    </row>
    <row r="55" spans="1:6" ht="72" customHeight="1" thickBot="1" x14ac:dyDescent="0.4">
      <c r="A55" s="555"/>
      <c r="B55" s="547"/>
      <c r="C55" s="81" t="s">
        <v>185</v>
      </c>
      <c r="D55" s="265" t="s">
        <v>308</v>
      </c>
      <c r="E55" s="272" t="s">
        <v>327</v>
      </c>
      <c r="F55" s="89" t="s">
        <v>186</v>
      </c>
    </row>
    <row r="56" spans="1:6" ht="15.5" x14ac:dyDescent="0.35">
      <c r="A56" s="556" t="s">
        <v>151</v>
      </c>
      <c r="B56" s="557"/>
      <c r="C56" s="415" t="s">
        <v>135</v>
      </c>
      <c r="D56" s="415" t="s">
        <v>135</v>
      </c>
      <c r="E56" s="415" t="s">
        <v>135</v>
      </c>
      <c r="F56" s="416" t="s">
        <v>135</v>
      </c>
    </row>
    <row r="57" spans="1:6" ht="15.5" x14ac:dyDescent="0.35">
      <c r="A57" s="558"/>
      <c r="B57" s="559"/>
      <c r="C57" s="404" t="s">
        <v>136</v>
      </c>
      <c r="D57" s="404" t="s">
        <v>309</v>
      </c>
      <c r="E57" s="404" t="s">
        <v>137</v>
      </c>
      <c r="F57" s="413" t="s">
        <v>137</v>
      </c>
    </row>
    <row r="58" spans="1:6" ht="15.5" x14ac:dyDescent="0.35">
      <c r="A58" s="558"/>
      <c r="B58" s="559"/>
      <c r="C58" s="404" t="s">
        <v>152</v>
      </c>
      <c r="D58" s="404" t="s">
        <v>154</v>
      </c>
      <c r="E58" s="404" t="s">
        <v>155</v>
      </c>
      <c r="F58" s="413" t="s">
        <v>156</v>
      </c>
    </row>
    <row r="59" spans="1:6" ht="31" x14ac:dyDescent="0.35">
      <c r="A59" s="414" t="s">
        <v>176</v>
      </c>
      <c r="B59" s="403" t="s">
        <v>140</v>
      </c>
      <c r="C59" s="405" t="s">
        <v>141</v>
      </c>
      <c r="D59" s="405" t="s">
        <v>141</v>
      </c>
      <c r="E59" s="404" t="s">
        <v>141</v>
      </c>
      <c r="F59" s="413" t="s">
        <v>142</v>
      </c>
    </row>
    <row r="60" spans="1:6" ht="31.5" customHeight="1" x14ac:dyDescent="0.35">
      <c r="A60" s="543" t="s">
        <v>177</v>
      </c>
      <c r="B60" s="546" t="s">
        <v>178</v>
      </c>
      <c r="C60" s="88" t="s">
        <v>179</v>
      </c>
      <c r="D60" s="64" t="s">
        <v>180</v>
      </c>
      <c r="E60" s="77" t="s">
        <v>325</v>
      </c>
      <c r="F60" s="65" t="s">
        <v>181</v>
      </c>
    </row>
    <row r="61" spans="1:6" ht="15.5" x14ac:dyDescent="0.35">
      <c r="A61" s="543"/>
      <c r="B61" s="546"/>
      <c r="C61" s="88" t="s">
        <v>187</v>
      </c>
      <c r="D61" s="88" t="s">
        <v>188</v>
      </c>
      <c r="E61" s="77" t="s">
        <v>328</v>
      </c>
      <c r="F61" s="65" t="s">
        <v>189</v>
      </c>
    </row>
    <row r="62" spans="1:6" ht="66" customHeight="1" x14ac:dyDescent="0.35">
      <c r="A62" s="543"/>
      <c r="B62" s="546"/>
      <c r="C62" s="64" t="s">
        <v>190</v>
      </c>
      <c r="D62" s="64" t="s">
        <v>191</v>
      </c>
      <c r="E62" s="77" t="s">
        <v>329</v>
      </c>
      <c r="F62" s="65" t="s">
        <v>192</v>
      </c>
    </row>
    <row r="63" spans="1:6" ht="66.650000000000006" customHeight="1" thickBot="1" x14ac:dyDescent="0.4">
      <c r="A63" s="544"/>
      <c r="B63" s="547"/>
      <c r="C63" s="81" t="s">
        <v>193</v>
      </c>
      <c r="D63" s="81" t="s">
        <v>307</v>
      </c>
      <c r="E63" s="272" t="s">
        <v>330</v>
      </c>
      <c r="F63" s="89" t="s">
        <v>194</v>
      </c>
    </row>
    <row r="64" spans="1:6" ht="15.5" x14ac:dyDescent="0.35">
      <c r="A64" s="49"/>
      <c r="B64" s="43"/>
      <c r="C64" s="43"/>
      <c r="D64" s="43"/>
      <c r="E64" s="43"/>
      <c r="F64" s="43"/>
    </row>
    <row r="65" spans="1:10" ht="15.5" x14ac:dyDescent="0.35">
      <c r="A65" s="49"/>
      <c r="B65" s="43"/>
      <c r="C65" s="43"/>
      <c r="D65" s="43"/>
      <c r="E65" s="43"/>
      <c r="F65" s="43"/>
    </row>
    <row r="66" spans="1:10" ht="15.5" x14ac:dyDescent="0.35">
      <c r="A66" s="49"/>
      <c r="B66" s="43"/>
      <c r="C66" s="43"/>
      <c r="D66" s="43"/>
      <c r="E66" s="43"/>
      <c r="F66" s="43"/>
      <c r="J66" s="90"/>
    </row>
    <row r="67" spans="1:10" ht="15.5" x14ac:dyDescent="0.35">
      <c r="A67" s="527" t="s">
        <v>160</v>
      </c>
      <c r="B67" s="527"/>
      <c r="C67" s="43"/>
      <c r="D67" s="43"/>
      <c r="E67" s="45"/>
      <c r="F67" s="44" t="s">
        <v>128</v>
      </c>
      <c r="G67" s="43"/>
    </row>
    <row r="68" spans="1:10" ht="31.25" customHeight="1" x14ac:dyDescent="0.35">
      <c r="A68" s="528" t="s">
        <v>171</v>
      </c>
      <c r="B68" s="528"/>
      <c r="C68" s="82" t="s">
        <v>172</v>
      </c>
      <c r="D68" s="83" t="s">
        <v>173</v>
      </c>
      <c r="E68" s="84" t="s">
        <v>174</v>
      </c>
      <c r="F68" s="43"/>
    </row>
    <row r="69" spans="1:10" ht="16" thickBot="1" x14ac:dyDescent="0.4">
      <c r="A69" s="47"/>
      <c r="B69" s="47"/>
      <c r="C69" s="85"/>
      <c r="D69" s="43"/>
      <c r="E69" s="43"/>
      <c r="F69" s="43"/>
    </row>
    <row r="70" spans="1:10" ht="15.5" x14ac:dyDescent="0.35">
      <c r="A70" s="548"/>
      <c r="B70" s="549"/>
      <c r="C70" s="408" t="s">
        <v>8</v>
      </c>
      <c r="D70" s="408" t="s">
        <v>8</v>
      </c>
      <c r="E70" s="407" t="s">
        <v>10</v>
      </c>
      <c r="F70" s="409" t="s">
        <v>12</v>
      </c>
    </row>
    <row r="71" spans="1:10" ht="62.4" customHeight="1" x14ac:dyDescent="0.35">
      <c r="A71" s="550"/>
      <c r="B71" s="551"/>
      <c r="C71" s="399" t="s">
        <v>175</v>
      </c>
      <c r="D71" s="400" t="s">
        <v>133</v>
      </c>
      <c r="E71" s="400" t="s">
        <v>19</v>
      </c>
      <c r="F71" s="410" t="s">
        <v>21</v>
      </c>
    </row>
    <row r="72" spans="1:10" ht="15.5" x14ac:dyDescent="0.35">
      <c r="A72" s="552" t="s">
        <v>134</v>
      </c>
      <c r="B72" s="553"/>
      <c r="C72" s="398" t="s">
        <v>135</v>
      </c>
      <c r="D72" s="398" t="s">
        <v>135</v>
      </c>
      <c r="E72" s="398" t="s">
        <v>135</v>
      </c>
      <c r="F72" s="411" t="s">
        <v>135</v>
      </c>
    </row>
    <row r="73" spans="1:10" ht="15.5" x14ac:dyDescent="0.35">
      <c r="A73" s="552"/>
      <c r="B73" s="553"/>
      <c r="C73" s="398" t="s">
        <v>136</v>
      </c>
      <c r="D73" s="398" t="s">
        <v>309</v>
      </c>
      <c r="E73" s="398" t="s">
        <v>137</v>
      </c>
      <c r="F73" s="411" t="s">
        <v>137</v>
      </c>
    </row>
    <row r="74" spans="1:10" ht="15.5" x14ac:dyDescent="0.35">
      <c r="A74" s="552"/>
      <c r="B74" s="553"/>
      <c r="C74" s="398"/>
      <c r="D74" s="398"/>
      <c r="E74" s="398"/>
      <c r="F74" s="411"/>
    </row>
    <row r="75" spans="1:10" ht="31" x14ac:dyDescent="0.35">
      <c r="A75" s="412" t="s">
        <v>176</v>
      </c>
      <c r="B75" s="401" t="s">
        <v>140</v>
      </c>
      <c r="C75" s="402" t="s">
        <v>141</v>
      </c>
      <c r="D75" s="402" t="s">
        <v>141</v>
      </c>
      <c r="E75" s="398" t="s">
        <v>141</v>
      </c>
      <c r="F75" s="411" t="s">
        <v>142</v>
      </c>
    </row>
    <row r="76" spans="1:10" ht="32.25" customHeight="1" x14ac:dyDescent="0.35">
      <c r="A76" s="560" t="s">
        <v>177</v>
      </c>
      <c r="B76" s="546" t="s">
        <v>178</v>
      </c>
      <c r="C76" s="88" t="s">
        <v>195</v>
      </c>
      <c r="D76" s="64" t="s">
        <v>196</v>
      </c>
      <c r="E76" s="77" t="s">
        <v>337</v>
      </c>
      <c r="F76" s="65" t="s">
        <v>197</v>
      </c>
    </row>
    <row r="77" spans="1:10" ht="31" x14ac:dyDescent="0.35">
      <c r="A77" s="560"/>
      <c r="B77" s="546"/>
      <c r="C77" s="64" t="s">
        <v>198</v>
      </c>
      <c r="D77" s="64" t="s">
        <v>199</v>
      </c>
      <c r="E77" s="64" t="s">
        <v>339</v>
      </c>
      <c r="F77" s="92" t="s">
        <v>200</v>
      </c>
    </row>
    <row r="78" spans="1:10" ht="62.5" thickBot="1" x14ac:dyDescent="0.4">
      <c r="A78" s="561"/>
      <c r="B78" s="547"/>
      <c r="C78" s="81" t="s">
        <v>201</v>
      </c>
      <c r="D78" s="265" t="s">
        <v>304</v>
      </c>
      <c r="E78" s="81" t="s">
        <v>340</v>
      </c>
      <c r="F78" s="417" t="s">
        <v>202</v>
      </c>
    </row>
    <row r="79" spans="1:10" ht="15.5" x14ac:dyDescent="0.35">
      <c r="A79" s="556" t="s">
        <v>151</v>
      </c>
      <c r="B79" s="557"/>
      <c r="C79" s="415" t="s">
        <v>135</v>
      </c>
      <c r="D79" s="415" t="s">
        <v>135</v>
      </c>
      <c r="E79" s="415" t="s">
        <v>135</v>
      </c>
      <c r="F79" s="416" t="s">
        <v>135</v>
      </c>
    </row>
    <row r="80" spans="1:10" ht="15.5" x14ac:dyDescent="0.35">
      <c r="A80" s="558"/>
      <c r="B80" s="559"/>
      <c r="C80" s="404" t="s">
        <v>136</v>
      </c>
      <c r="D80" s="404" t="s">
        <v>309</v>
      </c>
      <c r="E80" s="404" t="s">
        <v>137</v>
      </c>
      <c r="F80" s="413" t="s">
        <v>137</v>
      </c>
    </row>
    <row r="81" spans="1:7" ht="15.5" x14ac:dyDescent="0.35">
      <c r="A81" s="558"/>
      <c r="B81" s="559"/>
      <c r="C81" s="404" t="s">
        <v>152</v>
      </c>
      <c r="D81" s="404" t="s">
        <v>154</v>
      </c>
      <c r="E81" s="404" t="s">
        <v>155</v>
      </c>
      <c r="F81" s="413" t="s">
        <v>156</v>
      </c>
    </row>
    <row r="82" spans="1:7" ht="31" x14ac:dyDescent="0.35">
      <c r="A82" s="414" t="s">
        <v>176</v>
      </c>
      <c r="B82" s="403" t="s">
        <v>140</v>
      </c>
      <c r="C82" s="405" t="s">
        <v>141</v>
      </c>
      <c r="D82" s="405" t="s">
        <v>141</v>
      </c>
      <c r="E82" s="404" t="s">
        <v>141</v>
      </c>
      <c r="F82" s="413" t="s">
        <v>142</v>
      </c>
    </row>
    <row r="83" spans="1:7" ht="32.25" customHeight="1" x14ac:dyDescent="0.35">
      <c r="A83" s="543" t="s">
        <v>177</v>
      </c>
      <c r="B83" s="546" t="s">
        <v>178</v>
      </c>
      <c r="C83" s="88" t="s">
        <v>195</v>
      </c>
      <c r="D83" s="64" t="s">
        <v>196</v>
      </c>
      <c r="E83" s="77" t="s">
        <v>337</v>
      </c>
      <c r="F83" s="65" t="s">
        <v>203</v>
      </c>
    </row>
    <row r="84" spans="1:7" ht="15.5" x14ac:dyDescent="0.35">
      <c r="A84" s="543"/>
      <c r="B84" s="546"/>
      <c r="C84" s="88" t="s">
        <v>204</v>
      </c>
      <c r="D84" s="88" t="s">
        <v>205</v>
      </c>
      <c r="E84" s="77" t="s">
        <v>338</v>
      </c>
      <c r="F84" s="65" t="s">
        <v>206</v>
      </c>
    </row>
    <row r="85" spans="1:7" ht="38.25" customHeight="1" x14ac:dyDescent="0.35">
      <c r="A85" s="543"/>
      <c r="B85" s="546"/>
      <c r="C85" s="64" t="s">
        <v>207</v>
      </c>
      <c r="D85" s="86" t="s">
        <v>305</v>
      </c>
      <c r="E85" s="77" t="s">
        <v>341</v>
      </c>
      <c r="F85" s="65" t="s">
        <v>208</v>
      </c>
    </row>
    <row r="86" spans="1:7" ht="68.400000000000006" customHeight="1" thickBot="1" x14ac:dyDescent="0.4">
      <c r="A86" s="544"/>
      <c r="B86" s="547"/>
      <c r="C86" s="81" t="s">
        <v>209</v>
      </c>
      <c r="D86" s="265" t="s">
        <v>306</v>
      </c>
      <c r="E86" s="272" t="s">
        <v>342</v>
      </c>
      <c r="F86" s="89" t="s">
        <v>210</v>
      </c>
    </row>
    <row r="87" spans="1:7" ht="15.5" x14ac:dyDescent="0.35">
      <c r="A87" s="43"/>
      <c r="B87" s="43"/>
      <c r="C87" s="43"/>
      <c r="D87" s="43"/>
      <c r="E87" s="43"/>
      <c r="F87" s="43"/>
    </row>
    <row r="88" spans="1:7" ht="15.5" x14ac:dyDescent="0.35">
      <c r="A88" s="43"/>
      <c r="B88" s="43"/>
      <c r="C88" s="43"/>
      <c r="D88" s="43"/>
      <c r="E88" s="43"/>
      <c r="F88" s="43"/>
      <c r="G88" s="43"/>
    </row>
    <row r="89" spans="1:7" ht="15.5" x14ac:dyDescent="0.35">
      <c r="A89" s="43"/>
      <c r="B89" s="43"/>
      <c r="C89" s="43"/>
      <c r="D89" s="43"/>
      <c r="E89" s="43"/>
      <c r="F89" s="43"/>
      <c r="G89" s="43"/>
    </row>
    <row r="90" spans="1:7" ht="15.5" x14ac:dyDescent="0.35">
      <c r="A90" s="43"/>
      <c r="B90" s="43"/>
      <c r="C90" s="43"/>
      <c r="D90" s="43"/>
      <c r="E90" s="43"/>
      <c r="F90" s="43"/>
      <c r="G90" s="43"/>
    </row>
    <row r="91" spans="1:7" ht="15.5" x14ac:dyDescent="0.35">
      <c r="A91" s="43"/>
      <c r="B91" s="43"/>
      <c r="C91" s="43"/>
      <c r="D91" s="43"/>
      <c r="E91" s="43"/>
      <c r="F91" s="43"/>
      <c r="G91" s="43"/>
    </row>
    <row r="92" spans="1:7" ht="15.5" x14ac:dyDescent="0.35">
      <c r="A92" s="43"/>
      <c r="B92" s="43"/>
      <c r="C92" s="43"/>
      <c r="D92" s="43"/>
      <c r="E92" s="43"/>
      <c r="F92" s="43"/>
      <c r="G92" s="43"/>
    </row>
    <row r="93" spans="1:7" ht="15.5" x14ac:dyDescent="0.35">
      <c r="A93" s="43"/>
      <c r="B93" s="43"/>
      <c r="C93" s="43"/>
      <c r="D93" s="43"/>
      <c r="E93" s="43"/>
      <c r="F93" s="43"/>
      <c r="G93" s="43"/>
    </row>
    <row r="94" spans="1:7" ht="15.5" x14ac:dyDescent="0.35">
      <c r="A94" s="43"/>
      <c r="B94" s="43"/>
      <c r="C94" s="43"/>
      <c r="D94" s="43"/>
      <c r="E94" s="43"/>
      <c r="F94" s="43"/>
      <c r="G94" s="43"/>
    </row>
    <row r="95" spans="1:7" ht="15.5" x14ac:dyDescent="0.35">
      <c r="A95" s="43"/>
      <c r="B95" s="43"/>
      <c r="C95" s="43"/>
      <c r="D95" s="43"/>
      <c r="E95" s="43"/>
      <c r="F95" s="43"/>
      <c r="G95" s="43"/>
    </row>
    <row r="96" spans="1:7" ht="15.5" x14ac:dyDescent="0.35">
      <c r="A96" s="43"/>
      <c r="B96" s="43"/>
      <c r="C96" s="43"/>
      <c r="D96" s="43"/>
      <c r="E96" s="43"/>
      <c r="F96" s="43"/>
      <c r="G96" s="43"/>
    </row>
    <row r="97" spans="1:7" ht="15.5" x14ac:dyDescent="0.35">
      <c r="A97" s="43"/>
      <c r="B97" s="43"/>
      <c r="C97" s="43"/>
      <c r="D97" s="43"/>
      <c r="E97" s="43"/>
      <c r="F97" s="43"/>
      <c r="G97" s="43"/>
    </row>
    <row r="98" spans="1:7" ht="15.5" x14ac:dyDescent="0.35">
      <c r="A98" s="43"/>
      <c r="B98" s="43"/>
      <c r="C98" s="43"/>
      <c r="D98" s="43"/>
      <c r="E98" s="43"/>
      <c r="F98" s="43"/>
      <c r="G98" s="43"/>
    </row>
    <row r="99" spans="1:7" ht="15.5" x14ac:dyDescent="0.35">
      <c r="A99" s="43"/>
      <c r="B99" s="43"/>
      <c r="C99" s="43"/>
      <c r="D99" s="43"/>
      <c r="E99" s="43"/>
      <c r="F99" s="43"/>
      <c r="G99" s="43"/>
    </row>
    <row r="100" spans="1:7" ht="15.5" x14ac:dyDescent="0.35">
      <c r="A100" s="43"/>
      <c r="B100" s="43"/>
      <c r="C100" s="43"/>
      <c r="D100" s="43"/>
      <c r="E100" s="43"/>
      <c r="F100" s="43"/>
      <c r="G100" s="43"/>
    </row>
    <row r="101" spans="1:7" ht="15.5" x14ac:dyDescent="0.35">
      <c r="A101" s="43"/>
      <c r="B101" s="43"/>
      <c r="C101" s="43"/>
      <c r="D101" s="43"/>
      <c r="E101" s="43"/>
      <c r="F101" s="43"/>
      <c r="G101" s="43"/>
    </row>
    <row r="102" spans="1:7" ht="15.5" x14ac:dyDescent="0.35">
      <c r="A102" s="43"/>
      <c r="B102" s="43"/>
      <c r="C102" s="43"/>
      <c r="D102" s="43"/>
      <c r="E102" s="43"/>
      <c r="F102" s="43"/>
      <c r="G102" s="43"/>
    </row>
    <row r="103" spans="1:7" ht="15.5" x14ac:dyDescent="0.35">
      <c r="A103" s="43"/>
      <c r="B103" s="43"/>
      <c r="C103" s="43"/>
      <c r="D103" s="43"/>
      <c r="E103" s="43"/>
      <c r="F103" s="43"/>
      <c r="G103" s="43"/>
    </row>
    <row r="104" spans="1:7" ht="15.5" x14ac:dyDescent="0.35">
      <c r="A104" s="43"/>
      <c r="B104" s="43"/>
      <c r="C104" s="43"/>
      <c r="D104" s="43"/>
      <c r="E104" s="43"/>
      <c r="F104" s="43"/>
      <c r="G104" s="43"/>
    </row>
    <row r="105" spans="1:7" ht="15.5" x14ac:dyDescent="0.35">
      <c r="A105" s="43"/>
      <c r="B105" s="43"/>
      <c r="C105" s="43"/>
      <c r="D105" s="43"/>
      <c r="E105" s="43"/>
      <c r="F105" s="43"/>
      <c r="G105" s="43"/>
    </row>
    <row r="106" spans="1:7" ht="15.5" x14ac:dyDescent="0.35">
      <c r="A106" s="43"/>
      <c r="B106" s="43"/>
      <c r="C106" s="43"/>
      <c r="D106" s="43"/>
      <c r="E106" s="43"/>
      <c r="F106" s="43"/>
      <c r="G106" s="43"/>
    </row>
    <row r="107" spans="1:7" ht="15.5" x14ac:dyDescent="0.35">
      <c r="A107" s="43"/>
      <c r="B107" s="43"/>
      <c r="C107" s="43"/>
      <c r="D107" s="43"/>
      <c r="E107" s="43"/>
      <c r="F107" s="43"/>
      <c r="G107" s="43"/>
    </row>
    <row r="108" spans="1:7" ht="15.5" x14ac:dyDescent="0.35">
      <c r="A108" s="43"/>
      <c r="B108" s="43"/>
      <c r="C108" s="43"/>
      <c r="D108" s="43"/>
      <c r="E108" s="43"/>
      <c r="F108" s="43"/>
      <c r="G108" s="43"/>
    </row>
    <row r="109" spans="1:7" ht="15.5" x14ac:dyDescent="0.35">
      <c r="A109" s="43"/>
      <c r="B109" s="43"/>
      <c r="C109" s="43"/>
      <c r="D109" s="43"/>
      <c r="E109" s="43"/>
      <c r="F109" s="43"/>
      <c r="G109" s="43"/>
    </row>
    <row r="110" spans="1:7" ht="15.5" x14ac:dyDescent="0.35">
      <c r="A110" s="43"/>
      <c r="B110" s="43"/>
      <c r="C110" s="43"/>
      <c r="D110" s="43"/>
      <c r="E110" s="43"/>
      <c r="F110" s="43"/>
      <c r="G110" s="43"/>
    </row>
    <row r="111" spans="1:7" ht="15.5" x14ac:dyDescent="0.35">
      <c r="A111" s="43"/>
      <c r="B111" s="43"/>
      <c r="C111" s="43"/>
      <c r="D111" s="43"/>
      <c r="E111" s="43"/>
      <c r="F111" s="43"/>
      <c r="G111" s="43"/>
    </row>
    <row r="112" spans="1:7" ht="15.5" x14ac:dyDescent="0.35">
      <c r="A112" s="43"/>
      <c r="B112" s="43"/>
      <c r="C112" s="43"/>
      <c r="D112" s="43"/>
      <c r="E112" s="43"/>
      <c r="F112" s="43"/>
      <c r="G112" s="43"/>
    </row>
    <row r="113" spans="1:7" ht="15.5" x14ac:dyDescent="0.35">
      <c r="A113" s="43"/>
      <c r="B113" s="43"/>
      <c r="C113" s="43"/>
      <c r="D113" s="43"/>
      <c r="E113" s="43"/>
      <c r="F113" s="43"/>
      <c r="G113" s="43"/>
    </row>
    <row r="114" spans="1:7" ht="15.5" x14ac:dyDescent="0.35">
      <c r="A114" s="43"/>
      <c r="B114" s="43"/>
      <c r="C114" s="43"/>
      <c r="D114" s="43"/>
      <c r="E114" s="43"/>
      <c r="F114" s="43"/>
      <c r="G114" s="43"/>
    </row>
    <row r="115" spans="1:7" ht="15.5" x14ac:dyDescent="0.35">
      <c r="A115" s="43"/>
      <c r="B115" s="43"/>
      <c r="C115" s="43"/>
      <c r="D115" s="43"/>
      <c r="E115" s="43"/>
      <c r="F115" s="43"/>
      <c r="G115" s="43"/>
    </row>
    <row r="116" spans="1:7" ht="15.5" x14ac:dyDescent="0.35">
      <c r="A116" s="43"/>
      <c r="B116" s="43"/>
      <c r="C116" s="43"/>
      <c r="D116" s="43"/>
      <c r="E116" s="43"/>
      <c r="F116" s="43"/>
      <c r="G116" s="43"/>
    </row>
    <row r="117" spans="1:7" ht="15.5" x14ac:dyDescent="0.35">
      <c r="A117" s="43"/>
      <c r="B117" s="43"/>
      <c r="C117" s="43"/>
      <c r="D117" s="43"/>
      <c r="E117" s="43"/>
      <c r="F117" s="43"/>
      <c r="G117" s="43"/>
    </row>
    <row r="118" spans="1:7" ht="15.5" x14ac:dyDescent="0.35">
      <c r="A118" s="43"/>
      <c r="B118" s="43"/>
      <c r="C118" s="43"/>
      <c r="D118" s="43"/>
      <c r="E118" s="43"/>
      <c r="F118" s="43"/>
      <c r="G118" s="43"/>
    </row>
    <row r="119" spans="1:7" ht="15.5" x14ac:dyDescent="0.35">
      <c r="A119" s="43"/>
      <c r="B119" s="43"/>
      <c r="C119" s="43"/>
      <c r="D119" s="43"/>
      <c r="E119" s="43"/>
      <c r="F119" s="43"/>
      <c r="G119" s="43"/>
    </row>
    <row r="120" spans="1:7" ht="15.5" x14ac:dyDescent="0.35">
      <c r="A120" s="43"/>
      <c r="B120" s="43"/>
      <c r="C120" s="43"/>
      <c r="D120" s="43"/>
      <c r="E120" s="43"/>
      <c r="F120" s="43"/>
      <c r="G120" s="43"/>
    </row>
    <row r="121" spans="1:7" ht="15.5" x14ac:dyDescent="0.35">
      <c r="A121" s="43"/>
      <c r="B121" s="43"/>
      <c r="C121" s="43"/>
      <c r="D121" s="43"/>
      <c r="E121" s="43"/>
      <c r="F121" s="43"/>
      <c r="G121" s="43"/>
    </row>
    <row r="122" spans="1:7" ht="15.5" x14ac:dyDescent="0.35">
      <c r="A122" s="43"/>
      <c r="B122" s="43"/>
      <c r="C122" s="43"/>
      <c r="D122" s="43"/>
      <c r="E122" s="43"/>
      <c r="F122" s="43"/>
      <c r="G122" s="43"/>
    </row>
    <row r="123" spans="1:7" ht="15.5" x14ac:dyDescent="0.35">
      <c r="A123" s="43"/>
      <c r="B123" s="43"/>
      <c r="C123" s="43"/>
      <c r="D123" s="43"/>
      <c r="E123" s="43"/>
      <c r="F123" s="43"/>
      <c r="G123" s="43"/>
    </row>
    <row r="124" spans="1:7" ht="15.5" x14ac:dyDescent="0.35">
      <c r="A124" s="43"/>
      <c r="B124" s="43"/>
      <c r="C124" s="43"/>
      <c r="D124" s="43"/>
      <c r="E124" s="43"/>
      <c r="F124" s="43"/>
      <c r="G124" s="43"/>
    </row>
    <row r="125" spans="1:7" ht="15.5" x14ac:dyDescent="0.35">
      <c r="A125" s="43"/>
      <c r="B125" s="43"/>
      <c r="C125" s="43"/>
      <c r="D125" s="43"/>
      <c r="E125" s="43"/>
      <c r="F125" s="43"/>
      <c r="G125" s="43"/>
    </row>
  </sheetData>
  <sheetProtection algorithmName="SHA-512" hashValue="tP7ybWa+vDXP5DSu/QnE1vX6G1WbAmxsQ3G3C6m8OZjzc2jIb2YYWtLTgu3Lx/1yRfcTZkSkWqu/gGllsjiy3g==" saltValue="cetaq6dZDYLfNdFaOncLog==" spinCount="100000" sheet="1" objects="1" scenarios="1"/>
  <mergeCells count="48">
    <mergeCell ref="A72:B74"/>
    <mergeCell ref="A76:A78"/>
    <mergeCell ref="B76:B78"/>
    <mergeCell ref="A79:B81"/>
    <mergeCell ref="A83:A86"/>
    <mergeCell ref="B83:B86"/>
    <mergeCell ref="A70:B71"/>
    <mergeCell ref="A44:B44"/>
    <mergeCell ref="A45:B45"/>
    <mergeCell ref="A47:B48"/>
    <mergeCell ref="A49:B51"/>
    <mergeCell ref="A53:A55"/>
    <mergeCell ref="B53:B55"/>
    <mergeCell ref="A56:B58"/>
    <mergeCell ref="A60:A63"/>
    <mergeCell ref="B60:B63"/>
    <mergeCell ref="A67:B67"/>
    <mergeCell ref="A68:B68"/>
    <mergeCell ref="G39:G42"/>
    <mergeCell ref="A32:A34"/>
    <mergeCell ref="B32:B34"/>
    <mergeCell ref="D32:D34"/>
    <mergeCell ref="F32:F34"/>
    <mergeCell ref="A35:B37"/>
    <mergeCell ref="A39:A42"/>
    <mergeCell ref="B39:B42"/>
    <mergeCell ref="D39:D42"/>
    <mergeCell ref="F39:F42"/>
    <mergeCell ref="I6:I20"/>
    <mergeCell ref="A2:B2"/>
    <mergeCell ref="A3:B3"/>
    <mergeCell ref="A5:B6"/>
    <mergeCell ref="F17:F20"/>
    <mergeCell ref="A7:B8"/>
    <mergeCell ref="A10:A12"/>
    <mergeCell ref="B10:B12"/>
    <mergeCell ref="D10:D12"/>
    <mergeCell ref="F10:F12"/>
    <mergeCell ref="A29:B30"/>
    <mergeCell ref="A13:B15"/>
    <mergeCell ref="A17:A20"/>
    <mergeCell ref="B17:B20"/>
    <mergeCell ref="G17:G20"/>
    <mergeCell ref="A27:B28"/>
    <mergeCell ref="D17:D20"/>
    <mergeCell ref="A24:B24"/>
    <mergeCell ref="A25:B25"/>
    <mergeCell ref="A26:B26"/>
  </mergeCells>
  <pageMargins left="0.7" right="0.7" top="0.75" bottom="0.75" header="0.3" footer="0.3"/>
  <pageSetup paperSize="9" orientation="portrait" r:id="rId1"/>
  <headerFooter>
    <oddFooter>&amp;L_x000D_&amp;1#&amp;"Calibri"&amp;8&amp;K008000 Public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D654-7431-4923-A39E-22246A3FD735}">
  <sheetPr codeName="Sheet6">
    <pageSetUpPr fitToPage="1"/>
  </sheetPr>
  <dimension ref="A1:R83"/>
  <sheetViews>
    <sheetView showGridLines="0" topLeftCell="H2" zoomScale="75" zoomScaleNormal="75" zoomScaleSheetLayoutView="100" workbookViewId="0">
      <selection activeCell="F2" sqref="F1:F1048576"/>
    </sheetView>
  </sheetViews>
  <sheetFormatPr defaultRowHeight="14.5" x14ac:dyDescent="0.35"/>
  <cols>
    <col min="1" max="1" width="13.453125" customWidth="1"/>
    <col min="2" max="2" width="15.54296875" customWidth="1"/>
    <col min="3" max="3" width="25.54296875" hidden="1" customWidth="1"/>
    <col min="4" max="5" width="25.54296875" customWidth="1"/>
    <col min="6" max="6" width="25.54296875" hidden="1" customWidth="1"/>
    <col min="7" max="9" width="25.54296875" customWidth="1"/>
    <col min="10" max="10" width="22.54296875" customWidth="1"/>
    <col min="11" max="11" width="2.6328125" hidden="1" customWidth="1"/>
    <col min="12" max="12" width="20.54296875" customWidth="1"/>
    <col min="13" max="13" width="22.453125" customWidth="1"/>
    <col min="14" max="14" width="2.54296875" customWidth="1"/>
    <col min="15" max="15" width="8.54296875" customWidth="1"/>
    <col min="16" max="16" width="67.81640625" customWidth="1"/>
    <col min="17" max="17" width="9.54296875" bestFit="1" customWidth="1"/>
    <col min="18" max="18" width="11.1796875" style="96" customWidth="1"/>
    <col min="19" max="19" width="13.453125" customWidth="1"/>
  </cols>
  <sheetData>
    <row r="1" spans="1:17" hidden="1" x14ac:dyDescent="0.35">
      <c r="A1" s="94"/>
      <c r="B1" s="94"/>
      <c r="C1" s="312" t="s">
        <v>377</v>
      </c>
      <c r="D1" s="388" t="s">
        <v>376</v>
      </c>
      <c r="E1" s="94"/>
      <c r="F1" s="94"/>
      <c r="G1" s="94"/>
      <c r="H1" s="94"/>
      <c r="I1" s="94"/>
      <c r="J1" s="94"/>
      <c r="K1" s="95"/>
      <c r="L1" s="95"/>
      <c r="M1" s="95"/>
      <c r="N1" s="95"/>
      <c r="O1" s="95"/>
    </row>
    <row r="2" spans="1:17" ht="22.5" customHeight="1" x14ac:dyDescent="0.35">
      <c r="A2" s="527" t="s">
        <v>127</v>
      </c>
      <c r="B2" s="527"/>
      <c r="C2" s="44"/>
      <c r="D2" s="44"/>
      <c r="E2" s="46"/>
      <c r="F2" s="46"/>
      <c r="G2" s="46"/>
      <c r="H2" s="46"/>
      <c r="I2" s="46"/>
      <c r="J2" s="97"/>
      <c r="K2" s="46" t="s">
        <v>128</v>
      </c>
      <c r="L2" s="562" t="s">
        <v>128</v>
      </c>
      <c r="M2" s="562"/>
      <c r="N2" s="562"/>
      <c r="O2" s="98"/>
    </row>
    <row r="3" spans="1:17" ht="28.4" customHeight="1" x14ac:dyDescent="0.35">
      <c r="A3" s="528" t="s">
        <v>129</v>
      </c>
      <c r="B3" s="528"/>
      <c r="C3" s="99">
        <v>500000</v>
      </c>
      <c r="D3" s="99">
        <v>500000</v>
      </c>
      <c r="E3" s="100"/>
      <c r="F3" s="100"/>
      <c r="G3" s="100"/>
      <c r="H3" s="100"/>
      <c r="I3" s="100"/>
      <c r="J3" s="101"/>
      <c r="K3" s="562" t="s">
        <v>211</v>
      </c>
      <c r="L3" s="562"/>
      <c r="M3" s="562"/>
      <c r="N3" s="46"/>
      <c r="O3" s="46"/>
    </row>
    <row r="4" spans="1:17" ht="27.75" customHeight="1" thickBot="1" x14ac:dyDescent="0.4">
      <c r="A4" s="563"/>
      <c r="B4" s="563"/>
      <c r="C4" s="102"/>
      <c r="D4" s="102"/>
      <c r="E4" s="102"/>
      <c r="F4" s="102"/>
      <c r="G4" s="102"/>
      <c r="H4" s="102"/>
      <c r="I4" s="102"/>
      <c r="J4" s="98"/>
      <c r="K4" s="98"/>
      <c r="L4" s="98"/>
      <c r="M4" s="98"/>
      <c r="N4" s="98"/>
      <c r="O4" s="98"/>
    </row>
    <row r="5" spans="1:17" ht="18" customHeight="1" thickBot="1" x14ac:dyDescent="0.4">
      <c r="A5" s="564"/>
      <c r="B5" s="565"/>
      <c r="C5" s="327" t="s">
        <v>8</v>
      </c>
      <c r="D5" s="327" t="s">
        <v>8</v>
      </c>
      <c r="E5" s="327" t="s">
        <v>9</v>
      </c>
      <c r="F5" s="327" t="s">
        <v>10</v>
      </c>
      <c r="G5" s="327" t="s">
        <v>10</v>
      </c>
      <c r="H5" s="327" t="s">
        <v>10</v>
      </c>
      <c r="I5" s="327" t="s">
        <v>11</v>
      </c>
      <c r="J5" s="328" t="s">
        <v>12</v>
      </c>
      <c r="K5" s="328" t="s">
        <v>13</v>
      </c>
      <c r="L5" s="328" t="s">
        <v>13</v>
      </c>
      <c r="M5" s="329" t="s">
        <v>14</v>
      </c>
      <c r="N5" s="103"/>
      <c r="O5" s="104"/>
      <c r="P5" s="434" t="s">
        <v>131</v>
      </c>
    </row>
    <row r="6" spans="1:17" ht="39" customHeight="1" x14ac:dyDescent="0.35">
      <c r="A6" s="566"/>
      <c r="B6" s="567"/>
      <c r="C6" s="314" t="s">
        <v>384</v>
      </c>
      <c r="D6" s="314" t="s">
        <v>384</v>
      </c>
      <c r="E6" s="315" t="s">
        <v>17</v>
      </c>
      <c r="F6" s="315" t="s">
        <v>355</v>
      </c>
      <c r="G6" s="315" t="s">
        <v>355</v>
      </c>
      <c r="H6" s="315" t="s">
        <v>19</v>
      </c>
      <c r="I6" s="315" t="s">
        <v>20</v>
      </c>
      <c r="J6" s="314" t="s">
        <v>21</v>
      </c>
      <c r="K6" s="314" t="s">
        <v>212</v>
      </c>
      <c r="L6" s="314" t="s">
        <v>333</v>
      </c>
      <c r="M6" s="330" t="s">
        <v>24</v>
      </c>
      <c r="N6" s="103"/>
      <c r="O6" s="104"/>
      <c r="P6" s="529" t="s">
        <v>408</v>
      </c>
    </row>
    <row r="7" spans="1:17" ht="18.75" customHeight="1" x14ac:dyDescent="0.35">
      <c r="A7" s="568" t="s">
        <v>213</v>
      </c>
      <c r="B7" s="569"/>
      <c r="C7" s="313" t="s">
        <v>135</v>
      </c>
      <c r="D7" s="313" t="s">
        <v>135</v>
      </c>
      <c r="E7" s="313" t="s">
        <v>135</v>
      </c>
      <c r="F7" s="313" t="s">
        <v>352</v>
      </c>
      <c r="G7" s="313" t="s">
        <v>352</v>
      </c>
      <c r="H7" s="313" t="s">
        <v>135</v>
      </c>
      <c r="I7" s="313" t="s">
        <v>135</v>
      </c>
      <c r="J7" s="313" t="s">
        <v>135</v>
      </c>
      <c r="K7" s="313" t="s">
        <v>135</v>
      </c>
      <c r="L7" s="313" t="s">
        <v>135</v>
      </c>
      <c r="M7" s="331" t="s">
        <v>135</v>
      </c>
      <c r="N7" s="103"/>
      <c r="O7" s="104"/>
      <c r="P7" s="530"/>
    </row>
    <row r="8" spans="1:17" ht="16.5" customHeight="1" x14ac:dyDescent="0.35">
      <c r="A8" s="568"/>
      <c r="B8" s="569"/>
      <c r="C8" s="313" t="s">
        <v>309</v>
      </c>
      <c r="D8" s="313" t="s">
        <v>309</v>
      </c>
      <c r="E8" s="313" t="s">
        <v>214</v>
      </c>
      <c r="F8" s="313"/>
      <c r="G8" s="313"/>
      <c r="H8" s="313" t="s">
        <v>137</v>
      </c>
      <c r="I8" s="313" t="s">
        <v>136</v>
      </c>
      <c r="J8" s="313" t="s">
        <v>137</v>
      </c>
      <c r="K8" s="313" t="s">
        <v>138</v>
      </c>
      <c r="L8" s="313" t="s">
        <v>138</v>
      </c>
      <c r="M8" s="331" t="s">
        <v>137</v>
      </c>
      <c r="N8" s="103"/>
      <c r="O8" s="104"/>
      <c r="P8" s="530"/>
    </row>
    <row r="9" spans="1:17" ht="25.5" customHeight="1" x14ac:dyDescent="0.35">
      <c r="A9" s="334" t="s">
        <v>176</v>
      </c>
      <c r="B9" s="421" t="s">
        <v>140</v>
      </c>
      <c r="C9" s="316" t="s">
        <v>141</v>
      </c>
      <c r="D9" s="316" t="s">
        <v>141</v>
      </c>
      <c r="E9" s="316" t="s">
        <v>142</v>
      </c>
      <c r="F9" s="316" t="s">
        <v>141</v>
      </c>
      <c r="G9" s="316" t="s">
        <v>141</v>
      </c>
      <c r="H9" s="316" t="s">
        <v>141</v>
      </c>
      <c r="I9" s="316" t="s">
        <v>141</v>
      </c>
      <c r="J9" s="316" t="s">
        <v>142</v>
      </c>
      <c r="K9" s="316" t="s">
        <v>142</v>
      </c>
      <c r="L9" s="316" t="s">
        <v>142</v>
      </c>
      <c r="M9" s="333" t="s">
        <v>141</v>
      </c>
      <c r="N9" s="105"/>
      <c r="O9" s="106"/>
      <c r="P9" s="530"/>
    </row>
    <row r="10" spans="1:17" x14ac:dyDescent="0.35">
      <c r="A10" s="570" t="s">
        <v>177</v>
      </c>
      <c r="B10" s="418" t="s">
        <v>215</v>
      </c>
      <c r="C10" s="112">
        <v>268.05</v>
      </c>
      <c r="D10" s="112">
        <f>268.05-60</f>
        <v>208.05</v>
      </c>
      <c r="E10" s="112">
        <v>510</v>
      </c>
      <c r="F10" s="113" t="s">
        <v>111</v>
      </c>
      <c r="G10" s="113" t="s">
        <v>111</v>
      </c>
      <c r="H10" s="112">
        <v>229.5</v>
      </c>
      <c r="I10" s="112">
        <v>316.25</v>
      </c>
      <c r="J10" s="113">
        <v>346.38000000000005</v>
      </c>
      <c r="K10" s="112" t="s">
        <v>111</v>
      </c>
      <c r="L10" s="112" t="s">
        <v>111</v>
      </c>
      <c r="M10" s="115">
        <v>285.25</v>
      </c>
      <c r="N10" s="110"/>
      <c r="O10" s="110"/>
      <c r="P10" s="530"/>
      <c r="Q10" s="111"/>
    </row>
    <row r="11" spans="1:17" x14ac:dyDescent="0.35">
      <c r="A11" s="570"/>
      <c r="B11" s="419" t="s">
        <v>216</v>
      </c>
      <c r="C11" s="112">
        <v>309.20000000000005</v>
      </c>
      <c r="D11" s="112">
        <f>309.2-60</f>
        <v>249.2</v>
      </c>
      <c r="E11" s="112" t="s">
        <v>111</v>
      </c>
      <c r="F11" s="113" t="s">
        <v>111</v>
      </c>
      <c r="G11" s="113" t="s">
        <v>111</v>
      </c>
      <c r="H11" s="112">
        <v>258.375</v>
      </c>
      <c r="I11" s="112">
        <v>333.5</v>
      </c>
      <c r="J11" s="113">
        <v>366.16</v>
      </c>
      <c r="K11" s="112">
        <v>355.35</v>
      </c>
      <c r="L11" s="112">
        <v>355.35</v>
      </c>
      <c r="M11" s="115">
        <v>289.10000000000002</v>
      </c>
      <c r="N11" s="110"/>
      <c r="O11" s="110"/>
      <c r="P11" s="530"/>
      <c r="Q11" s="111"/>
    </row>
    <row r="12" spans="1:17" x14ac:dyDescent="0.35">
      <c r="A12" s="570"/>
      <c r="B12" s="419" t="s">
        <v>217</v>
      </c>
      <c r="C12" s="112">
        <v>551.25</v>
      </c>
      <c r="D12" s="112">
        <f>551.25-60</f>
        <v>491.25</v>
      </c>
      <c r="E12" s="112">
        <v>930</v>
      </c>
      <c r="F12" s="113" t="s">
        <v>111</v>
      </c>
      <c r="G12" s="113" t="s">
        <v>111</v>
      </c>
      <c r="H12" s="112">
        <v>469.125</v>
      </c>
      <c r="I12" s="112">
        <v>678.5</v>
      </c>
      <c r="J12" s="113">
        <v>654.58000000000004</v>
      </c>
      <c r="K12" s="112">
        <v>700.15</v>
      </c>
      <c r="L12" s="112">
        <v>700.15</v>
      </c>
      <c r="M12" s="115">
        <v>406.79999999999995</v>
      </c>
      <c r="N12" s="110"/>
      <c r="O12" s="110"/>
      <c r="P12" s="530"/>
      <c r="Q12" s="111"/>
    </row>
    <row r="13" spans="1:17" x14ac:dyDescent="0.35">
      <c r="A13" s="570"/>
      <c r="B13" s="419" t="s">
        <v>218</v>
      </c>
      <c r="C13" s="112">
        <v>1197.1500000000001</v>
      </c>
      <c r="D13" s="112">
        <f>C13-60</f>
        <v>1137.1500000000001</v>
      </c>
      <c r="E13" s="112" t="s">
        <v>111</v>
      </c>
      <c r="F13" s="113" t="s">
        <v>111</v>
      </c>
      <c r="G13" s="113" t="s">
        <v>111</v>
      </c>
      <c r="H13" s="112">
        <v>1341</v>
      </c>
      <c r="I13" s="112">
        <v>1840</v>
      </c>
      <c r="J13" s="113" t="s">
        <v>111</v>
      </c>
      <c r="K13" s="112">
        <v>1533.1</v>
      </c>
      <c r="L13" s="112">
        <f>K13*0.85</f>
        <v>1303.135</v>
      </c>
      <c r="M13" s="115">
        <v>991.71</v>
      </c>
      <c r="N13" s="110"/>
      <c r="O13" s="110"/>
      <c r="P13" s="530"/>
      <c r="Q13" s="111"/>
    </row>
    <row r="14" spans="1:17" x14ac:dyDescent="0.35">
      <c r="A14" s="570"/>
      <c r="B14" s="419" t="s">
        <v>219</v>
      </c>
      <c r="C14" s="112">
        <v>2984.8</v>
      </c>
      <c r="D14" s="470">
        <f>C14-60</f>
        <v>2924.8</v>
      </c>
      <c r="E14" s="112" t="s">
        <v>111</v>
      </c>
      <c r="F14" s="113">
        <f>1959/0.8</f>
        <v>2448.75</v>
      </c>
      <c r="G14" s="113">
        <f>F14*0.85</f>
        <v>2081.4375</v>
      </c>
      <c r="H14" s="112" t="s">
        <v>111</v>
      </c>
      <c r="I14" s="112" t="s">
        <v>111</v>
      </c>
      <c r="J14" s="113" t="s">
        <v>111</v>
      </c>
      <c r="K14" s="112" t="s">
        <v>111</v>
      </c>
      <c r="L14" s="112" t="s">
        <v>111</v>
      </c>
      <c r="M14" s="115" t="s">
        <v>111</v>
      </c>
      <c r="N14" s="116"/>
      <c r="O14" s="110"/>
      <c r="P14" s="530"/>
      <c r="Q14" s="111"/>
    </row>
    <row r="15" spans="1:17" ht="15" thickBot="1" x14ac:dyDescent="0.4">
      <c r="A15" s="571"/>
      <c r="B15" s="117" t="s">
        <v>220</v>
      </c>
      <c r="C15" s="118" t="s">
        <v>111</v>
      </c>
      <c r="D15" s="118" t="s">
        <v>111</v>
      </c>
      <c r="E15" s="118" t="s">
        <v>111</v>
      </c>
      <c r="F15" s="119" t="s">
        <v>111</v>
      </c>
      <c r="G15" s="119" t="s">
        <v>111</v>
      </c>
      <c r="H15" s="118" t="s">
        <v>111</v>
      </c>
      <c r="I15" s="118">
        <v>3110.75</v>
      </c>
      <c r="J15" s="119" t="s">
        <v>111</v>
      </c>
      <c r="K15" s="118">
        <v>3129.3</v>
      </c>
      <c r="L15" s="118">
        <f>3129.3*0.85</f>
        <v>2659.9050000000002</v>
      </c>
      <c r="M15" s="120" t="s">
        <v>111</v>
      </c>
      <c r="N15" s="116"/>
      <c r="O15" s="110"/>
      <c r="P15" s="530"/>
      <c r="Q15" s="111"/>
    </row>
    <row r="16" spans="1:17" ht="39" customHeight="1" x14ac:dyDescent="0.35">
      <c r="A16" s="572" t="s">
        <v>221</v>
      </c>
      <c r="B16" s="573"/>
      <c r="C16" s="335" t="s">
        <v>135</v>
      </c>
      <c r="D16" s="335" t="s">
        <v>135</v>
      </c>
      <c r="E16" s="335" t="s">
        <v>135</v>
      </c>
      <c r="F16" s="335" t="s">
        <v>111</v>
      </c>
      <c r="G16" s="335" t="s">
        <v>111</v>
      </c>
      <c r="H16" s="335" t="s">
        <v>135</v>
      </c>
      <c r="I16" s="335" t="s">
        <v>135</v>
      </c>
      <c r="J16" s="335" t="s">
        <v>135</v>
      </c>
      <c r="K16" s="335" t="s">
        <v>135</v>
      </c>
      <c r="L16" s="335" t="s">
        <v>135</v>
      </c>
      <c r="M16" s="336" t="s">
        <v>135</v>
      </c>
      <c r="N16" s="103"/>
      <c r="O16" s="104"/>
      <c r="P16" s="530"/>
    </row>
    <row r="17" spans="1:16" ht="16" customHeight="1" x14ac:dyDescent="0.35">
      <c r="A17" s="574"/>
      <c r="B17" s="575"/>
      <c r="C17" s="317" t="s">
        <v>309</v>
      </c>
      <c r="D17" s="317" t="s">
        <v>309</v>
      </c>
      <c r="E17" s="317" t="s">
        <v>214</v>
      </c>
      <c r="F17" s="317" t="s">
        <v>111</v>
      </c>
      <c r="G17" s="317" t="s">
        <v>111</v>
      </c>
      <c r="H17" s="317" t="s">
        <v>137</v>
      </c>
      <c r="I17" s="317" t="s">
        <v>136</v>
      </c>
      <c r="J17" s="317" t="s">
        <v>137</v>
      </c>
      <c r="K17" s="317" t="s">
        <v>138</v>
      </c>
      <c r="L17" s="317" t="s">
        <v>138</v>
      </c>
      <c r="M17" s="323" t="s">
        <v>137</v>
      </c>
      <c r="N17" s="103"/>
      <c r="O17" s="104"/>
      <c r="P17" s="530"/>
    </row>
    <row r="18" spans="1:16" ht="29" x14ac:dyDescent="0.35">
      <c r="A18" s="574"/>
      <c r="B18" s="575"/>
      <c r="C18" s="317" t="s">
        <v>154</v>
      </c>
      <c r="D18" s="317" t="s">
        <v>154</v>
      </c>
      <c r="E18" s="317" t="s">
        <v>222</v>
      </c>
      <c r="F18" s="317" t="s">
        <v>111</v>
      </c>
      <c r="G18" s="317" t="s">
        <v>111</v>
      </c>
      <c r="H18" s="317" t="s">
        <v>223</v>
      </c>
      <c r="I18" s="317" t="s">
        <v>224</v>
      </c>
      <c r="J18" s="317" t="s">
        <v>225</v>
      </c>
      <c r="K18" s="317" t="s">
        <v>111</v>
      </c>
      <c r="L18" s="318" t="s">
        <v>336</v>
      </c>
      <c r="M18" s="323" t="s">
        <v>226</v>
      </c>
      <c r="N18" s="103"/>
      <c r="O18" s="104"/>
      <c r="P18" s="530"/>
    </row>
    <row r="19" spans="1:16" x14ac:dyDescent="0.35">
      <c r="A19" s="324" t="s">
        <v>176</v>
      </c>
      <c r="B19" s="420" t="s">
        <v>140</v>
      </c>
      <c r="C19" s="319" t="s">
        <v>141</v>
      </c>
      <c r="D19" s="319" t="s">
        <v>141</v>
      </c>
      <c r="E19" s="319" t="s">
        <v>142</v>
      </c>
      <c r="F19" s="317" t="s">
        <v>111</v>
      </c>
      <c r="G19" s="317" t="s">
        <v>111</v>
      </c>
      <c r="H19" s="319" t="s">
        <v>141</v>
      </c>
      <c r="I19" s="320" t="s">
        <v>141</v>
      </c>
      <c r="J19" s="319" t="s">
        <v>142</v>
      </c>
      <c r="K19" s="319" t="s">
        <v>142</v>
      </c>
      <c r="L19" s="319" t="s">
        <v>142</v>
      </c>
      <c r="M19" s="325" t="s">
        <v>141</v>
      </c>
      <c r="N19" s="105"/>
      <c r="O19" s="106"/>
      <c r="P19" s="530"/>
    </row>
    <row r="20" spans="1:16" x14ac:dyDescent="0.35">
      <c r="A20" s="576" t="s">
        <v>177</v>
      </c>
      <c r="B20" s="418" t="s">
        <v>215</v>
      </c>
      <c r="C20" s="112">
        <v>842.75</v>
      </c>
      <c r="D20" s="112">
        <f>842.75-60</f>
        <v>782.75</v>
      </c>
      <c r="E20" s="112">
        <v>1370</v>
      </c>
      <c r="F20" s="113" t="s">
        <v>111</v>
      </c>
      <c r="G20" s="113" t="s">
        <v>111</v>
      </c>
      <c r="H20" s="112">
        <v>698.25</v>
      </c>
      <c r="I20" s="112">
        <v>1111.25</v>
      </c>
      <c r="J20" s="113">
        <v>1141.26</v>
      </c>
      <c r="K20" s="112" t="s">
        <v>111</v>
      </c>
      <c r="L20" s="112" t="s">
        <v>111</v>
      </c>
      <c r="M20" s="115">
        <v>810.25</v>
      </c>
      <c r="N20" s="110"/>
      <c r="O20" s="110"/>
      <c r="P20" s="530"/>
    </row>
    <row r="21" spans="1:16" x14ac:dyDescent="0.35">
      <c r="A21" s="576"/>
      <c r="B21" s="419" t="s">
        <v>216</v>
      </c>
      <c r="C21" s="112">
        <v>1105.5999999999999</v>
      </c>
      <c r="D21" s="112">
        <f>1105.6-60</f>
        <v>1045.5999999999999</v>
      </c>
      <c r="E21" s="112" t="s">
        <v>111</v>
      </c>
      <c r="F21" s="113" t="s">
        <v>111</v>
      </c>
      <c r="G21" s="113" t="s">
        <v>111</v>
      </c>
      <c r="H21" s="112">
        <v>829.125</v>
      </c>
      <c r="I21" s="112">
        <v>1263.5</v>
      </c>
      <c r="J21" s="113">
        <v>1163.8</v>
      </c>
      <c r="K21" s="112" t="s">
        <v>111</v>
      </c>
      <c r="L21" s="112">
        <f>2051.45*0.85</f>
        <v>1743.7324999999998</v>
      </c>
      <c r="M21" s="115">
        <v>835.10000000000014</v>
      </c>
      <c r="N21" s="110"/>
      <c r="O21" s="110"/>
      <c r="P21" s="530"/>
    </row>
    <row r="22" spans="1:16" x14ac:dyDescent="0.35">
      <c r="A22" s="576"/>
      <c r="B22" s="419" t="s">
        <v>217</v>
      </c>
      <c r="C22" s="112">
        <v>1868.45</v>
      </c>
      <c r="D22" s="112">
        <f>1868.45-60</f>
        <v>1808.45</v>
      </c>
      <c r="E22" s="112">
        <v>2865</v>
      </c>
      <c r="F22" s="113" t="s">
        <v>111</v>
      </c>
      <c r="G22" s="113" t="s">
        <v>111</v>
      </c>
      <c r="H22" s="112">
        <v>1522.125</v>
      </c>
      <c r="I22" s="112">
        <v>2148.5</v>
      </c>
      <c r="J22" s="113">
        <v>1923.72</v>
      </c>
      <c r="K22" s="112" t="s">
        <v>111</v>
      </c>
      <c r="L22" s="112">
        <f>3717.35*0.85</f>
        <v>3159.7474999999999</v>
      </c>
      <c r="M22" s="115">
        <v>1222.8</v>
      </c>
      <c r="N22" s="110"/>
      <c r="O22" s="110"/>
      <c r="P22" s="530"/>
    </row>
    <row r="23" spans="1:16" x14ac:dyDescent="0.35">
      <c r="A23" s="576"/>
      <c r="B23" s="419" t="s">
        <v>218</v>
      </c>
      <c r="C23" s="112">
        <v>3562.75</v>
      </c>
      <c r="D23" s="112">
        <f>C23-60</f>
        <v>3502.75</v>
      </c>
      <c r="E23" s="112" t="s">
        <v>111</v>
      </c>
      <c r="F23" s="113" t="s">
        <v>111</v>
      </c>
      <c r="G23" s="113" t="s">
        <v>111</v>
      </c>
      <c r="H23" s="112">
        <v>3369</v>
      </c>
      <c r="I23" s="112">
        <v>4520</v>
      </c>
      <c r="J23" s="113" t="s">
        <v>111</v>
      </c>
      <c r="K23" s="112" t="s">
        <v>111</v>
      </c>
      <c r="L23" s="112">
        <f>6534.8*0.85</f>
        <v>5554.58</v>
      </c>
      <c r="M23" s="115">
        <v>2395.71</v>
      </c>
      <c r="N23" s="110"/>
      <c r="O23" s="110"/>
      <c r="P23" s="530"/>
    </row>
    <row r="24" spans="1:16" x14ac:dyDescent="0.35">
      <c r="A24" s="576"/>
      <c r="B24" s="419" t="s">
        <v>219</v>
      </c>
      <c r="C24" s="112">
        <v>6003.05</v>
      </c>
      <c r="D24" s="112">
        <f>C24-60</f>
        <v>5943.05</v>
      </c>
      <c r="E24" s="112" t="s">
        <v>111</v>
      </c>
      <c r="F24" s="113" t="s">
        <v>111</v>
      </c>
      <c r="G24" s="113" t="s">
        <v>111</v>
      </c>
      <c r="H24" s="112" t="s">
        <v>111</v>
      </c>
      <c r="I24" s="112" t="s">
        <v>111</v>
      </c>
      <c r="J24" s="113" t="s">
        <v>111</v>
      </c>
      <c r="K24" s="112" t="s">
        <v>111</v>
      </c>
      <c r="L24" s="112" t="s">
        <v>111</v>
      </c>
      <c r="M24" s="115" t="s">
        <v>111</v>
      </c>
      <c r="N24" s="116"/>
      <c r="O24" s="110"/>
      <c r="P24" s="530"/>
    </row>
    <row r="25" spans="1:16" ht="15" thickBot="1" x14ac:dyDescent="0.4">
      <c r="A25" s="577"/>
      <c r="B25" s="117" t="s">
        <v>220</v>
      </c>
      <c r="C25" s="118" t="s">
        <v>111</v>
      </c>
      <c r="D25" s="118" t="s">
        <v>111</v>
      </c>
      <c r="E25" s="118" t="s">
        <v>111</v>
      </c>
      <c r="F25" s="119" t="s">
        <v>111</v>
      </c>
      <c r="G25" s="119" t="s">
        <v>111</v>
      </c>
      <c r="H25" s="118" t="s">
        <v>111</v>
      </c>
      <c r="I25" s="118">
        <v>6100.75</v>
      </c>
      <c r="J25" s="119" t="s">
        <v>111</v>
      </c>
      <c r="K25" s="118" t="s">
        <v>111</v>
      </c>
      <c r="L25" s="118">
        <f>8131*0.85</f>
        <v>6911.3499999999995</v>
      </c>
      <c r="M25" s="120" t="s">
        <v>111</v>
      </c>
      <c r="N25" s="116"/>
      <c r="O25" s="110"/>
      <c r="P25" s="530"/>
    </row>
    <row r="26" spans="1:16" x14ac:dyDescent="0.35">
      <c r="P26" s="530"/>
    </row>
    <row r="27" spans="1:16" x14ac:dyDescent="0.35">
      <c r="P27" s="530"/>
    </row>
    <row r="28" spans="1:16" ht="15.5" x14ac:dyDescent="0.35">
      <c r="A28" s="580"/>
      <c r="B28" s="580"/>
      <c r="C28" s="121"/>
      <c r="D28" s="121"/>
      <c r="E28" s="46"/>
      <c r="F28" s="46"/>
      <c r="G28" s="46"/>
      <c r="H28" s="46"/>
      <c r="I28" s="46"/>
      <c r="J28" s="46"/>
      <c r="K28" s="98"/>
      <c r="L28" s="98"/>
      <c r="M28" s="98"/>
      <c r="N28" s="98"/>
      <c r="O28" s="98"/>
      <c r="P28" s="530"/>
    </row>
    <row r="29" spans="1:16" ht="15.65" customHeight="1" x14ac:dyDescent="0.35">
      <c r="A29" s="47"/>
      <c r="B29" s="47"/>
      <c r="C29" s="121"/>
      <c r="D29" s="121"/>
      <c r="E29" s="46"/>
      <c r="F29" s="46"/>
      <c r="G29" s="46"/>
      <c r="H29" s="46"/>
      <c r="I29" s="46"/>
      <c r="J29" s="46"/>
      <c r="K29" s="98"/>
      <c r="L29" s="98"/>
      <c r="M29" s="98"/>
      <c r="N29" s="98"/>
      <c r="O29" s="98"/>
      <c r="P29" s="530"/>
    </row>
    <row r="30" spans="1:16" ht="19.399999999999999" customHeight="1" x14ac:dyDescent="0.35">
      <c r="A30" s="527" t="s">
        <v>160</v>
      </c>
      <c r="B30" s="527"/>
      <c r="C30" s="121"/>
      <c r="D30" s="121"/>
      <c r="E30" s="46"/>
      <c r="F30" s="46"/>
      <c r="G30" s="46"/>
      <c r="H30" s="46"/>
      <c r="I30" s="46"/>
      <c r="J30" s="97"/>
      <c r="K30" s="46" t="s">
        <v>128</v>
      </c>
      <c r="L30" s="46" t="s">
        <v>128</v>
      </c>
      <c r="M30" s="562"/>
      <c r="N30" s="562"/>
      <c r="O30" s="562"/>
      <c r="P30" s="530"/>
    </row>
    <row r="31" spans="1:16" ht="28.4" customHeight="1" x14ac:dyDescent="0.35">
      <c r="A31" s="528" t="s">
        <v>129</v>
      </c>
      <c r="B31" s="528"/>
      <c r="C31" s="99">
        <v>500000</v>
      </c>
      <c r="D31" s="99">
        <v>500000</v>
      </c>
      <c r="E31" s="100"/>
      <c r="F31" s="100"/>
      <c r="G31" s="100"/>
      <c r="H31" s="100"/>
      <c r="I31" s="100"/>
      <c r="J31" s="101"/>
      <c r="K31" s="46" t="s">
        <v>211</v>
      </c>
      <c r="L31" s="562" t="s">
        <v>211</v>
      </c>
      <c r="M31" s="562"/>
      <c r="N31" s="562"/>
      <c r="O31" s="46"/>
      <c r="P31" s="530"/>
    </row>
    <row r="32" spans="1:16" ht="15" thickBot="1" x14ac:dyDescent="0.4">
      <c r="A32" s="563"/>
      <c r="B32" s="563"/>
      <c r="C32" s="102"/>
      <c r="D32" s="102"/>
      <c r="E32" s="102"/>
      <c r="F32" s="102"/>
      <c r="G32" s="102"/>
      <c r="H32" s="102"/>
      <c r="I32" s="102"/>
      <c r="J32" s="98"/>
      <c r="K32" s="98"/>
      <c r="L32" s="98"/>
      <c r="M32" s="98"/>
      <c r="N32" s="98"/>
      <c r="O32" s="98"/>
      <c r="P32" s="530"/>
    </row>
    <row r="33" spans="1:17" ht="14.9" customHeight="1" thickBot="1" x14ac:dyDescent="0.4">
      <c r="A33" s="581"/>
      <c r="B33" s="582"/>
      <c r="C33" s="326" t="s">
        <v>8</v>
      </c>
      <c r="D33" s="326" t="s">
        <v>8</v>
      </c>
      <c r="E33" s="327" t="s">
        <v>9</v>
      </c>
      <c r="F33" s="327" t="s">
        <v>10</v>
      </c>
      <c r="G33" s="327" t="s">
        <v>10</v>
      </c>
      <c r="H33" s="327" t="s">
        <v>10</v>
      </c>
      <c r="I33" s="327" t="s">
        <v>11</v>
      </c>
      <c r="J33" s="328" t="s">
        <v>12</v>
      </c>
      <c r="K33" s="328" t="s">
        <v>13</v>
      </c>
      <c r="L33" s="328" t="s">
        <v>13</v>
      </c>
      <c r="M33" s="329" t="s">
        <v>14</v>
      </c>
      <c r="N33" s="103"/>
      <c r="O33" s="104"/>
      <c r="P33" s="531"/>
    </row>
    <row r="34" spans="1:17" ht="58.75" customHeight="1" x14ac:dyDescent="0.35">
      <c r="A34" s="583"/>
      <c r="B34" s="584"/>
      <c r="C34" s="314" t="s">
        <v>384</v>
      </c>
      <c r="D34" s="314" t="s">
        <v>384</v>
      </c>
      <c r="E34" s="315" t="s">
        <v>17</v>
      </c>
      <c r="F34" s="315" t="s">
        <v>355</v>
      </c>
      <c r="G34" s="315" t="s">
        <v>355</v>
      </c>
      <c r="H34" s="315" t="s">
        <v>19</v>
      </c>
      <c r="I34" s="315" t="s">
        <v>20</v>
      </c>
      <c r="J34" s="314" t="s">
        <v>21</v>
      </c>
      <c r="K34" s="314" t="s">
        <v>212</v>
      </c>
      <c r="L34" s="314" t="s">
        <v>333</v>
      </c>
      <c r="M34" s="330" t="s">
        <v>24</v>
      </c>
      <c r="N34" s="103"/>
      <c r="O34" s="104"/>
      <c r="P34" s="465"/>
    </row>
    <row r="35" spans="1:17" ht="33" customHeight="1" x14ac:dyDescent="0.35">
      <c r="A35" s="583" t="s">
        <v>213</v>
      </c>
      <c r="B35" s="584"/>
      <c r="C35" s="313" t="s">
        <v>135</v>
      </c>
      <c r="D35" s="313" t="s">
        <v>135</v>
      </c>
      <c r="E35" s="313" t="s">
        <v>135</v>
      </c>
      <c r="F35" s="313" t="s">
        <v>352</v>
      </c>
      <c r="G35" s="313" t="s">
        <v>352</v>
      </c>
      <c r="H35" s="313" t="s">
        <v>135</v>
      </c>
      <c r="I35" s="313" t="s">
        <v>135</v>
      </c>
      <c r="J35" s="313" t="s">
        <v>135</v>
      </c>
      <c r="K35" s="313" t="s">
        <v>135</v>
      </c>
      <c r="L35" s="313" t="s">
        <v>135</v>
      </c>
      <c r="M35" s="331" t="s">
        <v>135</v>
      </c>
      <c r="N35" s="103"/>
      <c r="O35" s="104"/>
      <c r="P35" s="465"/>
    </row>
    <row r="36" spans="1:17" ht="21" customHeight="1" x14ac:dyDescent="0.35">
      <c r="A36" s="583"/>
      <c r="B36" s="584"/>
      <c r="C36" s="313" t="s">
        <v>309</v>
      </c>
      <c r="D36" s="313" t="s">
        <v>309</v>
      </c>
      <c r="E36" s="313" t="s">
        <v>214</v>
      </c>
      <c r="F36" s="313"/>
      <c r="G36" s="313"/>
      <c r="H36" s="313" t="s">
        <v>137</v>
      </c>
      <c r="I36" s="313" t="s">
        <v>136</v>
      </c>
      <c r="J36" s="313" t="s">
        <v>137</v>
      </c>
      <c r="K36" s="313" t="s">
        <v>138</v>
      </c>
      <c r="L36" s="313" t="s">
        <v>138</v>
      </c>
      <c r="M36" s="331" t="s">
        <v>137</v>
      </c>
      <c r="N36" s="103"/>
      <c r="O36" s="104"/>
      <c r="P36" s="465"/>
    </row>
    <row r="37" spans="1:17" x14ac:dyDescent="0.35">
      <c r="A37" s="332" t="s">
        <v>176</v>
      </c>
      <c r="B37" s="422" t="s">
        <v>140</v>
      </c>
      <c r="C37" s="316" t="s">
        <v>141</v>
      </c>
      <c r="D37" s="316" t="s">
        <v>141</v>
      </c>
      <c r="E37" s="316" t="s">
        <v>142</v>
      </c>
      <c r="F37" s="316" t="s">
        <v>141</v>
      </c>
      <c r="G37" s="316" t="s">
        <v>141</v>
      </c>
      <c r="H37" s="316" t="s">
        <v>141</v>
      </c>
      <c r="I37" s="316" t="s">
        <v>141</v>
      </c>
      <c r="J37" s="316" t="s">
        <v>142</v>
      </c>
      <c r="K37" s="316" t="s">
        <v>142</v>
      </c>
      <c r="L37" s="316" t="s">
        <v>142</v>
      </c>
      <c r="M37" s="333" t="s">
        <v>141</v>
      </c>
      <c r="N37" s="105"/>
      <c r="O37" s="106"/>
      <c r="P37" s="465"/>
    </row>
    <row r="38" spans="1:17" x14ac:dyDescent="0.35">
      <c r="A38" s="570" t="s">
        <v>177</v>
      </c>
      <c r="B38" s="418" t="s">
        <v>215</v>
      </c>
      <c r="C38" s="112">
        <v>251.2</v>
      </c>
      <c r="D38" s="112">
        <f>251.2-60</f>
        <v>191.2</v>
      </c>
      <c r="E38" s="112">
        <v>445</v>
      </c>
      <c r="F38" s="113" t="s">
        <v>111</v>
      </c>
      <c r="G38" s="113" t="s">
        <v>111</v>
      </c>
      <c r="H38" s="112">
        <v>211.875</v>
      </c>
      <c r="I38" s="112">
        <v>276</v>
      </c>
      <c r="J38" s="113">
        <v>301.3</v>
      </c>
      <c r="K38" s="112" t="s">
        <v>111</v>
      </c>
      <c r="L38" s="112" t="s">
        <v>111</v>
      </c>
      <c r="M38" s="115">
        <v>238.35000000000002</v>
      </c>
      <c r="N38" s="110"/>
      <c r="O38" s="110"/>
      <c r="P38" s="465"/>
      <c r="Q38" s="111"/>
    </row>
    <row r="39" spans="1:17" x14ac:dyDescent="0.35">
      <c r="A39" s="570"/>
      <c r="B39" s="419" t="s">
        <v>216</v>
      </c>
      <c r="C39" s="112">
        <v>279.5</v>
      </c>
      <c r="D39" s="112">
        <f>279.5-60</f>
        <v>219.5</v>
      </c>
      <c r="E39" s="112" t="s">
        <v>111</v>
      </c>
      <c r="F39" s="113" t="s">
        <v>111</v>
      </c>
      <c r="G39" s="113" t="s">
        <v>111</v>
      </c>
      <c r="H39" s="112">
        <v>222.375</v>
      </c>
      <c r="I39" s="112">
        <v>299</v>
      </c>
      <c r="J39" s="113">
        <v>315.56</v>
      </c>
      <c r="K39" s="112">
        <v>324.64999999999998</v>
      </c>
      <c r="L39" s="112">
        <v>324.64999999999998</v>
      </c>
      <c r="M39" s="115">
        <v>239.40000000000003</v>
      </c>
      <c r="N39" s="110"/>
      <c r="O39" s="110"/>
      <c r="P39" s="465"/>
      <c r="Q39" s="111"/>
    </row>
    <row r="40" spans="1:17" x14ac:dyDescent="0.35">
      <c r="A40" s="570"/>
      <c r="B40" s="419" t="s">
        <v>217</v>
      </c>
      <c r="C40" s="112">
        <v>433.4</v>
      </c>
      <c r="D40" s="112">
        <f>433.4-60</f>
        <v>373.4</v>
      </c>
      <c r="E40" s="112">
        <v>635</v>
      </c>
      <c r="F40" s="113" t="s">
        <v>111</v>
      </c>
      <c r="G40" s="113" t="s">
        <v>111</v>
      </c>
      <c r="H40" s="112">
        <v>343.875</v>
      </c>
      <c r="I40" s="112">
        <f>I50-1970</f>
        <v>511.75</v>
      </c>
      <c r="J40" s="113">
        <v>511.06</v>
      </c>
      <c r="K40" s="112">
        <v>528.4</v>
      </c>
      <c r="L40" s="112">
        <v>528.4</v>
      </c>
      <c r="M40" s="115">
        <v>283.2</v>
      </c>
      <c r="N40" s="110"/>
      <c r="O40" s="110"/>
      <c r="P40" s="465"/>
      <c r="Q40" s="111"/>
    </row>
    <row r="41" spans="1:17" x14ac:dyDescent="0.35">
      <c r="A41" s="570"/>
      <c r="B41" s="419" t="s">
        <v>218</v>
      </c>
      <c r="C41" s="112">
        <v>941.30000000000007</v>
      </c>
      <c r="D41" s="112">
        <f>C41-60</f>
        <v>881.30000000000007</v>
      </c>
      <c r="E41" s="112" t="s">
        <v>111</v>
      </c>
      <c r="F41" s="113" t="s">
        <v>111</v>
      </c>
      <c r="G41" s="113" t="s">
        <v>111</v>
      </c>
      <c r="H41" s="112">
        <v>1007.625</v>
      </c>
      <c r="I41" s="112">
        <f>I51-2890</f>
        <v>1397.25</v>
      </c>
      <c r="J41" s="113" t="s">
        <v>111</v>
      </c>
      <c r="K41" s="112">
        <v>1243.55</v>
      </c>
      <c r="L41" s="112">
        <f>K41*0.85</f>
        <v>1057.0174999999999</v>
      </c>
      <c r="M41" s="115">
        <v>774</v>
      </c>
      <c r="N41" s="110"/>
      <c r="O41" s="110"/>
      <c r="P41" s="465"/>
      <c r="Q41" s="111"/>
    </row>
    <row r="42" spans="1:17" x14ac:dyDescent="0.35">
      <c r="A42" s="570"/>
      <c r="B42" s="419" t="s">
        <v>219</v>
      </c>
      <c r="C42" s="112">
        <v>2466.2999999999997</v>
      </c>
      <c r="D42" s="470">
        <f>C42-60</f>
        <v>2406.2999999999997</v>
      </c>
      <c r="E42" s="112" t="s">
        <v>111</v>
      </c>
      <c r="F42" s="113">
        <f>1756/0.8</f>
        <v>2195</v>
      </c>
      <c r="G42" s="113">
        <f>F42*0.85</f>
        <v>1865.75</v>
      </c>
      <c r="H42" s="112" t="s">
        <v>111</v>
      </c>
      <c r="I42" s="112" t="s">
        <v>111</v>
      </c>
      <c r="J42" s="113" t="s">
        <v>111</v>
      </c>
      <c r="K42" s="112" t="s">
        <v>111</v>
      </c>
      <c r="L42" s="112" t="s">
        <v>111</v>
      </c>
      <c r="M42" s="115" t="s">
        <v>111</v>
      </c>
      <c r="N42" s="116"/>
      <c r="O42" s="110"/>
      <c r="P42" s="465"/>
      <c r="Q42" s="111"/>
    </row>
    <row r="43" spans="1:17" ht="15" thickBot="1" x14ac:dyDescent="0.4">
      <c r="A43" s="571"/>
      <c r="B43" s="117" t="s">
        <v>220</v>
      </c>
      <c r="C43" s="118" t="s">
        <v>111</v>
      </c>
      <c r="D43" s="118" t="s">
        <v>111</v>
      </c>
      <c r="E43" s="118" t="s">
        <v>111</v>
      </c>
      <c r="F43" s="119" t="s">
        <v>111</v>
      </c>
      <c r="G43" s="119" t="s">
        <v>111</v>
      </c>
      <c r="H43" s="118" t="s">
        <v>111</v>
      </c>
      <c r="I43" s="118">
        <f>I53-3070</f>
        <v>2714</v>
      </c>
      <c r="J43" s="119" t="s">
        <v>111</v>
      </c>
      <c r="K43" s="118">
        <v>2497.25</v>
      </c>
      <c r="L43" s="118">
        <f>K43*0.85</f>
        <v>2122.6624999999999</v>
      </c>
      <c r="M43" s="120" t="s">
        <v>111</v>
      </c>
      <c r="N43" s="116"/>
      <c r="O43" s="110"/>
      <c r="P43" s="465"/>
      <c r="Q43" s="111"/>
    </row>
    <row r="44" spans="1:17" ht="25.5" customHeight="1" x14ac:dyDescent="0.35">
      <c r="A44" s="578" t="s">
        <v>221</v>
      </c>
      <c r="B44" s="579"/>
      <c r="C44" s="321" t="s">
        <v>135</v>
      </c>
      <c r="D44" s="321" t="s">
        <v>135</v>
      </c>
      <c r="E44" s="321" t="s">
        <v>135</v>
      </c>
      <c r="F44" s="321" t="s">
        <v>111</v>
      </c>
      <c r="G44" s="321" t="s">
        <v>111</v>
      </c>
      <c r="H44" s="321" t="s">
        <v>135</v>
      </c>
      <c r="I44" s="321" t="s">
        <v>135</v>
      </c>
      <c r="J44" s="321" t="s">
        <v>135</v>
      </c>
      <c r="K44" s="321" t="s">
        <v>135</v>
      </c>
      <c r="L44" s="321" t="s">
        <v>135</v>
      </c>
      <c r="M44" s="322" t="s">
        <v>135</v>
      </c>
      <c r="N44" s="103"/>
      <c r="O44" s="104"/>
      <c r="P44" s="465"/>
    </row>
    <row r="45" spans="1:17" ht="12.5" customHeight="1" x14ac:dyDescent="0.35">
      <c r="A45" s="574"/>
      <c r="B45" s="575"/>
      <c r="C45" s="317" t="s">
        <v>309</v>
      </c>
      <c r="D45" s="317" t="s">
        <v>309</v>
      </c>
      <c r="E45" s="317" t="s">
        <v>214</v>
      </c>
      <c r="F45" s="317" t="s">
        <v>111</v>
      </c>
      <c r="G45" s="317" t="s">
        <v>111</v>
      </c>
      <c r="H45" s="317" t="s">
        <v>137</v>
      </c>
      <c r="I45" s="317" t="s">
        <v>136</v>
      </c>
      <c r="J45" s="317" t="s">
        <v>137</v>
      </c>
      <c r="K45" s="317" t="s">
        <v>138</v>
      </c>
      <c r="L45" s="317" t="s">
        <v>138</v>
      </c>
      <c r="M45" s="323" t="s">
        <v>137</v>
      </c>
      <c r="N45" s="103"/>
      <c r="O45" s="104"/>
      <c r="P45" s="465"/>
    </row>
    <row r="46" spans="1:17" ht="29" x14ac:dyDescent="0.35">
      <c r="A46" s="574"/>
      <c r="B46" s="575"/>
      <c r="C46" s="317" t="s">
        <v>154</v>
      </c>
      <c r="D46" s="317" t="s">
        <v>154</v>
      </c>
      <c r="E46" s="317" t="s">
        <v>222</v>
      </c>
      <c r="F46" s="317" t="s">
        <v>111</v>
      </c>
      <c r="G46" s="317" t="s">
        <v>111</v>
      </c>
      <c r="H46" s="317" t="s">
        <v>223</v>
      </c>
      <c r="I46" s="317" t="s">
        <v>224</v>
      </c>
      <c r="J46" s="317" t="s">
        <v>225</v>
      </c>
      <c r="K46" s="317" t="s">
        <v>111</v>
      </c>
      <c r="L46" s="318" t="s">
        <v>335</v>
      </c>
      <c r="M46" s="323" t="s">
        <v>226</v>
      </c>
      <c r="N46" s="103"/>
      <c r="O46" s="104"/>
      <c r="P46" s="465"/>
    </row>
    <row r="47" spans="1:17" x14ac:dyDescent="0.35">
      <c r="A47" s="324" t="s">
        <v>176</v>
      </c>
      <c r="B47" s="420" t="s">
        <v>140</v>
      </c>
      <c r="C47" s="319" t="s">
        <v>141</v>
      </c>
      <c r="D47" s="319" t="s">
        <v>141</v>
      </c>
      <c r="E47" s="319" t="s">
        <v>142</v>
      </c>
      <c r="F47" s="317" t="s">
        <v>111</v>
      </c>
      <c r="G47" s="317" t="s">
        <v>111</v>
      </c>
      <c r="H47" s="319" t="s">
        <v>141</v>
      </c>
      <c r="I47" s="320" t="s">
        <v>141</v>
      </c>
      <c r="J47" s="319" t="s">
        <v>142</v>
      </c>
      <c r="K47" s="319" t="s">
        <v>142</v>
      </c>
      <c r="L47" s="319" t="s">
        <v>142</v>
      </c>
      <c r="M47" s="325" t="s">
        <v>141</v>
      </c>
      <c r="N47" s="105"/>
      <c r="O47" s="106"/>
      <c r="P47" s="465"/>
    </row>
    <row r="48" spans="1:17" x14ac:dyDescent="0.35">
      <c r="A48" s="576" t="s">
        <v>177</v>
      </c>
      <c r="B48" s="418" t="s">
        <v>215</v>
      </c>
      <c r="C48" s="112">
        <v>1185.5</v>
      </c>
      <c r="D48" s="112">
        <f>1185.5-60</f>
        <v>1125.5</v>
      </c>
      <c r="E48" s="112">
        <v>1879</v>
      </c>
      <c r="F48" s="113" t="s">
        <v>111</v>
      </c>
      <c r="G48" s="113" t="s">
        <v>111</v>
      </c>
      <c r="H48" s="112">
        <v>960</v>
      </c>
      <c r="I48" s="112">
        <v>1646</v>
      </c>
      <c r="J48" s="113">
        <v>1279.26</v>
      </c>
      <c r="K48" s="112" t="s">
        <v>111</v>
      </c>
      <c r="L48" s="112" t="s">
        <v>111</v>
      </c>
      <c r="M48" s="115">
        <v>987.35000000000014</v>
      </c>
      <c r="N48" s="110"/>
      <c r="O48" s="110"/>
      <c r="P48" s="465"/>
    </row>
    <row r="49" spans="1:16" x14ac:dyDescent="0.35">
      <c r="A49" s="576"/>
      <c r="B49" s="419" t="s">
        <v>216</v>
      </c>
      <c r="C49" s="112">
        <v>1542.65</v>
      </c>
      <c r="D49" s="112">
        <f>1542.65-60</f>
        <v>1482.65</v>
      </c>
      <c r="E49" s="112" t="s">
        <v>111</v>
      </c>
      <c r="F49" s="113" t="s">
        <v>111</v>
      </c>
      <c r="G49" s="113" t="s">
        <v>111</v>
      </c>
      <c r="H49" s="112">
        <v>1152.375</v>
      </c>
      <c r="I49" s="112">
        <v>1909</v>
      </c>
      <c r="J49" s="113">
        <v>1332.16</v>
      </c>
      <c r="K49" s="112" t="s">
        <v>111</v>
      </c>
      <c r="L49" s="112">
        <f>2470.7*0.85</f>
        <v>2100.0949999999998</v>
      </c>
      <c r="M49" s="115">
        <v>1012.9000000000001</v>
      </c>
      <c r="N49" s="110"/>
      <c r="O49" s="110"/>
      <c r="P49" s="465"/>
    </row>
    <row r="50" spans="1:16" x14ac:dyDescent="0.35">
      <c r="A50" s="576"/>
      <c r="B50" s="419" t="s">
        <v>217</v>
      </c>
      <c r="C50" s="112">
        <v>1965.1</v>
      </c>
      <c r="D50" s="112">
        <f>1965.1-60</f>
        <v>1905.1</v>
      </c>
      <c r="E50" s="112">
        <v>2780</v>
      </c>
      <c r="F50" s="113" t="s">
        <v>111</v>
      </c>
      <c r="G50" s="113" t="s">
        <v>111</v>
      </c>
      <c r="H50" s="112">
        <v>1559.625</v>
      </c>
      <c r="I50" s="112">
        <v>2481.75</v>
      </c>
      <c r="J50" s="113">
        <v>1913.6000000000001</v>
      </c>
      <c r="K50" s="112" t="s">
        <v>111</v>
      </c>
      <c r="L50" s="112">
        <f>3712.9*0.85</f>
        <v>3155.9650000000001</v>
      </c>
      <c r="M50" s="115">
        <v>1189.1999999999998</v>
      </c>
      <c r="N50" s="110"/>
      <c r="O50" s="110"/>
      <c r="P50" s="465"/>
    </row>
    <row r="51" spans="1:16" x14ac:dyDescent="0.35">
      <c r="A51" s="576"/>
      <c r="B51" s="419" t="s">
        <v>218</v>
      </c>
      <c r="C51" s="112">
        <v>2727.35</v>
      </c>
      <c r="D51" s="112">
        <f>C51-60</f>
        <v>2667.35</v>
      </c>
      <c r="E51" s="112" t="s">
        <v>111</v>
      </c>
      <c r="F51" s="113" t="s">
        <v>111</v>
      </c>
      <c r="G51" s="113" t="s">
        <v>111</v>
      </c>
      <c r="H51" s="112">
        <v>2704.5</v>
      </c>
      <c r="I51" s="112">
        <v>4287.25</v>
      </c>
      <c r="J51" s="113" t="s">
        <v>111</v>
      </c>
      <c r="K51" s="112" t="s">
        <v>111</v>
      </c>
      <c r="L51" s="112">
        <f>5887.6*0.85</f>
        <v>5004.46</v>
      </c>
      <c r="M51" s="115">
        <v>2001</v>
      </c>
      <c r="N51" s="110"/>
      <c r="O51" s="110"/>
      <c r="P51" s="465"/>
    </row>
    <row r="52" spans="1:16" x14ac:dyDescent="0.35">
      <c r="A52" s="576"/>
      <c r="B52" s="419" t="s">
        <v>219</v>
      </c>
      <c r="C52" s="470">
        <v>4479.05</v>
      </c>
      <c r="D52" s="112">
        <f>C52-60</f>
        <v>4419.05</v>
      </c>
      <c r="E52" s="112" t="s">
        <v>111</v>
      </c>
      <c r="F52" s="113" t="s">
        <v>111</v>
      </c>
      <c r="G52" s="113" t="s">
        <v>111</v>
      </c>
      <c r="H52" s="112" t="s">
        <v>111</v>
      </c>
      <c r="I52" s="112" t="s">
        <v>111</v>
      </c>
      <c r="J52" s="113" t="s">
        <v>111</v>
      </c>
      <c r="K52" s="112" t="s">
        <v>111</v>
      </c>
      <c r="L52" s="112" t="s">
        <v>111</v>
      </c>
      <c r="M52" s="115" t="s">
        <v>111</v>
      </c>
      <c r="N52" s="116"/>
      <c r="O52" s="110"/>
      <c r="P52" s="465"/>
    </row>
    <row r="53" spans="1:16" ht="15" thickBot="1" x14ac:dyDescent="0.4">
      <c r="A53" s="577"/>
      <c r="B53" s="117" t="s">
        <v>220</v>
      </c>
      <c r="C53" s="118" t="s">
        <v>111</v>
      </c>
      <c r="D53" s="118" t="s">
        <v>111</v>
      </c>
      <c r="E53" s="118" t="s">
        <v>111</v>
      </c>
      <c r="F53" s="119" t="s">
        <v>111</v>
      </c>
      <c r="G53" s="119" t="s">
        <v>111</v>
      </c>
      <c r="H53" s="118" t="s">
        <v>111</v>
      </c>
      <c r="I53" s="118">
        <v>5784</v>
      </c>
      <c r="J53" s="119" t="s">
        <v>111</v>
      </c>
      <c r="K53" s="118" t="s">
        <v>111</v>
      </c>
      <c r="L53" s="118">
        <f>7141.3*0.85</f>
        <v>6070.1049999999996</v>
      </c>
      <c r="M53" s="120" t="s">
        <v>111</v>
      </c>
      <c r="N53" s="116"/>
      <c r="O53" s="110"/>
      <c r="P53" s="465"/>
    </row>
    <row r="54" spans="1:16" x14ac:dyDescent="0.35">
      <c r="P54" s="465"/>
    </row>
    <row r="55" spans="1:16" x14ac:dyDescent="0.35">
      <c r="P55" s="465"/>
    </row>
    <row r="56" spans="1:16" x14ac:dyDescent="0.35">
      <c r="P56" s="465"/>
    </row>
    <row r="57" spans="1:16" x14ac:dyDescent="0.35">
      <c r="P57" s="465"/>
    </row>
    <row r="58" spans="1:16" x14ac:dyDescent="0.35">
      <c r="P58" s="465"/>
    </row>
    <row r="59" spans="1:16" x14ac:dyDescent="0.35">
      <c r="P59" s="465"/>
    </row>
    <row r="60" spans="1:16" x14ac:dyDescent="0.35">
      <c r="P60" s="465"/>
    </row>
    <row r="61" spans="1:16" x14ac:dyDescent="0.35">
      <c r="P61" s="465"/>
    </row>
    <row r="62" spans="1:16" x14ac:dyDescent="0.35">
      <c r="P62" s="465"/>
    </row>
    <row r="63" spans="1:16" x14ac:dyDescent="0.35">
      <c r="P63" s="465"/>
    </row>
    <row r="64" spans="1:16" x14ac:dyDescent="0.35">
      <c r="P64" s="465"/>
    </row>
    <row r="65" spans="16:16" x14ac:dyDescent="0.35">
      <c r="P65" s="465"/>
    </row>
    <row r="66" spans="16:16" x14ac:dyDescent="0.35">
      <c r="P66" s="465"/>
    </row>
    <row r="67" spans="16:16" x14ac:dyDescent="0.35">
      <c r="P67" s="465"/>
    </row>
    <row r="68" spans="16:16" x14ac:dyDescent="0.35">
      <c r="P68" s="465"/>
    </row>
    <row r="69" spans="16:16" x14ac:dyDescent="0.35">
      <c r="P69" s="465"/>
    </row>
    <row r="70" spans="16:16" x14ac:dyDescent="0.35">
      <c r="P70" s="465"/>
    </row>
    <row r="71" spans="16:16" x14ac:dyDescent="0.35">
      <c r="P71" s="465"/>
    </row>
    <row r="72" spans="16:16" x14ac:dyDescent="0.35">
      <c r="P72" s="465"/>
    </row>
    <row r="73" spans="16:16" x14ac:dyDescent="0.35">
      <c r="P73" s="465"/>
    </row>
    <row r="74" spans="16:16" x14ac:dyDescent="0.35">
      <c r="P74" s="465"/>
    </row>
    <row r="75" spans="16:16" x14ac:dyDescent="0.35">
      <c r="P75" s="465"/>
    </row>
    <row r="76" spans="16:16" x14ac:dyDescent="0.35">
      <c r="P76" s="465"/>
    </row>
    <row r="77" spans="16:16" x14ac:dyDescent="0.35">
      <c r="P77" s="465"/>
    </row>
    <row r="78" spans="16:16" x14ac:dyDescent="0.35">
      <c r="P78" s="465"/>
    </row>
    <row r="79" spans="16:16" x14ac:dyDescent="0.35">
      <c r="P79" s="465"/>
    </row>
    <row r="80" spans="16:16" x14ac:dyDescent="0.35">
      <c r="P80" s="465"/>
    </row>
    <row r="81" spans="16:16" x14ac:dyDescent="0.35">
      <c r="P81" s="465"/>
    </row>
    <row r="82" spans="16:16" x14ac:dyDescent="0.35">
      <c r="P82" s="465"/>
    </row>
    <row r="83" spans="16:16" x14ac:dyDescent="0.35">
      <c r="P83" s="465"/>
    </row>
  </sheetData>
  <sheetProtection algorithmName="SHA-512" hashValue="dVVebxTk6IyiHZ1UkpHZDeVevgufTd9kZrWAQN7AFFX0Sv9rfIcybyi11LX3ku+m9CjLTRuul/FiCHgSDCvafw==" saltValue="zfL9E374m1KsHvDf8v49Jg==" spinCount="100000" sheet="1" objects="1" scenarios="1"/>
  <mergeCells count="22">
    <mergeCell ref="A38:A43"/>
    <mergeCell ref="A44:B46"/>
    <mergeCell ref="A48:A53"/>
    <mergeCell ref="A28:B28"/>
    <mergeCell ref="A30:B30"/>
    <mergeCell ref="A31:B31"/>
    <mergeCell ref="A32:B32"/>
    <mergeCell ref="A33:B34"/>
    <mergeCell ref="A35:B36"/>
    <mergeCell ref="P6:P33"/>
    <mergeCell ref="A2:B2"/>
    <mergeCell ref="A3:B3"/>
    <mergeCell ref="K3:M3"/>
    <mergeCell ref="A4:B4"/>
    <mergeCell ref="A5:B6"/>
    <mergeCell ref="L2:N2"/>
    <mergeCell ref="A7:B8"/>
    <mergeCell ref="A10:A15"/>
    <mergeCell ref="A16:B18"/>
    <mergeCell ref="A20:A25"/>
    <mergeCell ref="M30:O30"/>
    <mergeCell ref="L31:N31"/>
  </mergeCells>
  <conditionalFormatting sqref="D19 H19:I19 N19:N23 D47">
    <cfRule type="expression" dxfId="1705" priority="754">
      <formula>RANK(#REF!,$D31:$M31,1)=1</formula>
    </cfRule>
    <cfRule type="expression" dxfId="1704" priority="755">
      <formula>RANK(#REF!,$D31:$M31,1)=2</formula>
    </cfRule>
  </conditionalFormatting>
  <conditionalFormatting sqref="D16:I18 N16:N18 E44 I44 D44:D46">
    <cfRule type="expression" dxfId="1703" priority="763">
      <formula>RANK(#REF!,$D26:$M26,1)=2</formula>
    </cfRule>
    <cfRule type="expression" dxfId="1702" priority="762">
      <formula>RANK(#REF!,$D26:$M26,1)=1</formula>
    </cfRule>
  </conditionalFormatting>
  <conditionalFormatting sqref="D16:M19 I44:J47 N10:N25 D44:G47 O10:O15 O20:O25 N38:O43 N48:O53">
    <cfRule type="expression" dxfId="1701" priority="849">
      <formula>RANK(D10,$D10:$M10,1)=2</formula>
    </cfRule>
  </conditionalFormatting>
  <conditionalFormatting sqref="E45:E47 I45:J47">
    <cfRule type="expression" dxfId="1700" priority="324">
      <formula>RANK(#REF!,#REF!,1)=2</formula>
    </cfRule>
    <cfRule type="expression" dxfId="1699" priority="323">
      <formula>RANK(#REF!,#REF!,1)=1</formula>
    </cfRule>
  </conditionalFormatting>
  <conditionalFormatting sqref="E19:G19 F47:G47">
    <cfRule type="expression" dxfId="1698" priority="166">
      <formula>RANK(K31,$D31:$M31,1)=2</formula>
    </cfRule>
  </conditionalFormatting>
  <conditionalFormatting sqref="F10:G15">
    <cfRule type="top10" dxfId="1697" priority="180" bottom="1" rank="2"/>
    <cfRule type="top10" dxfId="1696" priority="179" bottom="1" rank="1"/>
  </conditionalFormatting>
  <conditionalFormatting sqref="F19:G19">
    <cfRule type="expression" dxfId="1695" priority="172">
      <formula>RANK(#REF!,$D29:$M29,1)=2</formula>
    </cfRule>
    <cfRule type="expression" dxfId="1694" priority="171">
      <formula>RANK(#REF!,$D29:$M29,1)=1</formula>
    </cfRule>
  </conditionalFormatting>
  <conditionalFormatting sqref="F20:G20">
    <cfRule type="top10" dxfId="1693" priority="69" bottom="1" rank="1"/>
    <cfRule type="top10" dxfId="1692" priority="70" bottom="1" rank="2"/>
  </conditionalFormatting>
  <conditionalFormatting sqref="F21:G21">
    <cfRule type="top10" dxfId="1691" priority="66" bottom="1" rank="2"/>
    <cfRule type="top10" dxfId="1690" priority="65" bottom="1" rank="1"/>
  </conditionalFormatting>
  <conditionalFormatting sqref="F22:G22">
    <cfRule type="top10" dxfId="1689" priority="62" bottom="1" rank="2"/>
    <cfRule type="top10" dxfId="1688" priority="61" bottom="1" rank="1"/>
  </conditionalFormatting>
  <conditionalFormatting sqref="F23:G23">
    <cfRule type="top10" dxfId="1687" priority="57" bottom="1" rank="1"/>
    <cfRule type="top10" dxfId="1686" priority="58" bottom="1" rank="2"/>
  </conditionalFormatting>
  <conditionalFormatting sqref="F24:G24">
    <cfRule type="top10" dxfId="1685" priority="54" bottom="1" rank="2"/>
    <cfRule type="top10" dxfId="1684" priority="53" bottom="1" rank="1"/>
  </conditionalFormatting>
  <conditionalFormatting sqref="F25:G25">
    <cfRule type="top10" dxfId="1683" priority="50" bottom="1" rank="2"/>
    <cfRule type="top10" dxfId="1682" priority="49" bottom="1" rank="1"/>
  </conditionalFormatting>
  <conditionalFormatting sqref="F38:G38">
    <cfRule type="top10" dxfId="1681" priority="46" bottom="1" rank="2"/>
    <cfRule type="top10" dxfId="1680" priority="45" bottom="1" rank="1"/>
  </conditionalFormatting>
  <conditionalFormatting sqref="F39:G39">
    <cfRule type="top10" dxfId="1679" priority="42" bottom="1" rank="2"/>
    <cfRule type="top10" dxfId="1678" priority="41" bottom="1" rank="1"/>
  </conditionalFormatting>
  <conditionalFormatting sqref="F40:G40">
    <cfRule type="top10" dxfId="1677" priority="38" bottom="1" rank="2"/>
    <cfRule type="top10" dxfId="1676" priority="37" bottom="1" rank="1"/>
  </conditionalFormatting>
  <conditionalFormatting sqref="F41:G41">
    <cfRule type="top10" dxfId="1675" priority="34" bottom="1" rank="2"/>
    <cfRule type="top10" dxfId="1674" priority="33" bottom="1" rank="1"/>
  </conditionalFormatting>
  <conditionalFormatting sqref="F42:G42">
    <cfRule type="top10" dxfId="1673" priority="30" bottom="1" rank="2"/>
    <cfRule type="top10" dxfId="1672" priority="29" bottom="1" rank="1"/>
  </conditionalFormatting>
  <conditionalFormatting sqref="F43:G43">
    <cfRule type="top10" dxfId="1671" priority="25" bottom="1" rank="1"/>
    <cfRule type="top10" dxfId="1670" priority="26" bottom="1" rank="2"/>
  </conditionalFormatting>
  <conditionalFormatting sqref="F44:G47">
    <cfRule type="expression" dxfId="1669" priority="150">
      <formula>RANK(#REF!,$D54:$M54,1)=2</formula>
    </cfRule>
    <cfRule type="expression" dxfId="1668" priority="149">
      <formula>RANK(#REF!,$D54:$M54,1)=1</formula>
    </cfRule>
  </conditionalFormatting>
  <conditionalFormatting sqref="F47:G47 E19:G19">
    <cfRule type="expression" dxfId="1667" priority="165">
      <formula>RANK(K31,$D31:$M31,1)=1</formula>
    </cfRule>
  </conditionalFormatting>
  <conditionalFormatting sqref="F48:G48">
    <cfRule type="top10" dxfId="1666" priority="22" bottom="1" rank="2"/>
    <cfRule type="top10" dxfId="1665" priority="21" bottom="1" rank="1"/>
  </conditionalFormatting>
  <conditionalFormatting sqref="F49:G49">
    <cfRule type="top10" dxfId="1664" priority="18" bottom="1" rank="2"/>
    <cfRule type="top10" dxfId="1663" priority="17" bottom="1" rank="1"/>
  </conditionalFormatting>
  <conditionalFormatting sqref="F50:G50">
    <cfRule type="top10" dxfId="1662" priority="13" bottom="1" rank="1"/>
    <cfRule type="top10" dxfId="1661" priority="14" bottom="1" rank="2"/>
  </conditionalFormatting>
  <conditionalFormatting sqref="F51:G51">
    <cfRule type="top10" dxfId="1660" priority="10" bottom="1" rank="2"/>
    <cfRule type="top10" dxfId="1659" priority="9" bottom="1" rank="1"/>
  </conditionalFormatting>
  <conditionalFormatting sqref="F52:G52">
    <cfRule type="top10" dxfId="1658" priority="6" bottom="1" rank="2"/>
    <cfRule type="top10" dxfId="1657" priority="5" bottom="1" rank="1"/>
  </conditionalFormatting>
  <conditionalFormatting sqref="F53:G53">
    <cfRule type="top10" dxfId="1656" priority="2" bottom="1" rank="2"/>
    <cfRule type="top10" dxfId="1655" priority="1" bottom="1" rank="1"/>
  </conditionalFormatting>
  <conditionalFormatting sqref="H44:H45 H47">
    <cfRule type="expression" dxfId="1654" priority="682">
      <formula>RANK(H44,$D44:$N44,1)=1</formula>
    </cfRule>
  </conditionalFormatting>
  <conditionalFormatting sqref="H44:H45">
    <cfRule type="expression" dxfId="1653" priority="645">
      <formula>RANK(#REF!,$D54:$N54,1)=1</formula>
    </cfRule>
    <cfRule type="expression" dxfId="1652" priority="646">
      <formula>RANK(#REF!,$D54:$N54,1)=2</formula>
    </cfRule>
    <cfRule type="expression" dxfId="1651" priority="675">
      <formula>RANK(H44,$D44:$N44,1)=2</formula>
    </cfRule>
  </conditionalFormatting>
  <conditionalFormatting sqref="H47">
    <cfRule type="expression" dxfId="1650" priority="802">
      <formula>RANK(H47,$D47:$N47,1)=2</formula>
    </cfRule>
    <cfRule type="expression" dxfId="1649" priority="803">
      <formula>RANK(#REF!,$D57:$N57,1)=1</formula>
    </cfRule>
    <cfRule type="expression" dxfId="1648" priority="804">
      <formula>RANK(#REF!,$D57:$N57,1)=2</formula>
    </cfRule>
  </conditionalFormatting>
  <conditionalFormatting sqref="H10:M10 D10:E10">
    <cfRule type="top10" dxfId="1647" priority="235" bottom="1" rank="1"/>
    <cfRule type="top10" dxfId="1646" priority="236" bottom="1" rank="2"/>
  </conditionalFormatting>
  <conditionalFormatting sqref="H11:M11 D11:E11">
    <cfRule type="top10" dxfId="1645" priority="82" bottom="1" rank="2"/>
    <cfRule type="top10" dxfId="1644" priority="81" bottom="1" rank="1"/>
  </conditionalFormatting>
  <conditionalFormatting sqref="H12:M12 D12:E12">
    <cfRule type="top10" dxfId="1643" priority="80" bottom="1" rank="2"/>
    <cfRule type="top10" dxfId="1642" priority="79" bottom="1" rank="1"/>
  </conditionalFormatting>
  <conditionalFormatting sqref="H13:M13 D13:E13">
    <cfRule type="top10" dxfId="1641" priority="78" bottom="1" rank="2"/>
    <cfRule type="top10" dxfId="1640" priority="77" bottom="1" rank="1"/>
  </conditionalFormatting>
  <conditionalFormatting sqref="H14:M14 E14">
    <cfRule type="top10" dxfId="1639" priority="76" bottom="1" rank="2"/>
    <cfRule type="top10" dxfId="1638" priority="75" bottom="1" rank="1"/>
  </conditionalFormatting>
  <conditionalFormatting sqref="H15:M15 D15:E15">
    <cfRule type="top10" dxfId="1637" priority="73" bottom="1" rank="1"/>
    <cfRule type="top10" dxfId="1636" priority="74" bottom="1" rank="2"/>
  </conditionalFormatting>
  <conditionalFormatting sqref="H20:M20 D20:E20">
    <cfRule type="top10" dxfId="1635" priority="71" bottom="1" rank="1"/>
    <cfRule type="top10" dxfId="1634" priority="72" bottom="1" rank="2"/>
  </conditionalFormatting>
  <conditionalFormatting sqref="H21:M21 D21:E21">
    <cfRule type="top10" dxfId="1633" priority="67" bottom="1" rank="1"/>
    <cfRule type="top10" dxfId="1632" priority="68" bottom="1" rank="2"/>
  </conditionalFormatting>
  <conditionalFormatting sqref="H22:M22 D22:E22">
    <cfRule type="top10" dxfId="1631" priority="63" bottom="1" rank="1"/>
    <cfRule type="top10" dxfId="1630" priority="64" bottom="1" rank="2"/>
  </conditionalFormatting>
  <conditionalFormatting sqref="H23:M23 D23:E23">
    <cfRule type="top10" dxfId="1629" priority="59" bottom="1" rank="1"/>
    <cfRule type="top10" dxfId="1628" priority="60" bottom="1" rank="2"/>
  </conditionalFormatting>
  <conditionalFormatting sqref="H24:M24 D24:E24">
    <cfRule type="top10" dxfId="1627" priority="56" bottom="1" rank="2"/>
    <cfRule type="top10" dxfId="1626" priority="55" bottom="1" rank="1"/>
  </conditionalFormatting>
  <conditionalFormatting sqref="H25:M25 D25:E25">
    <cfRule type="top10" dxfId="1625" priority="52" bottom="1" rank="2"/>
    <cfRule type="top10" dxfId="1624" priority="51" bottom="1" rank="1"/>
  </conditionalFormatting>
  <conditionalFormatting sqref="H38:M38 D38:E38">
    <cfRule type="top10" dxfId="1623" priority="47" bottom="1" rank="1"/>
    <cfRule type="top10" dxfId="1622" priority="48" bottom="1" rank="2"/>
  </conditionalFormatting>
  <conditionalFormatting sqref="H39:M39 D39:E39">
    <cfRule type="top10" dxfId="1621" priority="44" bottom="1" rank="2"/>
    <cfRule type="top10" dxfId="1620" priority="43" bottom="1" rank="1"/>
  </conditionalFormatting>
  <conditionalFormatting sqref="H40:M40 D40:E40">
    <cfRule type="top10" dxfId="1619" priority="40" bottom="1" rank="2"/>
    <cfRule type="top10" dxfId="1618" priority="39" bottom="1" rank="1"/>
  </conditionalFormatting>
  <conditionalFormatting sqref="H41:M41 D41:E41">
    <cfRule type="top10" dxfId="1617" priority="36" bottom="1" rank="2"/>
    <cfRule type="top10" dxfId="1616" priority="35" bottom="1" rank="1"/>
  </conditionalFormatting>
  <conditionalFormatting sqref="H42:M42 D42:E42">
    <cfRule type="top10" dxfId="1615" priority="32" bottom="1" rank="2"/>
    <cfRule type="top10" dxfId="1614" priority="31" bottom="1" rank="1"/>
  </conditionalFormatting>
  <conditionalFormatting sqref="H43:M43 D43:E43">
    <cfRule type="top10" dxfId="1613" priority="28" bottom="1" rank="2"/>
    <cfRule type="top10" dxfId="1612" priority="27" bottom="1" rank="1"/>
  </conditionalFormatting>
  <conditionalFormatting sqref="H48:M48 D48:E48">
    <cfRule type="top10" dxfId="1611" priority="24" bottom="1" rank="2"/>
    <cfRule type="top10" dxfId="1610" priority="23" bottom="1" rank="1"/>
  </conditionalFormatting>
  <conditionalFormatting sqref="H49:M49 D49:E49">
    <cfRule type="top10" dxfId="1609" priority="20" bottom="1" rank="2"/>
    <cfRule type="top10" dxfId="1608" priority="19" bottom="1" rank="1"/>
  </conditionalFormatting>
  <conditionalFormatting sqref="H50:M50 D50:E50">
    <cfRule type="top10" dxfId="1607" priority="16" bottom="1" rank="2"/>
    <cfRule type="top10" dxfId="1606" priority="15" bottom="1" rank="1"/>
  </conditionalFormatting>
  <conditionalFormatting sqref="H51:M51 D51:E51">
    <cfRule type="top10" dxfId="1605" priority="12" bottom="1" rank="2"/>
    <cfRule type="top10" dxfId="1604" priority="11" bottom="1" rank="1"/>
  </conditionalFormatting>
  <conditionalFormatting sqref="H52:M52 D52:E52">
    <cfRule type="top10" dxfId="1603" priority="8" bottom="1" rank="2"/>
    <cfRule type="top10" dxfId="1602" priority="7" bottom="1" rank="1"/>
  </conditionalFormatting>
  <conditionalFormatting sqref="H53:M53 D53:E53">
    <cfRule type="top10" dxfId="1601" priority="4" bottom="1" rank="2"/>
    <cfRule type="top10" dxfId="1600" priority="3" bottom="1" rank="1"/>
  </conditionalFormatting>
  <conditionalFormatting sqref="J16:J18 J44">
    <cfRule type="expression" dxfId="1599" priority="825">
      <formula>RANK(M26,$D26:$M26,1)=1</formula>
    </cfRule>
    <cfRule type="expression" dxfId="1598" priority="826">
      <formula>RANK(M26,$D26:$M26,1)=2</formula>
    </cfRule>
  </conditionalFormatting>
  <conditionalFormatting sqref="J19">
    <cfRule type="expression" dxfId="1597" priority="829">
      <formula>RANK(M31,$D31:$M31,1)=1</formula>
    </cfRule>
    <cfRule type="expression" dxfId="1596" priority="830">
      <formula>RANK(M31,$D31:$M31,1)=2</formula>
    </cfRule>
  </conditionalFormatting>
  <conditionalFormatting sqref="K16:M18">
    <cfRule type="expression" dxfId="1595" priority="3377">
      <formula>RANK(O26,$D26:$M26,1)=1</formula>
    </cfRule>
    <cfRule type="expression" dxfId="1594" priority="3378">
      <formula>RANK(O26,$D26:$M26,1)=2</formula>
    </cfRule>
  </conditionalFormatting>
  <conditionalFormatting sqref="K19:M19">
    <cfRule type="expression" dxfId="1593" priority="3380">
      <formula>RANK(O31,$D31:$M31,1)=2</formula>
    </cfRule>
    <cfRule type="expression" dxfId="1592" priority="3379">
      <formula>RANK(O31,$D31:$M31,1)=1</formula>
    </cfRule>
  </conditionalFormatting>
  <conditionalFormatting sqref="L46">
    <cfRule type="expression" dxfId="1591" priority="184">
      <formula>RANK(L46,$D46:$M46,1)=1</formula>
    </cfRule>
    <cfRule type="expression" dxfId="1590" priority="183">
      <formula>RANK(L46,$D46:$M46,1)=2</formula>
    </cfRule>
    <cfRule type="expression" dxfId="1589" priority="182">
      <formula>RANK(P56,$D56:$M56,1)=2</formula>
    </cfRule>
    <cfRule type="expression" dxfId="1588" priority="181">
      <formula>RANK(P56,$D56:$M56,1)=1</formula>
    </cfRule>
  </conditionalFormatting>
  <conditionalFormatting sqref="O10:O15 N10:N25 D16:M19 O20:O25 N38:O43 D44:G47 I44:J47 N48:O53">
    <cfRule type="expression" dxfId="1587" priority="855">
      <formula>RANK(D10,$D10:$M10,1)=1</formula>
    </cfRule>
  </conditionalFormatting>
  <printOptions horizontalCentered="1" verticalCentered="1"/>
  <pageMargins left="0" right="0" top="0" bottom="0" header="0" footer="0"/>
  <pageSetup paperSize="9" scale="47" orientation="landscape" r:id="rId1"/>
  <headerFooter>
    <oddFooter>&amp;L_x000D_&amp;1#&amp;"Calibri"&amp;8&amp;K008000 Public</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6861-871A-4905-B984-3B4BFA66393C}">
  <sheetPr codeName="Sheet7">
    <pageSetUpPr fitToPage="1"/>
  </sheetPr>
  <dimension ref="A1:O127"/>
  <sheetViews>
    <sheetView showGridLines="0" topLeftCell="A2" zoomScale="75" zoomScaleNormal="75" zoomScaleSheetLayoutView="100" workbookViewId="0">
      <selection activeCell="E11" sqref="E11"/>
    </sheetView>
  </sheetViews>
  <sheetFormatPr defaultColWidth="22.54296875" defaultRowHeight="14.5" x14ac:dyDescent="0.35"/>
  <cols>
    <col min="1" max="1" width="13.453125" style="157" customWidth="1"/>
    <col min="2" max="2" width="18.6328125" style="158" customWidth="1"/>
    <col min="3" max="3" width="24.08984375" style="124" customWidth="1"/>
    <col min="4" max="4" width="24.08984375" style="124" hidden="1" customWidth="1"/>
    <col min="5" max="5" width="22.6328125" style="124" customWidth="1"/>
    <col min="6" max="6" width="22.6328125" style="124" hidden="1" customWidth="1"/>
    <col min="7" max="7" width="22.6328125" style="124" customWidth="1"/>
    <col min="8" max="8" width="22.6328125" style="124" hidden="1" customWidth="1"/>
    <col min="9" max="9" width="22.6328125" style="124" customWidth="1"/>
    <col min="10" max="10" width="22.6328125" style="124" hidden="1" customWidth="1"/>
    <col min="11" max="11" width="18.6328125" style="124" customWidth="1"/>
    <col min="12" max="12" width="57.453125" customWidth="1"/>
    <col min="13" max="16384" width="22.54296875" style="124"/>
  </cols>
  <sheetData>
    <row r="1" spans="1:12" ht="21" hidden="1" customHeight="1" x14ac:dyDescent="0.35">
      <c r="A1" s="122"/>
      <c r="B1" s="122"/>
      <c r="C1" s="442" t="s">
        <v>387</v>
      </c>
      <c r="D1" s="441" t="s">
        <v>388</v>
      </c>
      <c r="E1" s="442"/>
      <c r="F1" s="441" t="s">
        <v>375</v>
      </c>
      <c r="G1" s="442" t="s">
        <v>389</v>
      </c>
      <c r="H1" s="441" t="s">
        <v>388</v>
      </c>
      <c r="I1" s="442"/>
      <c r="J1" s="441" t="s">
        <v>375</v>
      </c>
    </row>
    <row r="2" spans="1:12" ht="15.5" x14ac:dyDescent="0.35">
      <c r="A2" s="284" t="s">
        <v>127</v>
      </c>
      <c r="B2" s="284"/>
      <c r="C2" s="125"/>
      <c r="D2" s="125"/>
      <c r="E2" s="46"/>
      <c r="F2" s="46"/>
      <c r="G2" s="97"/>
      <c r="H2" s="97"/>
      <c r="I2" s="46" t="s">
        <v>128</v>
      </c>
      <c r="J2" s="46"/>
      <c r="K2" s="46"/>
    </row>
    <row r="3" spans="1:12" ht="15.5" x14ac:dyDescent="0.35">
      <c r="A3" s="590" t="s">
        <v>129</v>
      </c>
      <c r="B3" s="590"/>
      <c r="C3" s="99">
        <v>500000</v>
      </c>
      <c r="D3" s="99">
        <v>500000</v>
      </c>
      <c r="E3" s="46"/>
      <c r="F3" s="46"/>
      <c r="G3" s="46"/>
      <c r="H3" s="46"/>
      <c r="I3" s="46"/>
      <c r="J3" s="46"/>
    </row>
    <row r="4" spans="1:12" ht="16" thickBot="1" x14ac:dyDescent="0.4">
      <c r="A4" s="591" t="s">
        <v>364</v>
      </c>
      <c r="B4" s="591"/>
      <c r="C4" s="127"/>
      <c r="D4" s="127"/>
      <c r="E4" s="127"/>
      <c r="F4" s="127"/>
      <c r="G4" s="127"/>
      <c r="H4" s="127"/>
      <c r="I4" s="127"/>
      <c r="J4" s="127"/>
    </row>
    <row r="5" spans="1:12" ht="16" thickBot="1" x14ac:dyDescent="0.4">
      <c r="A5" s="606"/>
      <c r="B5" s="606"/>
      <c r="C5" s="602" t="s">
        <v>368</v>
      </c>
      <c r="D5" s="603"/>
      <c r="E5" s="603"/>
      <c r="F5" s="604"/>
      <c r="G5" s="605" t="s">
        <v>369</v>
      </c>
      <c r="H5" s="600"/>
      <c r="I5" s="600"/>
      <c r="J5" s="601"/>
    </row>
    <row r="6" spans="1:12" s="35" customFormat="1" ht="44" thickBot="1" x14ac:dyDescent="0.4">
      <c r="A6" s="592"/>
      <c r="B6" s="593"/>
      <c r="C6" s="303" t="s">
        <v>361</v>
      </c>
      <c r="D6" s="128" t="s">
        <v>361</v>
      </c>
      <c r="E6" s="128" t="s">
        <v>354</v>
      </c>
      <c r="F6" s="450" t="s">
        <v>354</v>
      </c>
      <c r="G6" s="292" t="s">
        <v>361</v>
      </c>
      <c r="H6" s="365" t="s">
        <v>361</v>
      </c>
      <c r="I6" s="365" t="s">
        <v>354</v>
      </c>
      <c r="J6" s="285" t="s">
        <v>354</v>
      </c>
      <c r="L6" s="459" t="s">
        <v>131</v>
      </c>
    </row>
    <row r="7" spans="1:12" ht="14.5" customHeight="1" x14ac:dyDescent="0.35">
      <c r="A7" s="594" t="s">
        <v>213</v>
      </c>
      <c r="B7" s="595"/>
      <c r="C7" s="304" t="s">
        <v>365</v>
      </c>
      <c r="D7" s="130" t="s">
        <v>365</v>
      </c>
      <c r="E7" s="130" t="s">
        <v>352</v>
      </c>
      <c r="F7" s="451" t="s">
        <v>352</v>
      </c>
      <c r="G7" s="293" t="s">
        <v>365</v>
      </c>
      <c r="H7" s="362" t="s">
        <v>365</v>
      </c>
      <c r="I7" s="362" t="s">
        <v>352</v>
      </c>
      <c r="J7" s="286" t="s">
        <v>352</v>
      </c>
      <c r="L7" s="529" t="s">
        <v>409</v>
      </c>
    </row>
    <row r="8" spans="1:12" x14ac:dyDescent="0.35">
      <c r="A8" s="393" t="s">
        <v>176</v>
      </c>
      <c r="B8" s="443" t="s">
        <v>281</v>
      </c>
      <c r="C8" s="305" t="s">
        <v>141</v>
      </c>
      <c r="D8" s="337" t="s">
        <v>141</v>
      </c>
      <c r="E8" s="337" t="s">
        <v>141</v>
      </c>
      <c r="F8" s="452" t="s">
        <v>141</v>
      </c>
      <c r="G8" s="294" t="s">
        <v>141</v>
      </c>
      <c r="H8" s="363" t="s">
        <v>141</v>
      </c>
      <c r="I8" s="363" t="s">
        <v>141</v>
      </c>
      <c r="J8" s="291" t="s">
        <v>141</v>
      </c>
      <c r="L8" s="530"/>
    </row>
    <row r="9" spans="1:12" x14ac:dyDescent="0.35">
      <c r="A9" s="587" t="s">
        <v>238</v>
      </c>
      <c r="B9" s="444" t="s">
        <v>362</v>
      </c>
      <c r="C9" s="295">
        <f>10445+296-60</f>
        <v>10681</v>
      </c>
      <c r="D9" s="112">
        <f>10445+296</f>
        <v>10741</v>
      </c>
      <c r="E9" s="112" t="s">
        <v>111</v>
      </c>
      <c r="F9" s="453" t="s">
        <v>111</v>
      </c>
      <c r="G9" s="295">
        <f>H9-(D9-C9)</f>
        <v>53645</v>
      </c>
      <c r="H9" s="112">
        <f>D9*5</f>
        <v>53705</v>
      </c>
      <c r="I9" s="112" t="s">
        <v>111</v>
      </c>
      <c r="J9" s="201" t="s">
        <v>111</v>
      </c>
      <c r="K9" s="110"/>
      <c r="L9" s="530"/>
    </row>
    <row r="10" spans="1:12" x14ac:dyDescent="0.35">
      <c r="A10" s="587"/>
      <c r="B10" s="270" t="s">
        <v>363</v>
      </c>
      <c r="C10" s="295">
        <f>D10-60</f>
        <v>6147</v>
      </c>
      <c r="D10" s="112">
        <f>6026+181</f>
        <v>6207</v>
      </c>
      <c r="E10" s="112" t="s">
        <v>111</v>
      </c>
      <c r="F10" s="453" t="s">
        <v>111</v>
      </c>
      <c r="G10" s="295">
        <f>H10-(D10-C10)</f>
        <v>62010</v>
      </c>
      <c r="H10" s="112">
        <f>D10*10</f>
        <v>62070</v>
      </c>
      <c r="I10" s="112" t="s">
        <v>111</v>
      </c>
      <c r="J10" s="201" t="s">
        <v>111</v>
      </c>
      <c r="K10" s="110"/>
      <c r="L10" s="530"/>
    </row>
    <row r="11" spans="1:12" x14ac:dyDescent="0.35">
      <c r="A11" s="587"/>
      <c r="B11" s="270" t="s">
        <v>241</v>
      </c>
      <c r="C11" s="295">
        <f>D11-60</f>
        <v>2045.5</v>
      </c>
      <c r="D11" s="112">
        <f>2044+61.5</f>
        <v>2105.5</v>
      </c>
      <c r="E11" s="112">
        <f>F11/0.8*0.85</f>
        <v>2393.8125</v>
      </c>
      <c r="F11" s="453">
        <v>2253</v>
      </c>
      <c r="G11" s="295">
        <f>H11-(D11-C11)</f>
        <v>73632.5</v>
      </c>
      <c r="H11" s="112">
        <f>D11*35</f>
        <v>73692.5</v>
      </c>
      <c r="I11" s="112">
        <f>J11-(F11-E11)</f>
        <v>78995.8125</v>
      </c>
      <c r="J11" s="201">
        <f>F11*35</f>
        <v>78855</v>
      </c>
      <c r="K11" s="110"/>
      <c r="L11" s="530"/>
    </row>
    <row r="12" spans="1:12" x14ac:dyDescent="0.35">
      <c r="A12" s="587"/>
      <c r="B12" s="270" t="s">
        <v>370</v>
      </c>
      <c r="C12" s="295">
        <f>D12-60</f>
        <v>1914</v>
      </c>
      <c r="D12" s="112">
        <f>1917+57</f>
        <v>1974</v>
      </c>
      <c r="E12" s="112" t="s">
        <v>111</v>
      </c>
      <c r="F12" s="453" t="s">
        <v>111</v>
      </c>
      <c r="G12" s="295">
        <f>H12-(D12-C12)</f>
        <v>88770</v>
      </c>
      <c r="H12" s="112">
        <f>D12*45</f>
        <v>88830</v>
      </c>
      <c r="I12" s="112" t="s">
        <v>111</v>
      </c>
      <c r="J12" s="201" t="s">
        <v>111</v>
      </c>
      <c r="K12" s="110"/>
      <c r="L12" s="530"/>
    </row>
    <row r="13" spans="1:12" x14ac:dyDescent="0.35">
      <c r="A13" s="587"/>
      <c r="B13" s="270" t="s">
        <v>243</v>
      </c>
      <c r="C13" s="295" t="s">
        <v>111</v>
      </c>
      <c r="D13" s="112" t="s">
        <v>111</v>
      </c>
      <c r="E13" s="112">
        <f>F13/0.8*0.85</f>
        <v>1442.34375</v>
      </c>
      <c r="F13" s="453">
        <v>1357.5</v>
      </c>
      <c r="G13" s="295" t="s">
        <v>111</v>
      </c>
      <c r="H13" s="112" t="s">
        <v>111</v>
      </c>
      <c r="I13" s="112">
        <f>J13-(F13-E13)</f>
        <v>93752.34375</v>
      </c>
      <c r="J13" s="201">
        <f>F13*69</f>
        <v>93667.5</v>
      </c>
      <c r="K13" s="110"/>
      <c r="L13" s="530"/>
    </row>
    <row r="14" spans="1:12" x14ac:dyDescent="0.35">
      <c r="A14" s="587" t="s">
        <v>245</v>
      </c>
      <c r="B14" s="444" t="s">
        <v>362</v>
      </c>
      <c r="C14" s="295">
        <f>13859+392.5-60</f>
        <v>14191.5</v>
      </c>
      <c r="D14" s="112">
        <f>13859+392.5</f>
        <v>14251.5</v>
      </c>
      <c r="E14" s="112" t="s">
        <v>111</v>
      </c>
      <c r="F14" s="453" t="s">
        <v>111</v>
      </c>
      <c r="G14" s="295">
        <f>H14-(D14-C14)</f>
        <v>71197.5</v>
      </c>
      <c r="H14" s="112">
        <f>D14*5</f>
        <v>71257.5</v>
      </c>
      <c r="I14" s="112" t="s">
        <v>111</v>
      </c>
      <c r="J14" s="201" t="s">
        <v>111</v>
      </c>
      <c r="K14" s="110"/>
      <c r="L14" s="530"/>
    </row>
    <row r="15" spans="1:12" x14ac:dyDescent="0.35">
      <c r="A15" s="587"/>
      <c r="B15" s="270" t="s">
        <v>363</v>
      </c>
      <c r="C15" s="295">
        <f>D15-60</f>
        <v>8082</v>
      </c>
      <c r="D15" s="112">
        <f>7907+235</f>
        <v>8142</v>
      </c>
      <c r="E15" s="112" t="s">
        <v>111</v>
      </c>
      <c r="F15" s="453" t="s">
        <v>111</v>
      </c>
      <c r="G15" s="295">
        <f>H15-(D15-C15)</f>
        <v>81360</v>
      </c>
      <c r="H15" s="112">
        <f>D15*10</f>
        <v>81420</v>
      </c>
      <c r="I15" s="112" t="s">
        <v>111</v>
      </c>
      <c r="J15" s="201" t="s">
        <v>111</v>
      </c>
      <c r="K15" s="110"/>
      <c r="L15" s="530"/>
    </row>
    <row r="16" spans="1:12" x14ac:dyDescent="0.35">
      <c r="A16" s="587"/>
      <c r="B16" s="270" t="s">
        <v>246</v>
      </c>
      <c r="C16" s="295">
        <f>D16-60</f>
        <v>3186.5</v>
      </c>
      <c r="D16" s="112">
        <f>3153.5+93</f>
        <v>3246.5</v>
      </c>
      <c r="E16" s="112">
        <f>F16/0.8*0.85</f>
        <v>3513.15625</v>
      </c>
      <c r="F16" s="453">
        <v>3306.5</v>
      </c>
      <c r="G16" s="295">
        <f>H16-(D16-C16)</f>
        <v>97335</v>
      </c>
      <c r="H16" s="112">
        <f>D16*30</f>
        <v>97395</v>
      </c>
      <c r="I16" s="112">
        <f>J16-(F16-E16)</f>
        <v>99401.65625</v>
      </c>
      <c r="J16" s="201">
        <f>F16*30</f>
        <v>99195</v>
      </c>
      <c r="K16" s="110"/>
      <c r="L16" s="530"/>
    </row>
    <row r="17" spans="1:12" ht="15" thickBot="1" x14ac:dyDescent="0.4">
      <c r="A17" s="587"/>
      <c r="B17" s="270" t="s">
        <v>371</v>
      </c>
      <c r="C17" s="295">
        <f>D17-60</f>
        <v>2666.5</v>
      </c>
      <c r="D17" s="112">
        <f>2648.5+78</f>
        <v>2726.5</v>
      </c>
      <c r="E17" s="112" t="s">
        <v>111</v>
      </c>
      <c r="F17" s="453" t="s">
        <v>111</v>
      </c>
      <c r="G17" s="295">
        <f>H17-(D17-C17)</f>
        <v>109000</v>
      </c>
      <c r="H17" s="112">
        <f>D17*40</f>
        <v>109060</v>
      </c>
      <c r="I17" s="112" t="s">
        <v>111</v>
      </c>
      <c r="J17" s="201" t="s">
        <v>111</v>
      </c>
      <c r="K17" s="110"/>
      <c r="L17" s="531"/>
    </row>
    <row r="18" spans="1:12" x14ac:dyDescent="0.35">
      <c r="A18" s="587"/>
      <c r="B18" s="270" t="s">
        <v>248</v>
      </c>
      <c r="C18" s="295"/>
      <c r="D18" s="112"/>
      <c r="E18" s="112">
        <f>F18/0.8*0.85</f>
        <v>1975.1875</v>
      </c>
      <c r="F18" s="453">
        <v>1859</v>
      </c>
      <c r="G18" s="295" t="s">
        <v>111</v>
      </c>
      <c r="H18" s="112" t="s">
        <v>111</v>
      </c>
      <c r="I18" s="112">
        <f>J18-(F18-E18)</f>
        <v>119092.1875</v>
      </c>
      <c r="J18" s="201">
        <f>F18*64</f>
        <v>118976</v>
      </c>
      <c r="K18" s="110"/>
      <c r="L18" s="465"/>
    </row>
    <row r="19" spans="1:12" x14ac:dyDescent="0.35">
      <c r="A19" s="587" t="s">
        <v>250</v>
      </c>
      <c r="B19" s="444" t="s">
        <v>362</v>
      </c>
      <c r="C19" s="295">
        <f>17275+489.5-60</f>
        <v>17704.5</v>
      </c>
      <c r="D19" s="112">
        <f>17275+489.5</f>
        <v>17764.5</v>
      </c>
      <c r="E19" s="112" t="s">
        <v>111</v>
      </c>
      <c r="F19" s="453" t="s">
        <v>111</v>
      </c>
      <c r="G19" s="295">
        <f>H19-(D19-C19)</f>
        <v>88762.5</v>
      </c>
      <c r="H19" s="112">
        <f>D19*5</f>
        <v>88822.5</v>
      </c>
      <c r="I19" s="112" t="s">
        <v>111</v>
      </c>
      <c r="J19" s="201" t="s">
        <v>111</v>
      </c>
      <c r="K19" s="110"/>
      <c r="L19" s="465"/>
    </row>
    <row r="20" spans="1:12" x14ac:dyDescent="0.35">
      <c r="A20" s="587"/>
      <c r="B20" s="270" t="s">
        <v>363</v>
      </c>
      <c r="C20" s="295">
        <f>D20-60</f>
        <v>10018.5</v>
      </c>
      <c r="D20" s="112">
        <f>9789+289.5</f>
        <v>10078.5</v>
      </c>
      <c r="E20" s="112" t="s">
        <v>111</v>
      </c>
      <c r="F20" s="453" t="s">
        <v>111</v>
      </c>
      <c r="G20" s="295">
        <f>H20-(D20-C20)</f>
        <v>100725</v>
      </c>
      <c r="H20" s="112">
        <f>D20*10</f>
        <v>100785</v>
      </c>
      <c r="I20" s="112" t="s">
        <v>111</v>
      </c>
      <c r="J20" s="201" t="s">
        <v>111</v>
      </c>
      <c r="K20" s="110"/>
      <c r="L20" s="465"/>
    </row>
    <row r="21" spans="1:12" x14ac:dyDescent="0.35">
      <c r="A21" s="587"/>
      <c r="B21" s="270" t="s">
        <v>251</v>
      </c>
      <c r="C21" s="295">
        <f>D21-60</f>
        <v>4329</v>
      </c>
      <c r="D21" s="112">
        <f>4264.5+124.5</f>
        <v>4389</v>
      </c>
      <c r="E21" s="112">
        <f>F21/0.8*0.85</f>
        <v>5160.5625</v>
      </c>
      <c r="F21" s="453">
        <v>4857</v>
      </c>
      <c r="G21" s="295">
        <f>H21-(D21-C21)</f>
        <v>109665</v>
      </c>
      <c r="H21" s="112">
        <f>D21*25</f>
        <v>109725</v>
      </c>
      <c r="I21" s="112">
        <f>J21-(F21-E21)</f>
        <v>121728.5625</v>
      </c>
      <c r="J21" s="201">
        <f>F21*25</f>
        <v>121425</v>
      </c>
      <c r="K21" s="110"/>
      <c r="L21" s="465"/>
    </row>
    <row r="22" spans="1:12" x14ac:dyDescent="0.35">
      <c r="A22" s="587"/>
      <c r="B22" s="270" t="s">
        <v>372</v>
      </c>
      <c r="C22" s="295">
        <f>D22-60</f>
        <v>3418</v>
      </c>
      <c r="D22" s="112">
        <f>3378.5+99.5</f>
        <v>3478</v>
      </c>
      <c r="E22" s="112" t="s">
        <v>111</v>
      </c>
      <c r="F22" s="453" t="s">
        <v>111</v>
      </c>
      <c r="G22" s="295">
        <f>H22-(D22-C22)</f>
        <v>121670</v>
      </c>
      <c r="H22" s="112">
        <f>D22*35</f>
        <v>121730</v>
      </c>
      <c r="I22" s="112" t="s">
        <v>111</v>
      </c>
      <c r="J22" s="201" t="s">
        <v>111</v>
      </c>
      <c r="K22" s="110"/>
      <c r="L22" s="465"/>
    </row>
    <row r="23" spans="1:12" x14ac:dyDescent="0.35">
      <c r="A23" s="587"/>
      <c r="B23" s="270" t="s">
        <v>253</v>
      </c>
      <c r="C23" s="295"/>
      <c r="D23" s="112"/>
      <c r="E23" s="112">
        <f>F23/0.8*0.85</f>
        <v>2601.53125</v>
      </c>
      <c r="F23" s="453">
        <v>2448.5</v>
      </c>
      <c r="G23" s="295" t="s">
        <v>111</v>
      </c>
      <c r="H23" s="112" t="s">
        <v>111</v>
      </c>
      <c r="I23" s="112">
        <f>J23-(F23-E23)</f>
        <v>144614.53125</v>
      </c>
      <c r="J23" s="201">
        <f>F23*59</f>
        <v>144461.5</v>
      </c>
      <c r="K23" s="110"/>
      <c r="L23" s="465"/>
    </row>
    <row r="24" spans="1:12" x14ac:dyDescent="0.35">
      <c r="A24" s="587" t="s">
        <v>255</v>
      </c>
      <c r="B24" s="444" t="s">
        <v>362</v>
      </c>
      <c r="C24" s="295">
        <f>22911.5+622.5-60</f>
        <v>23474</v>
      </c>
      <c r="D24" s="112">
        <f>22911.5+622.5</f>
        <v>23534</v>
      </c>
      <c r="E24" s="112" t="s">
        <v>111</v>
      </c>
      <c r="F24" s="453" t="s">
        <v>111</v>
      </c>
      <c r="G24" s="295">
        <f>H24-(D24-C24)</f>
        <v>117610</v>
      </c>
      <c r="H24" s="112">
        <f>D24*5</f>
        <v>117670</v>
      </c>
      <c r="I24" s="112" t="s">
        <v>111</v>
      </c>
      <c r="J24" s="201" t="s">
        <v>111</v>
      </c>
      <c r="K24" s="110"/>
      <c r="L24" s="465"/>
    </row>
    <row r="25" spans="1:12" x14ac:dyDescent="0.35">
      <c r="A25" s="587"/>
      <c r="B25" s="270" t="s">
        <v>363</v>
      </c>
      <c r="C25" s="295">
        <f>13369.5+380.5-60</f>
        <v>13690</v>
      </c>
      <c r="D25" s="112">
        <f>13369.5+380.5</f>
        <v>13750</v>
      </c>
      <c r="E25" s="112" t="s">
        <v>111</v>
      </c>
      <c r="F25" s="453" t="s">
        <v>111</v>
      </c>
      <c r="G25" s="295">
        <f>H25-(D25-C25)</f>
        <v>137440</v>
      </c>
      <c r="H25" s="112">
        <f>D25*10</f>
        <v>137500</v>
      </c>
      <c r="I25" s="112" t="s">
        <v>111</v>
      </c>
      <c r="J25" s="201" t="s">
        <v>111</v>
      </c>
      <c r="K25" s="110"/>
      <c r="L25" s="465"/>
    </row>
    <row r="26" spans="1:12" x14ac:dyDescent="0.35">
      <c r="A26" s="587"/>
      <c r="B26" s="270" t="s">
        <v>256</v>
      </c>
      <c r="C26" s="295">
        <f>7437.5+216.5-60</f>
        <v>7594</v>
      </c>
      <c r="D26" s="112">
        <f>7437.5+216.5</f>
        <v>7654</v>
      </c>
      <c r="E26" s="112">
        <f>F26/0.8*0.85</f>
        <v>8504.25</v>
      </c>
      <c r="F26" s="453">
        <v>8004</v>
      </c>
      <c r="G26" s="295">
        <f>H26-(D26-C26)</f>
        <v>153020</v>
      </c>
      <c r="H26" s="112">
        <f>D26*20</f>
        <v>153080</v>
      </c>
      <c r="I26" s="112">
        <f>J26-(F26-E26)</f>
        <v>160580.25</v>
      </c>
      <c r="J26" s="201">
        <f>F26*20</f>
        <v>160080</v>
      </c>
      <c r="K26" s="110"/>
      <c r="L26" s="465"/>
    </row>
    <row r="27" spans="1:12" x14ac:dyDescent="0.35">
      <c r="A27" s="587"/>
      <c r="B27" s="270" t="s">
        <v>374</v>
      </c>
      <c r="C27" s="295">
        <f>5175.5+145-60</f>
        <v>5260.5</v>
      </c>
      <c r="D27" s="112">
        <f>5175.5+145</f>
        <v>5320.5</v>
      </c>
      <c r="E27" s="112" t="s">
        <v>111</v>
      </c>
      <c r="F27" s="453" t="s">
        <v>111</v>
      </c>
      <c r="G27" s="295">
        <f>H27-(D27-C27)</f>
        <v>159555</v>
      </c>
      <c r="H27" s="112">
        <f>D27*30</f>
        <v>159615</v>
      </c>
      <c r="I27" s="112" t="s">
        <v>111</v>
      </c>
      <c r="J27" s="201" t="s">
        <v>111</v>
      </c>
      <c r="K27" s="110"/>
      <c r="L27" s="465"/>
    </row>
    <row r="28" spans="1:12" x14ac:dyDescent="0.35">
      <c r="A28" s="587"/>
      <c r="B28" s="270" t="s">
        <v>258</v>
      </c>
      <c r="C28" s="295"/>
      <c r="D28" s="112"/>
      <c r="E28" s="112">
        <f>F28/0.8*0.85</f>
        <v>3866.4375</v>
      </c>
      <c r="F28" s="453">
        <v>3639</v>
      </c>
      <c r="G28" s="295" t="s">
        <v>111</v>
      </c>
      <c r="H28" s="112" t="s">
        <v>111</v>
      </c>
      <c r="I28" s="112">
        <f>J28-(F28-E28)</f>
        <v>196733.4375</v>
      </c>
      <c r="J28" s="201">
        <f>F28*54</f>
        <v>196506</v>
      </c>
      <c r="K28" s="110"/>
      <c r="L28" s="465"/>
    </row>
    <row r="29" spans="1:12" x14ac:dyDescent="0.35">
      <c r="A29" s="587" t="s">
        <v>260</v>
      </c>
      <c r="B29" s="444" t="s">
        <v>362</v>
      </c>
      <c r="C29" s="295">
        <f>29120+756.5-60</f>
        <v>29816.5</v>
      </c>
      <c r="D29" s="112">
        <f>29120+756.5</f>
        <v>29876.5</v>
      </c>
      <c r="E29" s="112" t="s">
        <v>111</v>
      </c>
      <c r="F29" s="453" t="s">
        <v>111</v>
      </c>
      <c r="G29" s="295">
        <f>H29-(D29-C29)</f>
        <v>149322.5</v>
      </c>
      <c r="H29" s="112">
        <f>D29*5</f>
        <v>149382.5</v>
      </c>
      <c r="I29" s="112" t="s">
        <v>111</v>
      </c>
      <c r="J29" s="201" t="s">
        <v>111</v>
      </c>
      <c r="K29" s="110"/>
      <c r="L29" s="465"/>
    </row>
    <row r="30" spans="1:12" x14ac:dyDescent="0.35">
      <c r="A30" s="587"/>
      <c r="B30" s="270" t="s">
        <v>363</v>
      </c>
      <c r="C30" s="295">
        <f>17290+473-60</f>
        <v>17703</v>
      </c>
      <c r="D30" s="112">
        <f>17290+473</f>
        <v>17763</v>
      </c>
      <c r="E30" s="112" t="s">
        <v>111</v>
      </c>
      <c r="F30" s="453" t="s">
        <v>111</v>
      </c>
      <c r="G30" s="295">
        <f>H30-(D30-C30)</f>
        <v>177570</v>
      </c>
      <c r="H30" s="112">
        <f>D30*10</f>
        <v>177630</v>
      </c>
      <c r="I30" s="112" t="s">
        <v>111</v>
      </c>
      <c r="J30" s="201" t="s">
        <v>111</v>
      </c>
      <c r="K30" s="110"/>
      <c r="L30" s="465"/>
    </row>
    <row r="31" spans="1:12" x14ac:dyDescent="0.35">
      <c r="A31" s="587"/>
      <c r="B31" s="270" t="s">
        <v>261</v>
      </c>
      <c r="C31" s="295">
        <f>12046+315.5-60</f>
        <v>12301.5</v>
      </c>
      <c r="D31" s="112">
        <f>12046+315.5</f>
        <v>12361.5</v>
      </c>
      <c r="E31" s="112">
        <f>F31/0.8*0.85</f>
        <v>14171.625</v>
      </c>
      <c r="F31" s="453">
        <v>13338</v>
      </c>
      <c r="G31" s="295">
        <f>H31-(D31-C31)</f>
        <v>185362.5</v>
      </c>
      <c r="H31" s="112">
        <f>D31*15</f>
        <v>185422.5</v>
      </c>
      <c r="I31" s="112">
        <f>J31-(F31-E31)</f>
        <v>200903.625</v>
      </c>
      <c r="J31" s="201">
        <f>F31*15</f>
        <v>200070</v>
      </c>
      <c r="K31" s="110"/>
      <c r="L31" s="465"/>
    </row>
    <row r="32" spans="1:12" x14ac:dyDescent="0.35">
      <c r="A32" s="587"/>
      <c r="B32" s="270" t="s">
        <v>373</v>
      </c>
      <c r="C32" s="295">
        <f>7398.5+189.5-60</f>
        <v>7528</v>
      </c>
      <c r="D32" s="112">
        <f>7398.5+189.5</f>
        <v>7588</v>
      </c>
      <c r="E32" s="112" t="s">
        <v>111</v>
      </c>
      <c r="F32" s="453" t="s">
        <v>111</v>
      </c>
      <c r="G32" s="295">
        <f>H32-(D32-C32)</f>
        <v>189640</v>
      </c>
      <c r="H32" s="112">
        <f>D32*25</f>
        <v>189700</v>
      </c>
      <c r="I32" s="112" t="s">
        <v>111</v>
      </c>
      <c r="J32" s="201" t="s">
        <v>111</v>
      </c>
      <c r="K32" s="110"/>
      <c r="L32" s="465"/>
    </row>
    <row r="33" spans="1:12" ht="15" thickBot="1" x14ac:dyDescent="0.4">
      <c r="A33" s="607"/>
      <c r="B33" s="449" t="s">
        <v>263</v>
      </c>
      <c r="C33" s="448"/>
      <c r="D33" s="140"/>
      <c r="E33" s="140">
        <f>F33/0.8*0.85</f>
        <v>5222.71875</v>
      </c>
      <c r="F33" s="454">
        <v>4915.5</v>
      </c>
      <c r="G33" s="296" t="s">
        <v>111</v>
      </c>
      <c r="H33" s="118" t="s">
        <v>111</v>
      </c>
      <c r="I33" s="118">
        <f>J33-(F33-E33)</f>
        <v>241166.71875</v>
      </c>
      <c r="J33" s="205">
        <f>F33*49</f>
        <v>240859.5</v>
      </c>
      <c r="K33" s="110"/>
      <c r="L33" s="465"/>
    </row>
    <row r="34" spans="1:12" ht="29" x14ac:dyDescent="0.35">
      <c r="A34" s="608" t="s">
        <v>221</v>
      </c>
      <c r="B34" s="609"/>
      <c r="C34" s="306" t="s">
        <v>366</v>
      </c>
      <c r="D34" s="339" t="s">
        <v>366</v>
      </c>
      <c r="E34" s="428" t="s">
        <v>111</v>
      </c>
      <c r="F34" s="283" t="s">
        <v>111</v>
      </c>
      <c r="G34" s="455" t="s">
        <v>366</v>
      </c>
      <c r="H34" s="439" t="s">
        <v>366</v>
      </c>
      <c r="I34" s="424" t="s">
        <v>111</v>
      </c>
      <c r="J34" s="301" t="s">
        <v>111</v>
      </c>
      <c r="K34" s="110"/>
      <c r="L34" s="465"/>
    </row>
    <row r="35" spans="1:12" x14ac:dyDescent="0.35">
      <c r="A35" s="588"/>
      <c r="B35" s="589"/>
      <c r="C35" s="307" t="s">
        <v>154</v>
      </c>
      <c r="D35" s="274" t="s">
        <v>154</v>
      </c>
      <c r="E35" s="274" t="s">
        <v>111</v>
      </c>
      <c r="F35" s="278" t="s">
        <v>111</v>
      </c>
      <c r="G35" s="297" t="s">
        <v>154</v>
      </c>
      <c r="H35" s="289" t="s">
        <v>154</v>
      </c>
      <c r="I35" s="289" t="s">
        <v>111</v>
      </c>
      <c r="J35" s="290" t="s">
        <v>111</v>
      </c>
      <c r="K35" s="110"/>
      <c r="L35" s="465"/>
    </row>
    <row r="36" spans="1:12" x14ac:dyDescent="0.35">
      <c r="A36" s="429" t="s">
        <v>176</v>
      </c>
      <c r="B36" s="445" t="s">
        <v>281</v>
      </c>
      <c r="C36" s="446" t="s">
        <v>141</v>
      </c>
      <c r="D36" s="425" t="s">
        <v>141</v>
      </c>
      <c r="E36" s="426" t="s">
        <v>111</v>
      </c>
      <c r="F36" s="447" t="s">
        <v>111</v>
      </c>
      <c r="G36" s="431" t="s">
        <v>141</v>
      </c>
      <c r="H36" s="438" t="s">
        <v>141</v>
      </c>
      <c r="I36" s="427" t="s">
        <v>111</v>
      </c>
      <c r="J36" s="430" t="s">
        <v>111</v>
      </c>
      <c r="K36" s="110"/>
      <c r="L36" s="465"/>
    </row>
    <row r="37" spans="1:12" x14ac:dyDescent="0.35">
      <c r="A37" s="585" t="s">
        <v>238</v>
      </c>
      <c r="B37" s="444" t="s">
        <v>362</v>
      </c>
      <c r="C37" s="295">
        <f>C9+1729.15-60</f>
        <v>12350.15</v>
      </c>
      <c r="D37" s="112">
        <f>D9+1729.15</f>
        <v>12470.15</v>
      </c>
      <c r="E37" s="112" t="s">
        <v>111</v>
      </c>
      <c r="F37" s="201" t="s">
        <v>111</v>
      </c>
      <c r="G37" s="295">
        <f>H37-(D37-C37)</f>
        <v>172896.35</v>
      </c>
      <c r="H37" s="112">
        <f>H9+1729.15*69</f>
        <v>173016.35</v>
      </c>
      <c r="I37" s="112" t="s">
        <v>111</v>
      </c>
      <c r="J37" s="201" t="s">
        <v>111</v>
      </c>
      <c r="K37" s="110"/>
      <c r="L37" s="465"/>
    </row>
    <row r="38" spans="1:12" x14ac:dyDescent="0.35">
      <c r="A38" s="585"/>
      <c r="B38" s="270" t="s">
        <v>363</v>
      </c>
      <c r="C38" s="295">
        <f>D38-60</f>
        <v>7876.15</v>
      </c>
      <c r="D38" s="112">
        <f>D10+1729.15</f>
        <v>7936.15</v>
      </c>
      <c r="E38" s="112" t="s">
        <v>111</v>
      </c>
      <c r="F38" s="201" t="s">
        <v>111</v>
      </c>
      <c r="G38" s="295">
        <f>H38-(D38-C38)</f>
        <v>181321.35</v>
      </c>
      <c r="H38" s="112">
        <f>H10+1729.15*69</f>
        <v>181381.35</v>
      </c>
      <c r="I38" s="112" t="s">
        <v>111</v>
      </c>
      <c r="J38" s="201" t="s">
        <v>111</v>
      </c>
      <c r="K38" s="110"/>
      <c r="L38" s="465"/>
    </row>
    <row r="39" spans="1:12" x14ac:dyDescent="0.35">
      <c r="A39" s="585"/>
      <c r="B39" s="270" t="s">
        <v>241</v>
      </c>
      <c r="C39" s="295">
        <f>D39-60</f>
        <v>3774.65</v>
      </c>
      <c r="D39" s="112">
        <f>D11+1729.15</f>
        <v>3834.65</v>
      </c>
      <c r="E39" s="112" t="s">
        <v>111</v>
      </c>
      <c r="F39" s="201" t="s">
        <v>111</v>
      </c>
      <c r="G39" s="295">
        <f>H39-(D39-C39)</f>
        <v>192943.85</v>
      </c>
      <c r="H39" s="112">
        <f>H11+1729.15*69</f>
        <v>193003.85</v>
      </c>
      <c r="I39" s="112" t="s">
        <v>111</v>
      </c>
      <c r="J39" s="201" t="s">
        <v>111</v>
      </c>
      <c r="K39" s="110"/>
      <c r="L39" s="465"/>
    </row>
    <row r="40" spans="1:12" x14ac:dyDescent="0.35">
      <c r="A40" s="585"/>
      <c r="B40" s="270" t="s">
        <v>370</v>
      </c>
      <c r="C40" s="295">
        <f>D40-60</f>
        <v>3643.15</v>
      </c>
      <c r="D40" s="112">
        <f>D12+1729.15</f>
        <v>3703.15</v>
      </c>
      <c r="E40" s="112" t="s">
        <v>111</v>
      </c>
      <c r="F40" s="201" t="s">
        <v>111</v>
      </c>
      <c r="G40" s="295">
        <f>H40-(D40-C40)</f>
        <v>203613.25</v>
      </c>
      <c r="H40" s="112">
        <f>D40*55</f>
        <v>203673.25</v>
      </c>
      <c r="I40" s="112" t="s">
        <v>111</v>
      </c>
      <c r="J40" s="201" t="s">
        <v>111</v>
      </c>
      <c r="K40" s="110"/>
      <c r="L40" s="465"/>
    </row>
    <row r="41" spans="1:12" x14ac:dyDescent="0.35">
      <c r="A41" s="585"/>
      <c r="B41" s="270" t="s">
        <v>243</v>
      </c>
      <c r="C41" s="295" t="s">
        <v>111</v>
      </c>
      <c r="D41" s="112" t="s">
        <v>111</v>
      </c>
      <c r="E41" s="112" t="s">
        <v>111</v>
      </c>
      <c r="F41" s="201" t="s">
        <v>111</v>
      </c>
      <c r="G41" s="295" t="s">
        <v>111</v>
      </c>
      <c r="H41" s="112" t="s">
        <v>111</v>
      </c>
      <c r="I41" s="112" t="s">
        <v>111</v>
      </c>
      <c r="J41" s="201" t="s">
        <v>111</v>
      </c>
      <c r="K41" s="110"/>
      <c r="L41" s="465"/>
    </row>
    <row r="42" spans="1:12" x14ac:dyDescent="0.35">
      <c r="A42" s="585" t="s">
        <v>245</v>
      </c>
      <c r="B42" s="444" t="s">
        <v>362</v>
      </c>
      <c r="C42" s="295">
        <f>C14+2277-60</f>
        <v>16408.5</v>
      </c>
      <c r="D42" s="112">
        <f>D14+2277</f>
        <v>16528.5</v>
      </c>
      <c r="E42" s="112" t="s">
        <v>111</v>
      </c>
      <c r="F42" s="201" t="s">
        <v>111</v>
      </c>
      <c r="G42" s="295">
        <f>H42-(D42-C42)</f>
        <v>216865.5</v>
      </c>
      <c r="H42" s="112">
        <f>H14+2277*64</f>
        <v>216985.5</v>
      </c>
      <c r="I42" s="112" t="s">
        <v>111</v>
      </c>
      <c r="J42" s="201" t="s">
        <v>111</v>
      </c>
      <c r="K42" s="110"/>
      <c r="L42" s="465"/>
    </row>
    <row r="43" spans="1:12" x14ac:dyDescent="0.35">
      <c r="A43" s="585"/>
      <c r="B43" s="270" t="s">
        <v>363</v>
      </c>
      <c r="C43" s="295">
        <f>D43-60</f>
        <v>10359</v>
      </c>
      <c r="D43" s="112">
        <f>D15+2277</f>
        <v>10419</v>
      </c>
      <c r="E43" s="112" t="s">
        <v>111</v>
      </c>
      <c r="F43" s="201" t="s">
        <v>111</v>
      </c>
      <c r="G43" s="295">
        <f>H43-(D43-C43)</f>
        <v>227088</v>
      </c>
      <c r="H43" s="112">
        <f>H15+2277*64</f>
        <v>227148</v>
      </c>
      <c r="I43" s="112" t="s">
        <v>111</v>
      </c>
      <c r="J43" s="201" t="s">
        <v>111</v>
      </c>
      <c r="K43" s="110"/>
      <c r="L43" s="465"/>
    </row>
    <row r="44" spans="1:12" x14ac:dyDescent="0.35">
      <c r="A44" s="585"/>
      <c r="B44" s="270" t="s">
        <v>246</v>
      </c>
      <c r="C44" s="295">
        <f>D44-60</f>
        <v>5463.5</v>
      </c>
      <c r="D44" s="112">
        <f t="shared" ref="D44:D45" si="0">D16+2277</f>
        <v>5523.5</v>
      </c>
      <c r="E44" s="112" t="s">
        <v>111</v>
      </c>
      <c r="F44" s="201" t="s">
        <v>111</v>
      </c>
      <c r="G44" s="295">
        <f>H44-(D44-C44)</f>
        <v>243063</v>
      </c>
      <c r="H44" s="112">
        <f>H16+2277*64</f>
        <v>243123</v>
      </c>
      <c r="I44" s="112" t="s">
        <v>111</v>
      </c>
      <c r="J44" s="201" t="s">
        <v>111</v>
      </c>
      <c r="K44" s="110"/>
      <c r="L44" s="465"/>
    </row>
    <row r="45" spans="1:12" x14ac:dyDescent="0.35">
      <c r="A45" s="585"/>
      <c r="B45" s="270" t="s">
        <v>371</v>
      </c>
      <c r="C45" s="295">
        <f>D45-60</f>
        <v>4943.5</v>
      </c>
      <c r="D45" s="112">
        <f t="shared" si="0"/>
        <v>5003.5</v>
      </c>
      <c r="E45" s="112" t="s">
        <v>111</v>
      </c>
      <c r="F45" s="201" t="s">
        <v>111</v>
      </c>
      <c r="G45" s="295">
        <f>H45-(D45-C45)</f>
        <v>254728</v>
      </c>
      <c r="H45" s="112">
        <f>H17+2277*64</f>
        <v>254788</v>
      </c>
      <c r="I45" s="112" t="s">
        <v>111</v>
      </c>
      <c r="J45" s="201" t="s">
        <v>111</v>
      </c>
      <c r="K45" s="110"/>
      <c r="L45" s="465"/>
    </row>
    <row r="46" spans="1:12" x14ac:dyDescent="0.35">
      <c r="A46" s="585"/>
      <c r="B46" s="270" t="s">
        <v>248</v>
      </c>
      <c r="C46" s="295" t="s">
        <v>111</v>
      </c>
      <c r="D46" s="112" t="s">
        <v>111</v>
      </c>
      <c r="E46" s="112" t="s">
        <v>111</v>
      </c>
      <c r="F46" s="201" t="s">
        <v>111</v>
      </c>
      <c r="G46" s="295" t="s">
        <v>111</v>
      </c>
      <c r="H46" s="112" t="s">
        <v>111</v>
      </c>
      <c r="I46" s="112" t="s">
        <v>111</v>
      </c>
      <c r="J46" s="201" t="s">
        <v>111</v>
      </c>
      <c r="K46" s="110"/>
      <c r="L46" s="465"/>
    </row>
    <row r="47" spans="1:12" x14ac:dyDescent="0.35">
      <c r="A47" s="585" t="s">
        <v>250</v>
      </c>
      <c r="B47" s="444" t="s">
        <v>362</v>
      </c>
      <c r="C47" s="295">
        <f>C19+3018.25-60</f>
        <v>20662.75</v>
      </c>
      <c r="D47" s="112">
        <f t="shared" ref="D47:D49" si="1">D19+3018.25</f>
        <v>20782.75</v>
      </c>
      <c r="E47" s="112" t="s">
        <v>111</v>
      </c>
      <c r="F47" s="201" t="s">
        <v>111</v>
      </c>
      <c r="G47" s="295">
        <f>H47-(D47-C47)</f>
        <v>266779.25</v>
      </c>
      <c r="H47" s="112">
        <f t="shared" ref="H47:H49" si="2">H19+3018.25*59</f>
        <v>266899.25</v>
      </c>
      <c r="I47" s="112" t="s">
        <v>111</v>
      </c>
      <c r="J47" s="201" t="s">
        <v>111</v>
      </c>
      <c r="K47" s="110"/>
      <c r="L47" s="465"/>
    </row>
    <row r="48" spans="1:12" x14ac:dyDescent="0.35">
      <c r="A48" s="585"/>
      <c r="B48" s="270" t="s">
        <v>363</v>
      </c>
      <c r="C48" s="295">
        <f>D48-60</f>
        <v>13036.75</v>
      </c>
      <c r="D48" s="112">
        <f t="shared" si="1"/>
        <v>13096.75</v>
      </c>
      <c r="E48" s="112" t="s">
        <v>111</v>
      </c>
      <c r="F48" s="201" t="s">
        <v>111</v>
      </c>
      <c r="G48" s="295">
        <f>H48-(D48-C48)</f>
        <v>278801.75</v>
      </c>
      <c r="H48" s="112">
        <f t="shared" si="2"/>
        <v>278861.75</v>
      </c>
      <c r="I48" s="112" t="s">
        <v>111</v>
      </c>
      <c r="J48" s="201" t="s">
        <v>111</v>
      </c>
      <c r="K48" s="110"/>
      <c r="L48" s="465"/>
    </row>
    <row r="49" spans="1:12" x14ac:dyDescent="0.35">
      <c r="A49" s="585"/>
      <c r="B49" s="270" t="s">
        <v>251</v>
      </c>
      <c r="C49" s="295">
        <f>D49-60</f>
        <v>7347.25</v>
      </c>
      <c r="D49" s="112">
        <f t="shared" si="1"/>
        <v>7407.25</v>
      </c>
      <c r="E49" s="112" t="s">
        <v>111</v>
      </c>
      <c r="F49" s="201" t="s">
        <v>111</v>
      </c>
      <c r="G49" s="295">
        <f>H49-(D49-C49)</f>
        <v>287741.75</v>
      </c>
      <c r="H49" s="112">
        <f t="shared" si="2"/>
        <v>287801.75</v>
      </c>
      <c r="I49" s="112" t="s">
        <v>111</v>
      </c>
      <c r="J49" s="201" t="s">
        <v>111</v>
      </c>
      <c r="K49" s="110"/>
      <c r="L49" s="465"/>
    </row>
    <row r="50" spans="1:12" x14ac:dyDescent="0.35">
      <c r="A50" s="585"/>
      <c r="B50" s="270" t="s">
        <v>372</v>
      </c>
      <c r="C50" s="295">
        <f>D50-60</f>
        <v>6436.25</v>
      </c>
      <c r="D50" s="112">
        <f>D22+3018.25</f>
        <v>6496.25</v>
      </c>
      <c r="E50" s="112" t="s">
        <v>111</v>
      </c>
      <c r="F50" s="201" t="s">
        <v>111</v>
      </c>
      <c r="G50" s="295">
        <f>H50-(D50-C50)</f>
        <v>299746.75</v>
      </c>
      <c r="H50" s="112">
        <f>H22+3018.25*59</f>
        <v>299806.75</v>
      </c>
      <c r="I50" s="112" t="s">
        <v>111</v>
      </c>
      <c r="J50" s="201" t="s">
        <v>111</v>
      </c>
      <c r="K50" s="110"/>
      <c r="L50" s="465"/>
    </row>
    <row r="51" spans="1:12" x14ac:dyDescent="0.35">
      <c r="A51" s="585"/>
      <c r="B51" s="270" t="s">
        <v>253</v>
      </c>
      <c r="C51" s="295" t="s">
        <v>111</v>
      </c>
      <c r="D51" s="112" t="s">
        <v>111</v>
      </c>
      <c r="E51" s="112" t="s">
        <v>111</v>
      </c>
      <c r="F51" s="201" t="s">
        <v>111</v>
      </c>
      <c r="G51" s="295" t="s">
        <v>111</v>
      </c>
      <c r="H51" s="112" t="s">
        <v>111</v>
      </c>
      <c r="I51" s="112" t="s">
        <v>111</v>
      </c>
      <c r="J51" s="201" t="s">
        <v>111</v>
      </c>
      <c r="K51" s="110"/>
      <c r="L51" s="465"/>
    </row>
    <row r="52" spans="1:12" x14ac:dyDescent="0.35">
      <c r="A52" s="585" t="s">
        <v>255</v>
      </c>
      <c r="B52" s="444" t="s">
        <v>362</v>
      </c>
      <c r="C52" s="295">
        <f>C24+4029.3-60</f>
        <v>27443.3</v>
      </c>
      <c r="D52" s="112">
        <f>D24+4029.3</f>
        <v>27563.3</v>
      </c>
      <c r="E52" s="112" t="s">
        <v>111</v>
      </c>
      <c r="F52" s="201" t="s">
        <v>111</v>
      </c>
      <c r="G52" s="295">
        <f>H52-(D52-C52)</f>
        <v>335132.2</v>
      </c>
      <c r="H52" s="112">
        <f>H24+4029.3*54</f>
        <v>335252.2</v>
      </c>
      <c r="I52" s="112" t="s">
        <v>111</v>
      </c>
      <c r="J52" s="201" t="s">
        <v>111</v>
      </c>
      <c r="K52" s="110"/>
      <c r="L52" s="465"/>
    </row>
    <row r="53" spans="1:12" x14ac:dyDescent="0.35">
      <c r="A53" s="585"/>
      <c r="B53" s="270" t="s">
        <v>363</v>
      </c>
      <c r="C53" s="295">
        <f>C25+4029.3-60</f>
        <v>17659.3</v>
      </c>
      <c r="D53" s="112">
        <f t="shared" ref="D53:D55" si="3">D25+4029.3</f>
        <v>17779.3</v>
      </c>
      <c r="E53" s="112" t="s">
        <v>111</v>
      </c>
      <c r="F53" s="201" t="s">
        <v>111</v>
      </c>
      <c r="G53" s="295">
        <f>H53-(D53-C53)</f>
        <v>354962.2</v>
      </c>
      <c r="H53" s="112">
        <f t="shared" ref="H53:H55" si="4">H25+4029.3*54</f>
        <v>355082.2</v>
      </c>
      <c r="I53" s="112" t="s">
        <v>111</v>
      </c>
      <c r="J53" s="201" t="s">
        <v>111</v>
      </c>
      <c r="K53" s="110"/>
      <c r="L53" s="465"/>
    </row>
    <row r="54" spans="1:12" x14ac:dyDescent="0.35">
      <c r="A54" s="585"/>
      <c r="B54" s="270" t="s">
        <v>256</v>
      </c>
      <c r="C54" s="295">
        <f>C26+4029.3-60</f>
        <v>11563.3</v>
      </c>
      <c r="D54" s="112">
        <f t="shared" si="3"/>
        <v>11683.3</v>
      </c>
      <c r="E54" s="112" t="s">
        <v>111</v>
      </c>
      <c r="F54" s="201" t="s">
        <v>111</v>
      </c>
      <c r="G54" s="295">
        <f>H54-(D54-C54)</f>
        <v>370542.2</v>
      </c>
      <c r="H54" s="112">
        <f t="shared" si="4"/>
        <v>370662.2</v>
      </c>
      <c r="I54" s="112" t="s">
        <v>111</v>
      </c>
      <c r="J54" s="201" t="s">
        <v>111</v>
      </c>
      <c r="K54" s="110"/>
      <c r="L54" s="465"/>
    </row>
    <row r="55" spans="1:12" x14ac:dyDescent="0.35">
      <c r="A55" s="585"/>
      <c r="B55" s="270" t="s">
        <v>374</v>
      </c>
      <c r="C55" s="295">
        <f>C27+4029.3-60</f>
        <v>9229.7999999999993</v>
      </c>
      <c r="D55" s="112">
        <f t="shared" si="3"/>
        <v>9349.7999999999993</v>
      </c>
      <c r="E55" s="112" t="s">
        <v>111</v>
      </c>
      <c r="F55" s="201" t="s">
        <v>111</v>
      </c>
      <c r="G55" s="295">
        <f>H55-(D55-C55)</f>
        <v>377077.2</v>
      </c>
      <c r="H55" s="112">
        <f t="shared" si="4"/>
        <v>377197.2</v>
      </c>
      <c r="I55" s="112" t="s">
        <v>111</v>
      </c>
      <c r="J55" s="201" t="s">
        <v>111</v>
      </c>
      <c r="K55" s="110"/>
      <c r="L55" s="465"/>
    </row>
    <row r="56" spans="1:12" x14ac:dyDescent="0.35">
      <c r="A56" s="585"/>
      <c r="B56" s="270" t="s">
        <v>258</v>
      </c>
      <c r="C56" s="295" t="s">
        <v>111</v>
      </c>
      <c r="D56" s="112" t="s">
        <v>111</v>
      </c>
      <c r="E56" s="112" t="s">
        <v>111</v>
      </c>
      <c r="F56" s="201" t="s">
        <v>111</v>
      </c>
      <c r="G56" s="295" t="s">
        <v>111</v>
      </c>
      <c r="H56" s="112" t="s">
        <v>111</v>
      </c>
      <c r="I56" s="112" t="s">
        <v>111</v>
      </c>
      <c r="J56" s="201" t="s">
        <v>111</v>
      </c>
      <c r="K56" s="110"/>
      <c r="L56" s="465"/>
    </row>
    <row r="57" spans="1:12" x14ac:dyDescent="0.35">
      <c r="A57" s="585" t="s">
        <v>260</v>
      </c>
      <c r="B57" s="444" t="s">
        <v>362</v>
      </c>
      <c r="C57" s="295">
        <f>C29+5413.9-60</f>
        <v>35170.400000000001</v>
      </c>
      <c r="D57" s="112">
        <f t="shared" ref="D57:D60" si="5">D29+5413.9</f>
        <v>35290.400000000001</v>
      </c>
      <c r="E57" s="112" t="s">
        <v>111</v>
      </c>
      <c r="F57" s="201" t="s">
        <v>111</v>
      </c>
      <c r="G57" s="295">
        <f>H57-(D57-C57)</f>
        <v>414543.6</v>
      </c>
      <c r="H57" s="112">
        <f>H29+5413.9*49</f>
        <v>414663.6</v>
      </c>
      <c r="I57" s="112" t="s">
        <v>111</v>
      </c>
      <c r="J57" s="201" t="s">
        <v>111</v>
      </c>
      <c r="K57" s="110"/>
      <c r="L57" s="465"/>
    </row>
    <row r="58" spans="1:12" x14ac:dyDescent="0.35">
      <c r="A58" s="585"/>
      <c r="B58" s="270" t="s">
        <v>363</v>
      </c>
      <c r="C58" s="295">
        <f>C30+5413.9-60</f>
        <v>23056.9</v>
      </c>
      <c r="D58" s="112">
        <f t="shared" si="5"/>
        <v>23176.9</v>
      </c>
      <c r="E58" s="112" t="s">
        <v>111</v>
      </c>
      <c r="F58" s="201" t="s">
        <v>111</v>
      </c>
      <c r="G58" s="295">
        <f>H58-(D58-C58)</f>
        <v>442791.1</v>
      </c>
      <c r="H58" s="112">
        <f>H30+5413.9*49</f>
        <v>442911.1</v>
      </c>
      <c r="I58" s="112" t="s">
        <v>111</v>
      </c>
      <c r="J58" s="201" t="s">
        <v>111</v>
      </c>
      <c r="K58" s="110"/>
      <c r="L58" s="465"/>
    </row>
    <row r="59" spans="1:12" x14ac:dyDescent="0.35">
      <c r="A59" s="585"/>
      <c r="B59" s="270" t="s">
        <v>261</v>
      </c>
      <c r="C59" s="295">
        <f>C31+5413.9-60</f>
        <v>17655.400000000001</v>
      </c>
      <c r="D59" s="112">
        <f t="shared" si="5"/>
        <v>17775.400000000001</v>
      </c>
      <c r="E59" s="112" t="s">
        <v>111</v>
      </c>
      <c r="F59" s="201" t="s">
        <v>111</v>
      </c>
      <c r="G59" s="295">
        <f>H59-(D59-C59)</f>
        <v>450583.6</v>
      </c>
      <c r="H59" s="112">
        <f>H31+5413.9*49</f>
        <v>450703.6</v>
      </c>
      <c r="I59" s="112" t="s">
        <v>111</v>
      </c>
      <c r="J59" s="201" t="s">
        <v>111</v>
      </c>
      <c r="K59" s="110"/>
      <c r="L59" s="465"/>
    </row>
    <row r="60" spans="1:12" x14ac:dyDescent="0.35">
      <c r="A60" s="585"/>
      <c r="B60" s="270" t="s">
        <v>373</v>
      </c>
      <c r="C60" s="295">
        <f>C32+5413.9-60</f>
        <v>12881.9</v>
      </c>
      <c r="D60" s="112">
        <f t="shared" si="5"/>
        <v>13001.9</v>
      </c>
      <c r="E60" s="112" t="s">
        <v>111</v>
      </c>
      <c r="F60" s="201" t="s">
        <v>111</v>
      </c>
      <c r="G60" s="295">
        <f>H60-(D60-C60)</f>
        <v>454861.1</v>
      </c>
      <c r="H60" s="112">
        <f>H32+5413.9*49</f>
        <v>454981.1</v>
      </c>
      <c r="I60" s="112" t="s">
        <v>111</v>
      </c>
      <c r="J60" s="201" t="s">
        <v>111</v>
      </c>
      <c r="K60" s="110"/>
      <c r="L60" s="465"/>
    </row>
    <row r="61" spans="1:12" ht="15" thickBot="1" x14ac:dyDescent="0.4">
      <c r="A61" s="586"/>
      <c r="B61" s="298" t="s">
        <v>263</v>
      </c>
      <c r="C61" s="296" t="s">
        <v>111</v>
      </c>
      <c r="D61" s="118" t="s">
        <v>111</v>
      </c>
      <c r="E61" s="118" t="s">
        <v>111</v>
      </c>
      <c r="F61" s="205" t="s">
        <v>111</v>
      </c>
      <c r="G61" s="296" t="s">
        <v>111</v>
      </c>
      <c r="H61" s="118" t="s">
        <v>111</v>
      </c>
      <c r="I61" s="118" t="s">
        <v>111</v>
      </c>
      <c r="J61" s="205" t="s">
        <v>111</v>
      </c>
      <c r="K61" s="110"/>
      <c r="L61" s="465"/>
    </row>
    <row r="63" spans="1:12" ht="15.5" x14ac:dyDescent="0.35">
      <c r="A63" s="284" t="s">
        <v>160</v>
      </c>
      <c r="B63" s="284"/>
      <c r="C63" s="125"/>
      <c r="D63" s="125"/>
      <c r="G63" s="97"/>
      <c r="H63" s="97"/>
      <c r="I63" s="46" t="s">
        <v>128</v>
      </c>
      <c r="J63" s="46"/>
    </row>
    <row r="64" spans="1:12" ht="15.5" x14ac:dyDescent="0.35">
      <c r="A64" s="590" t="s">
        <v>129</v>
      </c>
      <c r="B64" s="590"/>
      <c r="C64" s="99">
        <v>500000</v>
      </c>
      <c r="D64" s="99">
        <v>500000</v>
      </c>
      <c r="G64" s="46"/>
      <c r="H64" s="46"/>
      <c r="I64" s="46"/>
      <c r="J64" s="46"/>
      <c r="K64" s="46"/>
    </row>
    <row r="65" spans="1:15" ht="16" thickBot="1" x14ac:dyDescent="0.4">
      <c r="A65" s="591" t="s">
        <v>364</v>
      </c>
      <c r="B65" s="591"/>
      <c r="C65" s="127"/>
      <c r="D65" s="127"/>
      <c r="E65" s="127"/>
      <c r="F65" s="127"/>
      <c r="G65" s="127"/>
      <c r="H65" s="127"/>
      <c r="I65" s="127"/>
      <c r="J65" s="127"/>
    </row>
    <row r="66" spans="1:15" ht="16" thickBot="1" x14ac:dyDescent="0.4">
      <c r="A66" s="432"/>
      <c r="B66" s="432"/>
      <c r="C66" s="596" t="s">
        <v>368</v>
      </c>
      <c r="D66" s="597"/>
      <c r="E66" s="597"/>
      <c r="F66" s="598"/>
      <c r="G66" s="599" t="s">
        <v>369</v>
      </c>
      <c r="H66" s="600"/>
      <c r="I66" s="600"/>
      <c r="J66" s="601"/>
    </row>
    <row r="67" spans="1:15" ht="43.5" x14ac:dyDescent="0.35">
      <c r="A67" s="592"/>
      <c r="B67" s="593"/>
      <c r="C67" s="303" t="s">
        <v>361</v>
      </c>
      <c r="D67" s="128" t="s">
        <v>361</v>
      </c>
      <c r="E67" s="128" t="s">
        <v>354</v>
      </c>
      <c r="F67" s="129" t="s">
        <v>354</v>
      </c>
      <c r="G67" s="292" t="s">
        <v>361</v>
      </c>
      <c r="H67" s="365" t="s">
        <v>361</v>
      </c>
      <c r="I67" s="365" t="s">
        <v>354</v>
      </c>
      <c r="J67" s="285" t="s">
        <v>354</v>
      </c>
    </row>
    <row r="68" spans="1:15" x14ac:dyDescent="0.35">
      <c r="A68" s="594" t="s">
        <v>213</v>
      </c>
      <c r="B68" s="595"/>
      <c r="C68" s="304" t="s">
        <v>365</v>
      </c>
      <c r="D68" s="130" t="s">
        <v>365</v>
      </c>
      <c r="E68" s="130" t="s">
        <v>352</v>
      </c>
      <c r="F68" s="131" t="s">
        <v>352</v>
      </c>
      <c r="G68" s="293" t="s">
        <v>365</v>
      </c>
      <c r="H68" s="362" t="s">
        <v>365</v>
      </c>
      <c r="I68" s="362" t="s">
        <v>352</v>
      </c>
      <c r="J68" s="286" t="s">
        <v>352</v>
      </c>
    </row>
    <row r="69" spans="1:15" ht="30" customHeight="1" x14ac:dyDescent="0.35">
      <c r="A69" s="393" t="s">
        <v>176</v>
      </c>
      <c r="B69" s="443" t="s">
        <v>281</v>
      </c>
      <c r="C69" s="305" t="s">
        <v>141</v>
      </c>
      <c r="D69" s="337" t="s">
        <v>141</v>
      </c>
      <c r="E69" s="337" t="s">
        <v>141</v>
      </c>
      <c r="F69" s="282" t="s">
        <v>141</v>
      </c>
      <c r="G69" s="294" t="s">
        <v>141</v>
      </c>
      <c r="H69" s="363" t="s">
        <v>141</v>
      </c>
      <c r="I69" s="363" t="s">
        <v>141</v>
      </c>
      <c r="J69" s="291" t="s">
        <v>141</v>
      </c>
    </row>
    <row r="70" spans="1:15" x14ac:dyDescent="0.35">
      <c r="A70" s="587" t="s">
        <v>238</v>
      </c>
      <c r="B70" s="444" t="s">
        <v>362</v>
      </c>
      <c r="C70" s="295">
        <f>8607+248.5-60</f>
        <v>8795.5</v>
      </c>
      <c r="D70" s="112">
        <f>8607+248.5</f>
        <v>8855.5</v>
      </c>
      <c r="E70" s="112" t="s">
        <v>111</v>
      </c>
      <c r="F70" s="201" t="s">
        <v>111</v>
      </c>
      <c r="G70" s="295">
        <f>H70-(D70-C70)</f>
        <v>44217.5</v>
      </c>
      <c r="H70" s="112">
        <f>D70*5</f>
        <v>44277.5</v>
      </c>
      <c r="I70" s="112" t="s">
        <v>111</v>
      </c>
      <c r="J70" s="201" t="s">
        <v>111</v>
      </c>
      <c r="K70" s="110"/>
    </row>
    <row r="71" spans="1:15" x14ac:dyDescent="0.35">
      <c r="A71" s="587"/>
      <c r="B71" s="270" t="s">
        <v>363</v>
      </c>
      <c r="C71" s="295">
        <f>D71-60</f>
        <v>5058</v>
      </c>
      <c r="D71" s="112">
        <f>4966+152</f>
        <v>5118</v>
      </c>
      <c r="E71" s="112" t="s">
        <v>111</v>
      </c>
      <c r="F71" s="201" t="s">
        <v>111</v>
      </c>
      <c r="G71" s="295">
        <f>H71-(D71-C71)</f>
        <v>51120</v>
      </c>
      <c r="H71" s="112">
        <f>D71*10</f>
        <v>51180</v>
      </c>
      <c r="I71" s="112" t="s">
        <v>111</v>
      </c>
      <c r="J71" s="201" t="s">
        <v>111</v>
      </c>
      <c r="K71" s="110"/>
    </row>
    <row r="72" spans="1:15" customFormat="1" x14ac:dyDescent="0.35">
      <c r="A72" s="587"/>
      <c r="B72" s="270" t="s">
        <v>241</v>
      </c>
      <c r="C72" s="295">
        <f>D72-60</f>
        <v>1779</v>
      </c>
      <c r="D72" s="112">
        <f>1783.5+55.5</f>
        <v>1839</v>
      </c>
      <c r="E72" s="112">
        <f>F72/0.8*0.85</f>
        <v>2005.46875</v>
      </c>
      <c r="F72" s="201">
        <v>1887.5</v>
      </c>
      <c r="G72" s="295">
        <f>H72-(D72-C72)</f>
        <v>64305</v>
      </c>
      <c r="H72" s="112">
        <f>D72*35</f>
        <v>64365</v>
      </c>
      <c r="I72" s="112">
        <f>J72-(F72-E72)</f>
        <v>66180.46875</v>
      </c>
      <c r="J72" s="201">
        <f>F72*35</f>
        <v>66062.5</v>
      </c>
      <c r="K72" s="110"/>
      <c r="M72" s="124"/>
      <c r="N72" s="124"/>
      <c r="O72" s="124"/>
    </row>
    <row r="73" spans="1:15" customFormat="1" x14ac:dyDescent="0.35">
      <c r="A73" s="587"/>
      <c r="B73" s="270" t="s">
        <v>370</v>
      </c>
      <c r="C73" s="295">
        <f>D73-60</f>
        <v>1567.5</v>
      </c>
      <c r="D73" s="112">
        <f>1579.5+48</f>
        <v>1627.5</v>
      </c>
      <c r="E73" s="112" t="s">
        <v>111</v>
      </c>
      <c r="F73" s="201" t="s">
        <v>111</v>
      </c>
      <c r="G73" s="295">
        <f>H73-(D73-C73)</f>
        <v>73177.5</v>
      </c>
      <c r="H73" s="112">
        <f>D73*45</f>
        <v>73237.5</v>
      </c>
      <c r="I73" s="112" t="s">
        <v>111</v>
      </c>
      <c r="J73" s="201" t="s">
        <v>111</v>
      </c>
      <c r="K73" s="110"/>
      <c r="M73" s="124"/>
      <c r="N73" s="124"/>
      <c r="O73" s="124"/>
    </row>
    <row r="74" spans="1:15" customFormat="1" x14ac:dyDescent="0.35">
      <c r="A74" s="587"/>
      <c r="B74" s="270" t="s">
        <v>243</v>
      </c>
      <c r="C74" s="295" t="s">
        <v>111</v>
      </c>
      <c r="D74" s="112" t="s">
        <v>111</v>
      </c>
      <c r="E74" s="112">
        <f>F74/0.8*0.85</f>
        <v>1219.21875</v>
      </c>
      <c r="F74" s="201">
        <v>1147.5</v>
      </c>
      <c r="G74" s="295" t="s">
        <v>111</v>
      </c>
      <c r="H74" s="112" t="s">
        <v>111</v>
      </c>
      <c r="I74" s="112">
        <f>J74-(F74-E74)</f>
        <v>79249.21875</v>
      </c>
      <c r="J74" s="201">
        <f>F74*69</f>
        <v>79177.5</v>
      </c>
      <c r="K74" s="110"/>
      <c r="M74" s="124"/>
      <c r="N74" s="124"/>
      <c r="O74" s="124"/>
    </row>
    <row r="75" spans="1:15" customFormat="1" x14ac:dyDescent="0.35">
      <c r="A75" s="587" t="s">
        <v>245</v>
      </c>
      <c r="B75" s="444" t="s">
        <v>362</v>
      </c>
      <c r="C75" s="295">
        <f>11969+327.5-60</f>
        <v>12236.5</v>
      </c>
      <c r="D75" s="112">
        <f>11969+327.5</f>
        <v>12296.5</v>
      </c>
      <c r="E75" s="112" t="s">
        <v>111</v>
      </c>
      <c r="F75" s="201" t="s">
        <v>111</v>
      </c>
      <c r="G75" s="295">
        <f>H75-(D75-C75)</f>
        <v>61422.5</v>
      </c>
      <c r="H75" s="112">
        <f>D75*5</f>
        <v>61482.5</v>
      </c>
      <c r="I75" s="112" t="s">
        <v>111</v>
      </c>
      <c r="J75" s="201" t="s">
        <v>111</v>
      </c>
      <c r="K75" s="110"/>
      <c r="M75" s="124"/>
      <c r="N75" s="124"/>
      <c r="O75" s="124"/>
    </row>
    <row r="76" spans="1:15" customFormat="1" x14ac:dyDescent="0.35">
      <c r="A76" s="587"/>
      <c r="B76" s="270" t="s">
        <v>363</v>
      </c>
      <c r="C76" s="295">
        <f>D76-60</f>
        <v>6963</v>
      </c>
      <c r="D76" s="112">
        <f>6826+197</f>
        <v>7023</v>
      </c>
      <c r="E76" s="112" t="s">
        <v>111</v>
      </c>
      <c r="F76" s="201" t="s">
        <v>111</v>
      </c>
      <c r="G76" s="295">
        <f>H76-(D76-C76)</f>
        <v>70170</v>
      </c>
      <c r="H76" s="112">
        <f>D76*10</f>
        <v>70230</v>
      </c>
      <c r="I76" s="112" t="s">
        <v>111</v>
      </c>
      <c r="J76" s="201" t="s">
        <v>111</v>
      </c>
      <c r="K76" s="110"/>
      <c r="M76" s="124"/>
      <c r="N76" s="124"/>
      <c r="O76" s="124"/>
    </row>
    <row r="77" spans="1:15" customFormat="1" x14ac:dyDescent="0.35">
      <c r="A77" s="587"/>
      <c r="B77" s="270" t="s">
        <v>246</v>
      </c>
      <c r="C77" s="295">
        <f>D77-60</f>
        <v>2805</v>
      </c>
      <c r="D77" s="112">
        <f>2785+80</f>
        <v>2865</v>
      </c>
      <c r="E77" s="112">
        <f>F77/0.8*0.85</f>
        <v>2915.5</v>
      </c>
      <c r="F77" s="201">
        <v>2744</v>
      </c>
      <c r="G77" s="295">
        <f>H77-(D77-C77)</f>
        <v>85890</v>
      </c>
      <c r="H77" s="112">
        <f>D77*30</f>
        <v>85950</v>
      </c>
      <c r="I77" s="112">
        <f>J77-(F77-E77)</f>
        <v>82491.5</v>
      </c>
      <c r="J77" s="201">
        <f>F77*30</f>
        <v>82320</v>
      </c>
      <c r="K77" s="110"/>
      <c r="M77" s="124"/>
      <c r="N77" s="124"/>
      <c r="O77" s="124"/>
    </row>
    <row r="78" spans="1:15" customFormat="1" x14ac:dyDescent="0.35">
      <c r="A78" s="587"/>
      <c r="B78" s="270" t="s">
        <v>371</v>
      </c>
      <c r="C78" s="295">
        <f>D78-60</f>
        <v>2278.5</v>
      </c>
      <c r="D78" s="112">
        <f>2273.5+65</f>
        <v>2338.5</v>
      </c>
      <c r="E78" s="112" t="s">
        <v>111</v>
      </c>
      <c r="F78" s="201" t="s">
        <v>111</v>
      </c>
      <c r="G78" s="295">
        <f>H78-(D78-C78)</f>
        <v>93480</v>
      </c>
      <c r="H78" s="112">
        <f>D78*40</f>
        <v>93540</v>
      </c>
      <c r="I78" s="112" t="s">
        <v>111</v>
      </c>
      <c r="J78" s="201" t="s">
        <v>111</v>
      </c>
      <c r="K78" s="110"/>
      <c r="M78" s="124"/>
      <c r="N78" s="124"/>
      <c r="O78" s="124"/>
    </row>
    <row r="79" spans="1:15" customFormat="1" x14ac:dyDescent="0.35">
      <c r="A79" s="587"/>
      <c r="B79" s="270" t="s">
        <v>248</v>
      </c>
      <c r="C79" s="295" t="s">
        <v>111</v>
      </c>
      <c r="D79" s="112" t="s">
        <v>111</v>
      </c>
      <c r="E79" s="112">
        <f>F79/0.8*0.85</f>
        <v>1672.375</v>
      </c>
      <c r="F79" s="201">
        <v>1574</v>
      </c>
      <c r="G79" s="295" t="s">
        <v>111</v>
      </c>
      <c r="H79" s="112" t="s">
        <v>111</v>
      </c>
      <c r="I79" s="112">
        <f>J79-(F79-E79)</f>
        <v>100834.375</v>
      </c>
      <c r="J79" s="201">
        <f>F79*64</f>
        <v>100736</v>
      </c>
      <c r="K79" s="110"/>
      <c r="M79" s="124"/>
      <c r="N79" s="124"/>
      <c r="O79" s="124"/>
    </row>
    <row r="80" spans="1:15" customFormat="1" x14ac:dyDescent="0.35">
      <c r="A80" s="587" t="s">
        <v>250</v>
      </c>
      <c r="B80" s="444" t="s">
        <v>362</v>
      </c>
      <c r="C80" s="295">
        <f>15329.5+406-60</f>
        <v>15675.5</v>
      </c>
      <c r="D80" s="112">
        <f>15329.5+406</f>
        <v>15735.5</v>
      </c>
      <c r="E80" s="112" t="s">
        <v>111</v>
      </c>
      <c r="F80" s="201" t="s">
        <v>111</v>
      </c>
      <c r="G80" s="295">
        <f>H80-(D80-C80)</f>
        <v>78617.5</v>
      </c>
      <c r="H80" s="112">
        <f>D80*5</f>
        <v>78677.5</v>
      </c>
      <c r="I80" s="112" t="s">
        <v>111</v>
      </c>
      <c r="J80" s="201" t="s">
        <v>111</v>
      </c>
      <c r="K80" s="110"/>
      <c r="M80" s="124"/>
      <c r="N80" s="124"/>
      <c r="O80" s="124"/>
    </row>
    <row r="81" spans="1:15" customFormat="1" x14ac:dyDescent="0.35">
      <c r="A81" s="587"/>
      <c r="B81" s="270" t="s">
        <v>363</v>
      </c>
      <c r="C81" s="295">
        <f>D81-60</f>
        <v>8866.5</v>
      </c>
      <c r="D81" s="112">
        <f>8686.5+240</f>
        <v>8926.5</v>
      </c>
      <c r="E81" s="112" t="s">
        <v>111</v>
      </c>
      <c r="F81" s="201" t="s">
        <v>111</v>
      </c>
      <c r="G81" s="295">
        <f>H81-(D81-C81)</f>
        <v>89205</v>
      </c>
      <c r="H81" s="112">
        <f>D81*10</f>
        <v>89265</v>
      </c>
      <c r="I81" s="112" t="s">
        <v>111</v>
      </c>
      <c r="J81" s="201" t="s">
        <v>111</v>
      </c>
      <c r="K81" s="110"/>
      <c r="M81" s="124"/>
      <c r="N81" s="124"/>
      <c r="O81" s="124"/>
    </row>
    <row r="82" spans="1:15" customFormat="1" x14ac:dyDescent="0.35">
      <c r="A82" s="587"/>
      <c r="B82" s="270" t="s">
        <v>251</v>
      </c>
      <c r="C82" s="295">
        <f>D82-60</f>
        <v>3828</v>
      </c>
      <c r="D82" s="112">
        <f>3784.5+103.5</f>
        <v>3888</v>
      </c>
      <c r="E82" s="112">
        <f>F82/0.8*0.85</f>
        <v>4512.96875</v>
      </c>
      <c r="F82" s="201">
        <v>4247.5</v>
      </c>
      <c r="G82" s="295">
        <f>H82-(D82-C82)</f>
        <v>97140</v>
      </c>
      <c r="H82" s="112">
        <f>D82*25</f>
        <v>97200</v>
      </c>
      <c r="I82" s="112">
        <f>J82-(F82-E82)</f>
        <v>106452.96875</v>
      </c>
      <c r="J82" s="201">
        <f>F82*25</f>
        <v>106187.5</v>
      </c>
      <c r="K82" s="110"/>
      <c r="M82" s="124"/>
      <c r="N82" s="124"/>
      <c r="O82" s="124"/>
    </row>
    <row r="83" spans="1:15" customFormat="1" x14ac:dyDescent="0.35">
      <c r="A83" s="587"/>
      <c r="B83" s="270" t="s">
        <v>372</v>
      </c>
      <c r="C83" s="295">
        <f>D83-60</f>
        <v>2988.5</v>
      </c>
      <c r="D83" s="112">
        <f>2967+81.5</f>
        <v>3048.5</v>
      </c>
      <c r="E83" s="112" t="s">
        <v>111</v>
      </c>
      <c r="F83" s="201" t="s">
        <v>111</v>
      </c>
      <c r="G83" s="295">
        <f>H83-(D83-C83)</f>
        <v>106637.5</v>
      </c>
      <c r="H83" s="112">
        <f>D83*35</f>
        <v>106697.5</v>
      </c>
      <c r="I83" s="112" t="s">
        <v>111</v>
      </c>
      <c r="J83" s="201" t="s">
        <v>111</v>
      </c>
      <c r="K83" s="110"/>
      <c r="M83" s="124"/>
      <c r="N83" s="124"/>
      <c r="O83" s="124"/>
    </row>
    <row r="84" spans="1:15" customFormat="1" x14ac:dyDescent="0.35">
      <c r="A84" s="587"/>
      <c r="B84" s="270" t="s">
        <v>253</v>
      </c>
      <c r="C84" s="295" t="s">
        <v>111</v>
      </c>
      <c r="D84" s="112" t="s">
        <v>111</v>
      </c>
      <c r="E84" s="112">
        <f>F84/0.8*0.85</f>
        <v>2332.1875</v>
      </c>
      <c r="F84" s="201">
        <v>2195</v>
      </c>
      <c r="G84" s="295" t="s">
        <v>111</v>
      </c>
      <c r="H84" s="112" t="s">
        <v>111</v>
      </c>
      <c r="I84" s="112">
        <f>J84-(F84-E84)</f>
        <v>129642.1875</v>
      </c>
      <c r="J84" s="201">
        <f>F84*59</f>
        <v>129505</v>
      </c>
      <c r="K84" s="110"/>
      <c r="M84" s="124"/>
      <c r="N84" s="124"/>
      <c r="O84" s="124"/>
    </row>
    <row r="85" spans="1:15" customFormat="1" x14ac:dyDescent="0.35">
      <c r="A85" s="587" t="s">
        <v>255</v>
      </c>
      <c r="B85" s="444" t="s">
        <v>362</v>
      </c>
      <c r="C85" s="295">
        <f>19467.5+477.5-60</f>
        <v>19885</v>
      </c>
      <c r="D85" s="112">
        <f>19467.5+477.5</f>
        <v>19945</v>
      </c>
      <c r="E85" s="112" t="s">
        <v>111</v>
      </c>
      <c r="F85" s="201" t="s">
        <v>111</v>
      </c>
      <c r="G85" s="295">
        <f>H85-(D85-C85)</f>
        <v>99665</v>
      </c>
      <c r="H85" s="112">
        <f>D85*5</f>
        <v>99725</v>
      </c>
      <c r="I85" s="112" t="s">
        <v>111</v>
      </c>
      <c r="J85" s="201" t="s">
        <v>111</v>
      </c>
      <c r="K85" s="110"/>
      <c r="M85" s="124"/>
      <c r="N85" s="124"/>
      <c r="O85" s="124"/>
    </row>
    <row r="86" spans="1:15" customFormat="1" x14ac:dyDescent="0.35">
      <c r="A86" s="587"/>
      <c r="B86" s="270" t="s">
        <v>363</v>
      </c>
      <c r="C86" s="295">
        <f>11351+290.5-60</f>
        <v>11581.5</v>
      </c>
      <c r="D86" s="112">
        <f>11351+290.5</f>
        <v>11641.5</v>
      </c>
      <c r="E86" s="112" t="s">
        <v>111</v>
      </c>
      <c r="F86" s="201" t="s">
        <v>111</v>
      </c>
      <c r="G86" s="295">
        <f>H86-(D86-C86)</f>
        <v>116355</v>
      </c>
      <c r="H86" s="112">
        <f>D86*10</f>
        <v>116415</v>
      </c>
      <c r="I86" s="112" t="s">
        <v>111</v>
      </c>
      <c r="J86" s="201" t="s">
        <v>111</v>
      </c>
      <c r="K86" s="110"/>
      <c r="M86" s="124"/>
      <c r="N86" s="124"/>
      <c r="O86" s="124"/>
    </row>
    <row r="87" spans="1:15" customFormat="1" x14ac:dyDescent="0.35">
      <c r="A87" s="587"/>
      <c r="B87" s="270" t="s">
        <v>256</v>
      </c>
      <c r="C87" s="295">
        <f>6209+164.5-60</f>
        <v>6313.5</v>
      </c>
      <c r="D87" s="112">
        <f>6209+164.5</f>
        <v>6373.5</v>
      </c>
      <c r="E87" s="112">
        <f>F87/0.8*0.85</f>
        <v>7125.125</v>
      </c>
      <c r="F87" s="201">
        <v>6706</v>
      </c>
      <c r="G87" s="295">
        <f>H87-(D87-C87)</f>
        <v>127410</v>
      </c>
      <c r="H87" s="112">
        <f>D87*20</f>
        <v>127470</v>
      </c>
      <c r="I87" s="112">
        <f>J87-(F87-E87)</f>
        <v>134539.125</v>
      </c>
      <c r="J87" s="201">
        <f>F87*20</f>
        <v>134120</v>
      </c>
      <c r="K87" s="110"/>
      <c r="M87" s="124"/>
      <c r="N87" s="124"/>
      <c r="O87" s="124"/>
    </row>
    <row r="88" spans="1:15" customFormat="1" x14ac:dyDescent="0.35">
      <c r="A88" s="587"/>
      <c r="B88" s="270" t="s">
        <v>374</v>
      </c>
      <c r="C88" s="295">
        <f>4368+109.5-60</f>
        <v>4417.5</v>
      </c>
      <c r="D88" s="112">
        <f>4368+109.5</f>
        <v>4477.5</v>
      </c>
      <c r="E88" s="112" t="s">
        <v>111</v>
      </c>
      <c r="F88" s="201" t="s">
        <v>111</v>
      </c>
      <c r="G88" s="295">
        <f>H88-(D88-C88)</f>
        <v>134265</v>
      </c>
      <c r="H88" s="112">
        <f>D88*30</f>
        <v>134325</v>
      </c>
      <c r="I88" s="112" t="s">
        <v>111</v>
      </c>
      <c r="J88" s="201" t="s">
        <v>111</v>
      </c>
      <c r="K88" s="110"/>
      <c r="M88" s="124"/>
      <c r="N88" s="124"/>
      <c r="O88" s="124"/>
    </row>
    <row r="89" spans="1:15" customFormat="1" x14ac:dyDescent="0.35">
      <c r="A89" s="587"/>
      <c r="B89" s="270" t="s">
        <v>258</v>
      </c>
      <c r="C89" s="295" t="s">
        <v>111</v>
      </c>
      <c r="D89" s="112" t="s">
        <v>111</v>
      </c>
      <c r="E89" s="112">
        <f>F89/0.8*0.85</f>
        <v>3340.5</v>
      </c>
      <c r="F89" s="201">
        <v>3144</v>
      </c>
      <c r="G89" s="295" t="s">
        <v>111</v>
      </c>
      <c r="H89" s="112" t="s">
        <v>111</v>
      </c>
      <c r="I89" s="112">
        <f>J89-(F89-E89)</f>
        <v>169972.5</v>
      </c>
      <c r="J89" s="201">
        <f>F89*54</f>
        <v>169776</v>
      </c>
      <c r="K89" s="110"/>
      <c r="M89" s="124"/>
      <c r="N89" s="124"/>
      <c r="O89" s="124"/>
    </row>
    <row r="90" spans="1:15" customFormat="1" x14ac:dyDescent="0.35">
      <c r="A90" s="587" t="s">
        <v>260</v>
      </c>
      <c r="B90" s="444" t="s">
        <v>362</v>
      </c>
      <c r="C90" s="295">
        <f>24077+548.5-60</f>
        <v>24565.5</v>
      </c>
      <c r="D90" s="112">
        <f>24077+548.5</f>
        <v>24625.5</v>
      </c>
      <c r="E90" s="112" t="s">
        <v>111</v>
      </c>
      <c r="F90" s="201" t="s">
        <v>111</v>
      </c>
      <c r="G90" s="295">
        <f>H90-(D90-C90)</f>
        <v>123067.5</v>
      </c>
      <c r="H90" s="112">
        <f>D90*5</f>
        <v>123127.5</v>
      </c>
      <c r="I90" s="112" t="s">
        <v>111</v>
      </c>
      <c r="J90" s="201" t="s">
        <v>111</v>
      </c>
      <c r="K90" s="110"/>
      <c r="M90" s="124"/>
      <c r="N90" s="124"/>
      <c r="O90" s="124"/>
    </row>
    <row r="91" spans="1:15" customFormat="1" x14ac:dyDescent="0.35">
      <c r="A91" s="587"/>
      <c r="B91" s="270" t="s">
        <v>363</v>
      </c>
      <c r="C91" s="295">
        <f>14296+343-60</f>
        <v>14579</v>
      </c>
      <c r="D91" s="112">
        <f>14296+343</f>
        <v>14639</v>
      </c>
      <c r="E91" s="112" t="s">
        <v>111</v>
      </c>
      <c r="F91" s="201" t="s">
        <v>111</v>
      </c>
      <c r="G91" s="295">
        <f>H91-(D91-C91)</f>
        <v>146330</v>
      </c>
      <c r="H91" s="112">
        <f>D91*10</f>
        <v>146390</v>
      </c>
      <c r="I91" s="112" t="s">
        <v>111</v>
      </c>
      <c r="J91" s="201" t="s">
        <v>111</v>
      </c>
      <c r="K91" s="110"/>
      <c r="M91" s="124"/>
      <c r="N91" s="124"/>
      <c r="O91" s="124"/>
    </row>
    <row r="92" spans="1:15" customFormat="1" x14ac:dyDescent="0.35">
      <c r="A92" s="587"/>
      <c r="B92" s="270" t="s">
        <v>261</v>
      </c>
      <c r="C92" s="295">
        <f>10369.5+229-60</f>
        <v>10538.5</v>
      </c>
      <c r="D92" s="112">
        <f>10369.5+229</f>
        <v>10598.5</v>
      </c>
      <c r="E92" s="112">
        <f>F92/0.8*0.85</f>
        <v>12202.28125</v>
      </c>
      <c r="F92" s="201">
        <v>11484.5</v>
      </c>
      <c r="G92" s="295">
        <f>H92-(D92-C92)</f>
        <v>158917.5</v>
      </c>
      <c r="H92" s="112">
        <f>D92*15</f>
        <v>158977.5</v>
      </c>
      <c r="I92" s="112">
        <f>J92-(F92-E92)</f>
        <v>172985.28125</v>
      </c>
      <c r="J92" s="201">
        <f>F92*15</f>
        <v>172267.5</v>
      </c>
      <c r="K92" s="110"/>
      <c r="M92" s="124"/>
      <c r="N92" s="124"/>
      <c r="O92" s="124"/>
    </row>
    <row r="93" spans="1:15" customFormat="1" x14ac:dyDescent="0.35">
      <c r="A93" s="587"/>
      <c r="B93" s="270" t="s">
        <v>373</v>
      </c>
      <c r="C93" s="295">
        <f>6294+137.5-60</f>
        <v>6371.5</v>
      </c>
      <c r="D93" s="112">
        <f>6294+137.5</f>
        <v>6431.5</v>
      </c>
      <c r="E93" s="112" t="s">
        <v>111</v>
      </c>
      <c r="F93" s="201" t="s">
        <v>111</v>
      </c>
      <c r="G93" s="295">
        <f>H93-(D93-C93)</f>
        <v>225042.5</v>
      </c>
      <c r="H93" s="112">
        <f>D93*35</f>
        <v>225102.5</v>
      </c>
      <c r="I93" s="112" t="s">
        <v>111</v>
      </c>
      <c r="J93" s="201" t="s">
        <v>111</v>
      </c>
      <c r="K93" s="110"/>
      <c r="M93" s="124"/>
      <c r="N93" s="124"/>
      <c r="O93" s="124"/>
    </row>
    <row r="94" spans="1:15" customFormat="1" ht="15" thickBot="1" x14ac:dyDescent="0.4">
      <c r="A94" s="587"/>
      <c r="B94" s="270" t="s">
        <v>263</v>
      </c>
      <c r="C94" s="296" t="s">
        <v>111</v>
      </c>
      <c r="D94" s="118" t="s">
        <v>111</v>
      </c>
      <c r="E94" s="118">
        <f>F94/0.8*0.85</f>
        <v>4487.46875</v>
      </c>
      <c r="F94" s="205">
        <v>4223.5</v>
      </c>
      <c r="G94" s="296" t="s">
        <v>111</v>
      </c>
      <c r="H94" s="118" t="s">
        <v>111</v>
      </c>
      <c r="I94" s="118">
        <f>J94-(F94-E94)</f>
        <v>207215.46875</v>
      </c>
      <c r="J94" s="205">
        <f>F94*49</f>
        <v>206951.5</v>
      </c>
      <c r="K94" s="110"/>
      <c r="M94" s="124"/>
      <c r="N94" s="124"/>
      <c r="O94" s="124"/>
    </row>
    <row r="95" spans="1:15" customFormat="1" ht="29" x14ac:dyDescent="0.35">
      <c r="A95" s="588" t="s">
        <v>221</v>
      </c>
      <c r="B95" s="589"/>
      <c r="C95" s="457" t="s">
        <v>367</v>
      </c>
      <c r="D95" s="348" t="s">
        <v>367</v>
      </c>
      <c r="E95" s="364" t="s">
        <v>111</v>
      </c>
      <c r="F95" s="458" t="s">
        <v>111</v>
      </c>
      <c r="G95" s="456" t="s">
        <v>367</v>
      </c>
      <c r="H95" s="439" t="s">
        <v>367</v>
      </c>
      <c r="I95" s="424" t="s">
        <v>111</v>
      </c>
      <c r="J95" s="301" t="s">
        <v>111</v>
      </c>
      <c r="K95" s="110"/>
      <c r="M95" s="124"/>
      <c r="N95" s="124"/>
      <c r="O95" s="124"/>
    </row>
    <row r="96" spans="1:15" customFormat="1" x14ac:dyDescent="0.35">
      <c r="A96" s="588"/>
      <c r="B96" s="589"/>
      <c r="C96" s="307" t="s">
        <v>154</v>
      </c>
      <c r="D96" s="274" t="s">
        <v>154</v>
      </c>
      <c r="E96" s="274" t="s">
        <v>111</v>
      </c>
      <c r="F96" s="278" t="s">
        <v>111</v>
      </c>
      <c r="G96" s="435" t="s">
        <v>154</v>
      </c>
      <c r="H96" s="289" t="s">
        <v>154</v>
      </c>
      <c r="I96" s="289" t="s">
        <v>111</v>
      </c>
      <c r="J96" s="290" t="s">
        <v>111</v>
      </c>
      <c r="K96" s="110"/>
      <c r="M96" s="124"/>
      <c r="N96" s="124"/>
      <c r="O96" s="124"/>
    </row>
    <row r="97" spans="1:15" customFormat="1" x14ac:dyDescent="0.35">
      <c r="A97" s="429" t="s">
        <v>176</v>
      </c>
      <c r="B97" s="445" t="s">
        <v>281</v>
      </c>
      <c r="C97" s="446" t="s">
        <v>141</v>
      </c>
      <c r="D97" s="425" t="s">
        <v>141</v>
      </c>
      <c r="E97" s="426" t="s">
        <v>111</v>
      </c>
      <c r="F97" s="447" t="s">
        <v>111</v>
      </c>
      <c r="G97" s="436" t="s">
        <v>141</v>
      </c>
      <c r="H97" s="438" t="s">
        <v>141</v>
      </c>
      <c r="I97" s="427" t="s">
        <v>111</v>
      </c>
      <c r="J97" s="430" t="s">
        <v>111</v>
      </c>
      <c r="K97" s="110"/>
      <c r="M97" s="124"/>
      <c r="N97" s="124"/>
      <c r="O97" s="124"/>
    </row>
    <row r="98" spans="1:15" customFormat="1" x14ac:dyDescent="0.35">
      <c r="A98" s="585" t="s">
        <v>238</v>
      </c>
      <c r="B98" s="444" t="s">
        <v>362</v>
      </c>
      <c r="C98" s="295">
        <f>C70+1327.5-60</f>
        <v>10063</v>
      </c>
      <c r="D98" s="112">
        <f t="shared" ref="D98:D101" si="6">D70+1327.5</f>
        <v>10183</v>
      </c>
      <c r="E98" s="112" t="s">
        <v>111</v>
      </c>
      <c r="F98" s="201" t="s">
        <v>111</v>
      </c>
      <c r="G98" s="302">
        <f>H98-(D98-C98)</f>
        <v>135755</v>
      </c>
      <c r="H98" s="112">
        <f>H70+1327.5*69</f>
        <v>135875</v>
      </c>
      <c r="I98" s="112" t="s">
        <v>111</v>
      </c>
      <c r="J98" s="201" t="s">
        <v>111</v>
      </c>
      <c r="K98" s="110"/>
      <c r="M98" s="124"/>
      <c r="N98" s="124"/>
      <c r="O98" s="124"/>
    </row>
    <row r="99" spans="1:15" customFormat="1" x14ac:dyDescent="0.35">
      <c r="A99" s="585"/>
      <c r="B99" s="270" t="s">
        <v>363</v>
      </c>
      <c r="C99" s="295">
        <f>C71+1327.5-60</f>
        <v>6325.5</v>
      </c>
      <c r="D99" s="112">
        <f t="shared" si="6"/>
        <v>6445.5</v>
      </c>
      <c r="E99" s="112" t="s">
        <v>111</v>
      </c>
      <c r="F99" s="201" t="s">
        <v>111</v>
      </c>
      <c r="G99" s="302">
        <f>H99-(D99-C99)</f>
        <v>142657.5</v>
      </c>
      <c r="H99" s="112">
        <f>H71+1327.5*69</f>
        <v>142777.5</v>
      </c>
      <c r="I99" s="112" t="s">
        <v>111</v>
      </c>
      <c r="J99" s="201" t="s">
        <v>111</v>
      </c>
      <c r="K99" s="110"/>
      <c r="M99" s="124"/>
      <c r="N99" s="124"/>
      <c r="O99" s="124"/>
    </row>
    <row r="100" spans="1:15" customFormat="1" x14ac:dyDescent="0.35">
      <c r="A100" s="585"/>
      <c r="B100" s="270" t="s">
        <v>241</v>
      </c>
      <c r="C100" s="295">
        <f>C72+1327.5-60</f>
        <v>3046.5</v>
      </c>
      <c r="D100" s="112">
        <f t="shared" si="6"/>
        <v>3166.5</v>
      </c>
      <c r="E100" s="112" t="s">
        <v>111</v>
      </c>
      <c r="F100" s="201" t="s">
        <v>111</v>
      </c>
      <c r="G100" s="302">
        <f>H100-(D100-C100)</f>
        <v>155842.5</v>
      </c>
      <c r="H100" s="112">
        <f>H72+1327.5*69</f>
        <v>155962.5</v>
      </c>
      <c r="I100" s="112" t="s">
        <v>111</v>
      </c>
      <c r="J100" s="201" t="s">
        <v>111</v>
      </c>
      <c r="K100" s="110"/>
      <c r="M100" s="124"/>
      <c r="N100" s="124"/>
      <c r="O100" s="124"/>
    </row>
    <row r="101" spans="1:15" customFormat="1" x14ac:dyDescent="0.35">
      <c r="A101" s="585"/>
      <c r="B101" s="270" t="s">
        <v>370</v>
      </c>
      <c r="C101" s="295">
        <f>C73+1327.5-60</f>
        <v>2835</v>
      </c>
      <c r="D101" s="112">
        <f t="shared" si="6"/>
        <v>2955</v>
      </c>
      <c r="E101" s="112" t="s">
        <v>111</v>
      </c>
      <c r="F101" s="201" t="s">
        <v>111</v>
      </c>
      <c r="G101" s="302">
        <f>H101-(D101-C101)</f>
        <v>164715</v>
      </c>
      <c r="H101" s="112">
        <f>H73+1327.5*69</f>
        <v>164835</v>
      </c>
      <c r="I101" s="112" t="s">
        <v>111</v>
      </c>
      <c r="J101" s="201" t="s">
        <v>111</v>
      </c>
      <c r="K101" s="110"/>
      <c r="M101" s="124"/>
      <c r="N101" s="124"/>
      <c r="O101" s="124"/>
    </row>
    <row r="102" spans="1:15" customFormat="1" x14ac:dyDescent="0.35">
      <c r="A102" s="585"/>
      <c r="B102" s="270" t="s">
        <v>243</v>
      </c>
      <c r="C102" s="295" t="s">
        <v>111</v>
      </c>
      <c r="D102" s="112" t="s">
        <v>111</v>
      </c>
      <c r="E102" s="112" t="s">
        <v>111</v>
      </c>
      <c r="F102" s="201" t="s">
        <v>111</v>
      </c>
      <c r="G102" s="302" t="s">
        <v>111</v>
      </c>
      <c r="H102" s="112" t="s">
        <v>111</v>
      </c>
      <c r="I102" s="112" t="s">
        <v>111</v>
      </c>
      <c r="J102" s="201" t="s">
        <v>111</v>
      </c>
      <c r="K102" s="110"/>
      <c r="M102" s="124"/>
      <c r="N102" s="124"/>
      <c r="O102" s="124"/>
    </row>
    <row r="103" spans="1:15" customFormat="1" x14ac:dyDescent="0.35">
      <c r="A103" s="585" t="s">
        <v>245</v>
      </c>
      <c r="B103" s="444" t="s">
        <v>362</v>
      </c>
      <c r="C103" s="295">
        <f>C75+1609.85-60</f>
        <v>13786.35</v>
      </c>
      <c r="D103" s="112">
        <f>D75+1609.85</f>
        <v>13906.35</v>
      </c>
      <c r="E103" s="112" t="s">
        <v>111</v>
      </c>
      <c r="F103" s="201" t="s">
        <v>111</v>
      </c>
      <c r="G103" s="302">
        <f>H103-(D103-C103)</f>
        <v>164392.9</v>
      </c>
      <c r="H103" s="112">
        <f>H75+1609.85*64</f>
        <v>164512.9</v>
      </c>
      <c r="I103" s="112" t="s">
        <v>111</v>
      </c>
      <c r="J103" s="201" t="s">
        <v>111</v>
      </c>
      <c r="K103" s="110"/>
      <c r="M103" s="124"/>
      <c r="N103" s="124"/>
      <c r="O103" s="124"/>
    </row>
    <row r="104" spans="1:15" customFormat="1" x14ac:dyDescent="0.35">
      <c r="A104" s="585"/>
      <c r="B104" s="270" t="s">
        <v>363</v>
      </c>
      <c r="C104" s="295">
        <f>C76+1609.85-60</f>
        <v>8512.85</v>
      </c>
      <c r="D104" s="112">
        <f t="shared" ref="D104:D106" si="7">D76+1609.85</f>
        <v>8632.85</v>
      </c>
      <c r="E104" s="112" t="s">
        <v>111</v>
      </c>
      <c r="F104" s="201" t="s">
        <v>111</v>
      </c>
      <c r="G104" s="302">
        <f>H104-(D104-C104)</f>
        <v>173140.4</v>
      </c>
      <c r="H104" s="112">
        <f t="shared" ref="H104:H106" si="8">H76+1609.85*64</f>
        <v>173260.4</v>
      </c>
      <c r="I104" s="112" t="s">
        <v>111</v>
      </c>
      <c r="J104" s="201" t="s">
        <v>111</v>
      </c>
      <c r="K104" s="110"/>
      <c r="M104" s="124"/>
      <c r="N104" s="124"/>
      <c r="O104" s="124"/>
    </row>
    <row r="105" spans="1:15" customFormat="1" x14ac:dyDescent="0.35">
      <c r="A105" s="585"/>
      <c r="B105" s="270" t="s">
        <v>246</v>
      </c>
      <c r="C105" s="295">
        <f>C77+1609.85-60</f>
        <v>4354.8500000000004</v>
      </c>
      <c r="D105" s="112">
        <f t="shared" si="7"/>
        <v>4474.8500000000004</v>
      </c>
      <c r="E105" s="112" t="s">
        <v>111</v>
      </c>
      <c r="F105" s="201" t="s">
        <v>111</v>
      </c>
      <c r="G105" s="302">
        <f>H105-(D105-C105)</f>
        <v>188860.4</v>
      </c>
      <c r="H105" s="112">
        <f t="shared" si="8"/>
        <v>188980.4</v>
      </c>
      <c r="I105" s="112" t="s">
        <v>111</v>
      </c>
      <c r="J105" s="201" t="s">
        <v>111</v>
      </c>
      <c r="K105" s="110"/>
      <c r="M105" s="124"/>
      <c r="N105" s="124"/>
      <c r="O105" s="124"/>
    </row>
    <row r="106" spans="1:15" customFormat="1" x14ac:dyDescent="0.35">
      <c r="A106" s="585"/>
      <c r="B106" s="270" t="s">
        <v>371</v>
      </c>
      <c r="C106" s="295">
        <f>C78+1609.85-60</f>
        <v>3828.35</v>
      </c>
      <c r="D106" s="112">
        <f t="shared" si="7"/>
        <v>3948.35</v>
      </c>
      <c r="E106" s="112" t="s">
        <v>111</v>
      </c>
      <c r="F106" s="201" t="s">
        <v>111</v>
      </c>
      <c r="G106" s="302">
        <f>H106-(D106-C106)</f>
        <v>196450.4</v>
      </c>
      <c r="H106" s="112">
        <f t="shared" si="8"/>
        <v>196570.4</v>
      </c>
      <c r="I106" s="112" t="s">
        <v>111</v>
      </c>
      <c r="J106" s="201" t="s">
        <v>111</v>
      </c>
      <c r="K106" s="110"/>
      <c r="M106" s="124"/>
      <c r="N106" s="124"/>
      <c r="O106" s="124"/>
    </row>
    <row r="107" spans="1:15" customFormat="1" x14ac:dyDescent="0.35">
      <c r="A107" s="585"/>
      <c r="B107" s="270" t="s">
        <v>248</v>
      </c>
      <c r="C107" s="295" t="s">
        <v>111</v>
      </c>
      <c r="D107" s="112" t="s">
        <v>111</v>
      </c>
      <c r="E107" s="112" t="s">
        <v>111</v>
      </c>
      <c r="F107" s="201" t="s">
        <v>111</v>
      </c>
      <c r="G107" s="302" t="s">
        <v>111</v>
      </c>
      <c r="H107" s="112" t="s">
        <v>111</v>
      </c>
      <c r="I107" s="112" t="s">
        <v>111</v>
      </c>
      <c r="J107" s="201" t="s">
        <v>111</v>
      </c>
      <c r="K107" s="110"/>
      <c r="M107" s="124"/>
      <c r="N107" s="124"/>
      <c r="O107" s="124"/>
    </row>
    <row r="108" spans="1:15" customFormat="1" x14ac:dyDescent="0.35">
      <c r="A108" s="585" t="s">
        <v>250</v>
      </c>
      <c r="B108" s="444" t="s">
        <v>362</v>
      </c>
      <c r="C108" s="295">
        <f>C80+2012.75-60</f>
        <v>17628.25</v>
      </c>
      <c r="D108" s="112">
        <f>D80+2012.75</f>
        <v>17748.25</v>
      </c>
      <c r="E108" s="112" t="s">
        <v>111</v>
      </c>
      <c r="F108" s="201" t="s">
        <v>111</v>
      </c>
      <c r="G108" s="302">
        <f>H108-(D108-C108)</f>
        <v>197309.75</v>
      </c>
      <c r="H108" s="112">
        <f>H80+2012.75*59</f>
        <v>197429.75</v>
      </c>
      <c r="I108" s="112" t="s">
        <v>111</v>
      </c>
      <c r="J108" s="201" t="s">
        <v>111</v>
      </c>
      <c r="K108" s="110"/>
      <c r="M108" s="124"/>
      <c r="N108" s="124"/>
      <c r="O108" s="124"/>
    </row>
    <row r="109" spans="1:15" customFormat="1" x14ac:dyDescent="0.35">
      <c r="A109" s="585"/>
      <c r="B109" s="270" t="s">
        <v>363</v>
      </c>
      <c r="C109" s="295">
        <f>C81+2012.75-60</f>
        <v>10819.25</v>
      </c>
      <c r="D109" s="112">
        <f t="shared" ref="D109:D111" si="9">D81+2012.75</f>
        <v>10939.25</v>
      </c>
      <c r="E109" s="112" t="s">
        <v>111</v>
      </c>
      <c r="F109" s="201" t="s">
        <v>111</v>
      </c>
      <c r="G109" s="302">
        <f>H109-(D109-C109)</f>
        <v>207897.25</v>
      </c>
      <c r="H109" s="112">
        <f t="shared" ref="H109:H111" si="10">H81+2012.75*59</f>
        <v>208017.25</v>
      </c>
      <c r="I109" s="112" t="s">
        <v>111</v>
      </c>
      <c r="J109" s="201" t="s">
        <v>111</v>
      </c>
      <c r="K109" s="110"/>
      <c r="M109" s="124"/>
      <c r="N109" s="124"/>
      <c r="O109" s="124"/>
    </row>
    <row r="110" spans="1:15" customFormat="1" x14ac:dyDescent="0.35">
      <c r="A110" s="585"/>
      <c r="B110" s="270" t="s">
        <v>251</v>
      </c>
      <c r="C110" s="295">
        <f>C82+2012.75-60</f>
        <v>5780.75</v>
      </c>
      <c r="D110" s="112">
        <f t="shared" si="9"/>
        <v>5900.75</v>
      </c>
      <c r="E110" s="112" t="s">
        <v>111</v>
      </c>
      <c r="F110" s="201" t="s">
        <v>111</v>
      </c>
      <c r="G110" s="302">
        <f>H110-(D110-C110)</f>
        <v>215832.25</v>
      </c>
      <c r="H110" s="112">
        <f t="shared" si="10"/>
        <v>215952.25</v>
      </c>
      <c r="I110" s="112" t="s">
        <v>111</v>
      </c>
      <c r="J110" s="201" t="s">
        <v>111</v>
      </c>
      <c r="K110" s="110"/>
      <c r="M110" s="124"/>
      <c r="N110" s="124"/>
      <c r="O110" s="124"/>
    </row>
    <row r="111" spans="1:15" customFormat="1" x14ac:dyDescent="0.35">
      <c r="A111" s="585"/>
      <c r="B111" s="270" t="s">
        <v>372</v>
      </c>
      <c r="C111" s="295">
        <f>C83+2012.75-60</f>
        <v>4941.25</v>
      </c>
      <c r="D111" s="112">
        <f t="shared" si="9"/>
        <v>5061.25</v>
      </c>
      <c r="E111" s="112" t="s">
        <v>111</v>
      </c>
      <c r="F111" s="201" t="s">
        <v>111</v>
      </c>
      <c r="G111" s="302">
        <f>H111-(D111-C111)</f>
        <v>225329.75</v>
      </c>
      <c r="H111" s="112">
        <f t="shared" si="10"/>
        <v>225449.75</v>
      </c>
      <c r="I111" s="112" t="s">
        <v>111</v>
      </c>
      <c r="J111" s="201" t="s">
        <v>111</v>
      </c>
      <c r="K111" s="110"/>
      <c r="M111" s="124"/>
      <c r="N111" s="124"/>
      <c r="O111" s="124"/>
    </row>
    <row r="112" spans="1:15" customFormat="1" x14ac:dyDescent="0.35">
      <c r="A112" s="585"/>
      <c r="B112" s="270" t="s">
        <v>253</v>
      </c>
      <c r="C112" s="295" t="s">
        <v>111</v>
      </c>
      <c r="D112" s="112" t="s">
        <v>111</v>
      </c>
      <c r="E112" s="112" t="s">
        <v>111</v>
      </c>
      <c r="F112" s="201" t="s">
        <v>111</v>
      </c>
      <c r="G112" s="302" t="s">
        <v>111</v>
      </c>
      <c r="H112" s="112" t="s">
        <v>111</v>
      </c>
      <c r="I112" s="112" t="s">
        <v>111</v>
      </c>
      <c r="J112" s="201" t="s">
        <v>111</v>
      </c>
      <c r="K112" s="110"/>
      <c r="M112" s="124"/>
      <c r="N112" s="124"/>
      <c r="O112" s="124"/>
    </row>
    <row r="113" spans="1:15" customFormat="1" x14ac:dyDescent="0.35">
      <c r="A113" s="585" t="s">
        <v>255</v>
      </c>
      <c r="B113" s="444" t="s">
        <v>362</v>
      </c>
      <c r="C113" s="295">
        <f>C85+2512.35-60</f>
        <v>22337.35</v>
      </c>
      <c r="D113" s="112">
        <f t="shared" ref="D113:D115" si="11">D85+2512.35</f>
        <v>22457.35</v>
      </c>
      <c r="E113" s="112" t="s">
        <v>111</v>
      </c>
      <c r="F113" s="201" t="s">
        <v>111</v>
      </c>
      <c r="G113" s="302">
        <f>H113-(D113-C113)</f>
        <v>235271.9</v>
      </c>
      <c r="H113" s="112">
        <f>H85+2512.35*54</f>
        <v>235391.9</v>
      </c>
      <c r="I113" s="112" t="s">
        <v>111</v>
      </c>
      <c r="J113" s="201" t="s">
        <v>111</v>
      </c>
      <c r="K113" s="110"/>
      <c r="M113" s="124"/>
      <c r="N113" s="124"/>
      <c r="O113" s="124"/>
    </row>
    <row r="114" spans="1:15" customFormat="1" x14ac:dyDescent="0.35">
      <c r="A114" s="585"/>
      <c r="B114" s="270" t="s">
        <v>363</v>
      </c>
      <c r="C114" s="295">
        <f>C86+2512.35-60</f>
        <v>14033.85</v>
      </c>
      <c r="D114" s="112">
        <f t="shared" si="11"/>
        <v>14153.85</v>
      </c>
      <c r="E114" s="112" t="s">
        <v>111</v>
      </c>
      <c r="F114" s="201" t="s">
        <v>111</v>
      </c>
      <c r="G114" s="302">
        <f>H114-(D114-C114)</f>
        <v>251961.9</v>
      </c>
      <c r="H114" s="112">
        <f t="shared" ref="H114:H116" si="12">H86+2512.35*54</f>
        <v>252081.9</v>
      </c>
      <c r="I114" s="112" t="s">
        <v>111</v>
      </c>
      <c r="J114" s="201" t="s">
        <v>111</v>
      </c>
      <c r="K114" s="110"/>
      <c r="M114" s="124"/>
      <c r="N114" s="124"/>
      <c r="O114" s="124"/>
    </row>
    <row r="115" spans="1:15" customFormat="1" x14ac:dyDescent="0.35">
      <c r="A115" s="585"/>
      <c r="B115" s="270" t="s">
        <v>256</v>
      </c>
      <c r="C115" s="295">
        <f>C87+2512.35-60</f>
        <v>8765.85</v>
      </c>
      <c r="D115" s="112">
        <f t="shared" si="11"/>
        <v>8885.85</v>
      </c>
      <c r="E115" s="112" t="s">
        <v>111</v>
      </c>
      <c r="F115" s="201" t="s">
        <v>111</v>
      </c>
      <c r="G115" s="302">
        <f>H115-(D115-C115)</f>
        <v>263016.90000000002</v>
      </c>
      <c r="H115" s="112">
        <f t="shared" si="12"/>
        <v>263136.90000000002</v>
      </c>
      <c r="I115" s="112" t="s">
        <v>111</v>
      </c>
      <c r="J115" s="201" t="s">
        <v>111</v>
      </c>
      <c r="K115" s="110"/>
      <c r="M115" s="124"/>
      <c r="N115" s="124"/>
      <c r="O115" s="124"/>
    </row>
    <row r="116" spans="1:15" customFormat="1" x14ac:dyDescent="0.35">
      <c r="A116" s="585"/>
      <c r="B116" s="270" t="s">
        <v>374</v>
      </c>
      <c r="C116" s="295">
        <f>C88+2512.35-60</f>
        <v>6869.85</v>
      </c>
      <c r="D116" s="112">
        <f>D88+2512.35</f>
        <v>6989.85</v>
      </c>
      <c r="E116" s="112" t="s">
        <v>111</v>
      </c>
      <c r="F116" s="201" t="s">
        <v>111</v>
      </c>
      <c r="G116" s="302">
        <f>H116-(D116-C116)</f>
        <v>269871.90000000002</v>
      </c>
      <c r="H116" s="112">
        <f t="shared" si="12"/>
        <v>269991.90000000002</v>
      </c>
      <c r="I116" s="112" t="s">
        <v>111</v>
      </c>
      <c r="J116" s="201" t="s">
        <v>111</v>
      </c>
      <c r="K116" s="110"/>
      <c r="M116" s="124"/>
      <c r="N116" s="124"/>
      <c r="O116" s="124"/>
    </row>
    <row r="117" spans="1:15" customFormat="1" x14ac:dyDescent="0.35">
      <c r="A117" s="585"/>
      <c r="B117" s="270" t="s">
        <v>258</v>
      </c>
      <c r="C117" s="295" t="s">
        <v>111</v>
      </c>
      <c r="D117" s="112" t="s">
        <v>111</v>
      </c>
      <c r="E117" s="112" t="s">
        <v>111</v>
      </c>
      <c r="F117" s="201" t="s">
        <v>111</v>
      </c>
      <c r="G117" s="302" t="s">
        <v>111</v>
      </c>
      <c r="H117" s="112" t="s">
        <v>111</v>
      </c>
      <c r="I117" s="112" t="s">
        <v>111</v>
      </c>
      <c r="J117" s="201" t="s">
        <v>111</v>
      </c>
      <c r="K117" s="110"/>
      <c r="M117" s="124"/>
      <c r="N117" s="124"/>
      <c r="O117" s="124"/>
    </row>
    <row r="118" spans="1:15" customFormat="1" x14ac:dyDescent="0.35">
      <c r="A118" s="585" t="s">
        <v>260</v>
      </c>
      <c r="B118" s="444" t="s">
        <v>362</v>
      </c>
      <c r="C118" s="295">
        <f>C90+3052.55-60</f>
        <v>27558.05</v>
      </c>
      <c r="D118" s="112">
        <f t="shared" ref="D118:D120" si="13">D90+3052.55</f>
        <v>27678.05</v>
      </c>
      <c r="E118" s="112" t="s">
        <v>111</v>
      </c>
      <c r="F118" s="201" t="s">
        <v>111</v>
      </c>
      <c r="G118" s="302">
        <f>H118-(D118-C118)</f>
        <v>272582.45</v>
      </c>
      <c r="H118" s="112">
        <f>H90+3052.55*49</f>
        <v>272702.45</v>
      </c>
      <c r="I118" s="112" t="s">
        <v>111</v>
      </c>
      <c r="J118" s="201" t="s">
        <v>111</v>
      </c>
      <c r="K118" s="110"/>
      <c r="M118" s="124"/>
      <c r="N118" s="124"/>
      <c r="O118" s="124"/>
    </row>
    <row r="119" spans="1:15" customFormat="1" x14ac:dyDescent="0.35">
      <c r="A119" s="585"/>
      <c r="B119" s="270" t="s">
        <v>363</v>
      </c>
      <c r="C119" s="295">
        <f>C91+3052.55-60</f>
        <v>17571.55</v>
      </c>
      <c r="D119" s="112">
        <f t="shared" si="13"/>
        <v>17691.55</v>
      </c>
      <c r="E119" s="112" t="s">
        <v>111</v>
      </c>
      <c r="F119" s="201" t="s">
        <v>111</v>
      </c>
      <c r="G119" s="302">
        <f>H119-(D119-C119)</f>
        <v>295844.95</v>
      </c>
      <c r="H119" s="112">
        <f t="shared" ref="H119:H121" si="14">H91+3052.55*49</f>
        <v>295964.95</v>
      </c>
      <c r="I119" s="112" t="s">
        <v>111</v>
      </c>
      <c r="J119" s="201" t="s">
        <v>111</v>
      </c>
      <c r="K119" s="110"/>
      <c r="M119" s="124"/>
      <c r="N119" s="124"/>
      <c r="O119" s="124"/>
    </row>
    <row r="120" spans="1:15" customFormat="1" x14ac:dyDescent="0.35">
      <c r="A120" s="585"/>
      <c r="B120" s="270" t="s">
        <v>261</v>
      </c>
      <c r="C120" s="295">
        <f>C92+3052.55-60</f>
        <v>13531.05</v>
      </c>
      <c r="D120" s="112">
        <f t="shared" si="13"/>
        <v>13651.05</v>
      </c>
      <c r="E120" s="112" t="s">
        <v>111</v>
      </c>
      <c r="F120" s="201" t="s">
        <v>111</v>
      </c>
      <c r="G120" s="302">
        <f>H120-(D120-C120)</f>
        <v>308432.45</v>
      </c>
      <c r="H120" s="112">
        <f t="shared" si="14"/>
        <v>308552.45</v>
      </c>
      <c r="I120" s="112" t="s">
        <v>111</v>
      </c>
      <c r="J120" s="201" t="s">
        <v>111</v>
      </c>
      <c r="K120" s="110"/>
      <c r="M120" s="124"/>
      <c r="N120" s="124"/>
      <c r="O120" s="124"/>
    </row>
    <row r="121" spans="1:15" customFormat="1" x14ac:dyDescent="0.35">
      <c r="A121" s="585"/>
      <c r="B121" s="270" t="s">
        <v>373</v>
      </c>
      <c r="C121" s="295">
        <f>C93+3052.55-60</f>
        <v>9364.0499999999993</v>
      </c>
      <c r="D121" s="112">
        <f>D93+3052.55</f>
        <v>9484.0499999999993</v>
      </c>
      <c r="E121" s="112" t="s">
        <v>111</v>
      </c>
      <c r="F121" s="201" t="s">
        <v>111</v>
      </c>
      <c r="G121" s="302">
        <f>H121-(D121-C121)</f>
        <v>374557.45</v>
      </c>
      <c r="H121" s="112">
        <f t="shared" si="14"/>
        <v>374677.45</v>
      </c>
      <c r="I121" s="112" t="s">
        <v>111</v>
      </c>
      <c r="J121" s="201" t="s">
        <v>111</v>
      </c>
      <c r="K121" s="110"/>
      <c r="M121" s="124"/>
      <c r="N121" s="124"/>
      <c r="O121" s="124"/>
    </row>
    <row r="122" spans="1:15" customFormat="1" ht="15" thickBot="1" x14ac:dyDescent="0.4">
      <c r="A122" s="586"/>
      <c r="B122" s="298" t="s">
        <v>263</v>
      </c>
      <c r="C122" s="296" t="s">
        <v>111</v>
      </c>
      <c r="D122" s="118" t="s">
        <v>111</v>
      </c>
      <c r="E122" s="118" t="s">
        <v>111</v>
      </c>
      <c r="F122" s="205" t="s">
        <v>111</v>
      </c>
      <c r="G122" s="299" t="s">
        <v>111</v>
      </c>
      <c r="H122" s="118" t="s">
        <v>111</v>
      </c>
      <c r="I122" s="118" t="s">
        <v>111</v>
      </c>
      <c r="J122" s="205" t="s">
        <v>111</v>
      </c>
      <c r="K122" s="110"/>
      <c r="M122" s="124"/>
      <c r="N122" s="124"/>
      <c r="O122" s="124"/>
    </row>
    <row r="126" spans="1:15" x14ac:dyDescent="0.35">
      <c r="B126" s="124"/>
    </row>
    <row r="127" spans="1:15" x14ac:dyDescent="0.35">
      <c r="B127" s="124"/>
    </row>
  </sheetData>
  <sheetProtection algorithmName="SHA-512" hashValue="3jZYI7HnXD6IIwwaznlRmTsqozWCKfXrxco60dj2Pki6t9vksASDYepxPGkiraz6yQNbZe5b9ofboTBAwz9bGg==" saltValue="hp9hA15FtItSpGdrcTRSAQ==" spinCount="100000" sheet="1" objects="1" scenarios="1"/>
  <mergeCells count="36">
    <mergeCell ref="C66:F66"/>
    <mergeCell ref="G66:J66"/>
    <mergeCell ref="C5:F5"/>
    <mergeCell ref="G5:J5"/>
    <mergeCell ref="A5:B5"/>
    <mergeCell ref="A52:A56"/>
    <mergeCell ref="A57:A61"/>
    <mergeCell ref="A7:B7"/>
    <mergeCell ref="A9:A13"/>
    <mergeCell ref="A14:A18"/>
    <mergeCell ref="A19:A23"/>
    <mergeCell ref="A24:A28"/>
    <mergeCell ref="A29:A33"/>
    <mergeCell ref="A34:B35"/>
    <mergeCell ref="A37:A41"/>
    <mergeCell ref="A3:B3"/>
    <mergeCell ref="A4:B4"/>
    <mergeCell ref="A6:B6"/>
    <mergeCell ref="A42:A46"/>
    <mergeCell ref="A47:A51"/>
    <mergeCell ref="L7:L17"/>
    <mergeCell ref="A118:A122"/>
    <mergeCell ref="A90:A94"/>
    <mergeCell ref="A95:B96"/>
    <mergeCell ref="A98:A102"/>
    <mergeCell ref="A103:A107"/>
    <mergeCell ref="A108:A112"/>
    <mergeCell ref="A113:A117"/>
    <mergeCell ref="A85:A89"/>
    <mergeCell ref="A64:B64"/>
    <mergeCell ref="A65:B65"/>
    <mergeCell ref="A67:B67"/>
    <mergeCell ref="A68:B68"/>
    <mergeCell ref="A70:A74"/>
    <mergeCell ref="A75:A79"/>
    <mergeCell ref="A80:A84"/>
  </mergeCells>
  <conditionalFormatting sqref="C11:F11">
    <cfRule type="top10" dxfId="1586" priority="95" bottom="1" rank="1"/>
  </conditionalFormatting>
  <conditionalFormatting sqref="C16:F16">
    <cfRule type="top10" dxfId="1585" priority="18" bottom="1" rank="1"/>
  </conditionalFormatting>
  <conditionalFormatting sqref="C21:F21">
    <cfRule type="top10" dxfId="1584" priority="17" bottom="1" rank="1"/>
  </conditionalFormatting>
  <conditionalFormatting sqref="C26:F26">
    <cfRule type="top10" dxfId="1583" priority="16" bottom="1" rank="1"/>
  </conditionalFormatting>
  <conditionalFormatting sqref="C31:F31">
    <cfRule type="top10" dxfId="1582" priority="15" bottom="1" rank="1"/>
  </conditionalFormatting>
  <conditionalFormatting sqref="C72:F72">
    <cfRule type="top10" dxfId="1581" priority="14" bottom="1" rank="1"/>
  </conditionalFormatting>
  <conditionalFormatting sqref="C77:F77">
    <cfRule type="top10" dxfId="1580" priority="13" bottom="1" rank="1"/>
  </conditionalFormatting>
  <conditionalFormatting sqref="C82:F82">
    <cfRule type="top10" dxfId="1579" priority="12" bottom="1" rank="1"/>
  </conditionalFormatting>
  <conditionalFormatting sqref="C87:F87">
    <cfRule type="top10" dxfId="1578" priority="11" bottom="1" rank="1"/>
  </conditionalFormatting>
  <conditionalFormatting sqref="C92:F92">
    <cfRule type="top10" dxfId="1577" priority="10" bottom="1" rank="1"/>
  </conditionalFormatting>
  <conditionalFormatting sqref="G11:J11">
    <cfRule type="top10" dxfId="1576" priority="19" bottom="1" rank="1"/>
  </conditionalFormatting>
  <conditionalFormatting sqref="G16:J16">
    <cfRule type="top10" dxfId="1575" priority="9" bottom="1" rank="1"/>
  </conditionalFormatting>
  <conditionalFormatting sqref="G21:J21">
    <cfRule type="top10" dxfId="1574" priority="8" bottom="1" rank="1"/>
  </conditionalFormatting>
  <conditionalFormatting sqref="G26:J26">
    <cfRule type="top10" dxfId="1573" priority="7" bottom="1" rank="1"/>
  </conditionalFormatting>
  <conditionalFormatting sqref="G31:J31">
    <cfRule type="top10" dxfId="1572" priority="6" bottom="1" rank="1"/>
  </conditionalFormatting>
  <conditionalFormatting sqref="G72:J72">
    <cfRule type="top10" dxfId="1571" priority="5" bottom="1" rank="1"/>
  </conditionalFormatting>
  <conditionalFormatting sqref="G77:J77">
    <cfRule type="top10" dxfId="1570" priority="4" bottom="1" rank="1"/>
  </conditionalFormatting>
  <conditionalFormatting sqref="G82:J82">
    <cfRule type="top10" dxfId="1569" priority="3" bottom="1" rank="1"/>
  </conditionalFormatting>
  <conditionalFormatting sqref="G87:J87">
    <cfRule type="top10" dxfId="1568" priority="2" bottom="1" rank="1"/>
  </conditionalFormatting>
  <conditionalFormatting sqref="G92:J92">
    <cfRule type="top10" dxfId="1567" priority="1" bottom="1" rank="1"/>
  </conditionalFormatting>
  <printOptions horizontalCentered="1" verticalCentered="1"/>
  <pageMargins left="0" right="0" top="0" bottom="0" header="0" footer="0"/>
  <pageSetup paperSize="8" scale="34" orientation="portrait" r:id="rId1"/>
  <headerFooter>
    <oddFooter>&amp;L_x000D_&amp;1#&amp;"Calibri"&amp;8&amp;K008000 Public</oddFooter>
  </headerFooter>
  <rowBreaks count="1" manualBreakCount="1">
    <brk id="61" max="8"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A165-94C2-4348-B78F-0864DD4DA7FC}">
  <sheetPr codeName="Sheet8">
    <pageSetUpPr fitToPage="1"/>
  </sheetPr>
  <dimension ref="A1:O141"/>
  <sheetViews>
    <sheetView showGridLines="0" topLeftCell="E4" zoomScale="75" zoomScaleNormal="75" zoomScaleSheetLayoutView="100" workbookViewId="0">
      <selection activeCell="D95" activeCellId="2" sqref="D83 D89 D95"/>
    </sheetView>
  </sheetViews>
  <sheetFormatPr defaultColWidth="22.54296875" defaultRowHeight="14.5" x14ac:dyDescent="0.35"/>
  <cols>
    <col min="1" max="1" width="12.453125" style="157" customWidth="1"/>
    <col min="2" max="2" width="30.08984375" style="158" customWidth="1"/>
    <col min="3" max="3" width="26.453125" style="124" hidden="1" customWidth="1"/>
    <col min="4" max="4" width="26.453125" style="124" customWidth="1"/>
    <col min="5" max="5" width="15.54296875" style="124" bestFit="1" customWidth="1"/>
    <col min="6" max="6" width="19" style="124" hidden="1" customWidth="1"/>
    <col min="7" max="7" width="19" style="124" bestFit="1" customWidth="1"/>
    <col min="8" max="8" width="17.453125" style="124" bestFit="1" customWidth="1"/>
    <col min="9" max="9" width="17.453125" style="124" customWidth="1"/>
    <col min="10" max="10" width="18.81640625" style="124" customWidth="1"/>
    <col min="11" max="11" width="3.1796875" style="124" hidden="1" customWidth="1"/>
    <col min="12" max="12" width="26.453125" style="124" customWidth="1"/>
    <col min="13" max="13" width="22" style="124" bestFit="1" customWidth="1"/>
    <col min="14" max="14" width="10.453125" style="124" bestFit="1" customWidth="1"/>
    <col min="15" max="15" width="72.81640625" customWidth="1"/>
    <col min="16" max="16384" width="22.54296875" style="124"/>
  </cols>
  <sheetData>
    <row r="1" spans="1:15" ht="21" hidden="1" customHeight="1" x14ac:dyDescent="0.35">
      <c r="A1" s="122"/>
      <c r="B1" s="122"/>
      <c r="C1" s="300" t="s">
        <v>377</v>
      </c>
      <c r="D1" s="389" t="s">
        <v>378</v>
      </c>
      <c r="E1" s="122"/>
      <c r="F1" s="122"/>
      <c r="G1" s="122"/>
      <c r="H1" s="122"/>
      <c r="I1" s="122"/>
      <c r="J1" s="122"/>
      <c r="K1" s="123"/>
      <c r="L1" s="123"/>
      <c r="M1" s="123"/>
    </row>
    <row r="2" spans="1:15" ht="15.5" x14ac:dyDescent="0.35">
      <c r="A2" s="610" t="s">
        <v>127</v>
      </c>
      <c r="B2" s="610"/>
      <c r="C2" s="125"/>
      <c r="D2" s="125"/>
      <c r="E2"/>
      <c r="F2"/>
      <c r="G2"/>
      <c r="H2"/>
      <c r="I2"/>
      <c r="J2" s="97"/>
      <c r="K2" s="46" t="s">
        <v>128</v>
      </c>
      <c r="L2" s="562" t="s">
        <v>128</v>
      </c>
      <c r="M2" s="562"/>
      <c r="N2" s="562"/>
    </row>
    <row r="3" spans="1:15" ht="15.5" x14ac:dyDescent="0.35">
      <c r="A3" s="590" t="s">
        <v>129</v>
      </c>
      <c r="B3" s="590"/>
      <c r="C3" s="99">
        <v>800000</v>
      </c>
      <c r="D3" s="99">
        <v>800000</v>
      </c>
      <c r="E3" s="126"/>
      <c r="F3" s="126"/>
      <c r="G3" s="126"/>
      <c r="H3" s="126"/>
      <c r="I3" s="126"/>
      <c r="J3" s="101"/>
      <c r="K3" s="562" t="s">
        <v>211</v>
      </c>
      <c r="L3" s="562"/>
      <c r="M3" s="562"/>
    </row>
    <row r="4" spans="1:15" ht="15" thickBot="1" x14ac:dyDescent="0.4">
      <c r="A4" s="614"/>
      <c r="B4" s="614"/>
      <c r="C4" s="127"/>
      <c r="D4" s="127"/>
      <c r="E4" s="127"/>
      <c r="F4" s="127"/>
      <c r="G4" s="127"/>
      <c r="H4" s="127"/>
      <c r="I4" s="127"/>
      <c r="J4"/>
      <c r="K4"/>
      <c r="L4"/>
      <c r="M4"/>
    </row>
    <row r="5" spans="1:15" s="35" customFormat="1" ht="53" customHeight="1" thickBot="1" x14ac:dyDescent="0.4">
      <c r="A5" s="592"/>
      <c r="B5" s="615"/>
      <c r="C5" s="328" t="s">
        <v>385</v>
      </c>
      <c r="D5" s="328" t="s">
        <v>385</v>
      </c>
      <c r="E5" s="128" t="s">
        <v>228</v>
      </c>
      <c r="F5" s="128" t="s">
        <v>354</v>
      </c>
      <c r="G5" s="128" t="s">
        <v>354</v>
      </c>
      <c r="H5" s="128" t="s">
        <v>229</v>
      </c>
      <c r="I5" s="128" t="s">
        <v>230</v>
      </c>
      <c r="J5" s="128" t="s">
        <v>231</v>
      </c>
      <c r="K5" s="128" t="s">
        <v>232</v>
      </c>
      <c r="L5" s="128" t="s">
        <v>334</v>
      </c>
      <c r="M5" s="129" t="s">
        <v>233</v>
      </c>
      <c r="O5" s="433" t="s">
        <v>131</v>
      </c>
    </row>
    <row r="6" spans="1:15" ht="30" customHeight="1" x14ac:dyDescent="0.35">
      <c r="A6" s="594" t="s">
        <v>213</v>
      </c>
      <c r="B6" s="613"/>
      <c r="C6" s="130" t="s">
        <v>311</v>
      </c>
      <c r="D6" s="130" t="s">
        <v>311</v>
      </c>
      <c r="E6" s="130" t="s">
        <v>235</v>
      </c>
      <c r="F6" s="130" t="s">
        <v>353</v>
      </c>
      <c r="G6" s="130" t="s">
        <v>353</v>
      </c>
      <c r="H6" s="130" t="s">
        <v>234</v>
      </c>
      <c r="I6" s="130" t="s">
        <v>236</v>
      </c>
      <c r="J6" s="130" t="s">
        <v>234</v>
      </c>
      <c r="K6" s="130" t="s">
        <v>237</v>
      </c>
      <c r="L6" s="130" t="s">
        <v>237</v>
      </c>
      <c r="M6" s="131" t="s">
        <v>234</v>
      </c>
      <c r="O6" s="529" t="s">
        <v>410</v>
      </c>
    </row>
    <row r="7" spans="1:15" ht="15" thickBot="1" x14ac:dyDescent="0.4">
      <c r="A7" s="211" t="s">
        <v>176</v>
      </c>
      <c r="B7" s="212" t="s">
        <v>140</v>
      </c>
      <c r="C7" s="213" t="s">
        <v>141</v>
      </c>
      <c r="D7" s="213" t="s">
        <v>141</v>
      </c>
      <c r="E7" s="213" t="s">
        <v>142</v>
      </c>
      <c r="F7" s="213" t="s">
        <v>141</v>
      </c>
      <c r="G7" s="213" t="s">
        <v>141</v>
      </c>
      <c r="H7" s="215" t="s">
        <v>141</v>
      </c>
      <c r="I7" s="215" t="s">
        <v>141</v>
      </c>
      <c r="J7" s="215" t="s">
        <v>142</v>
      </c>
      <c r="K7" s="215" t="s">
        <v>142</v>
      </c>
      <c r="L7" s="215" t="s">
        <v>142</v>
      </c>
      <c r="M7" s="214" t="s">
        <v>141</v>
      </c>
      <c r="O7" s="530"/>
    </row>
    <row r="8" spans="1:15" x14ac:dyDescent="0.35">
      <c r="A8" s="611" t="s">
        <v>238</v>
      </c>
      <c r="B8" s="137" t="s">
        <v>239</v>
      </c>
      <c r="C8" s="107">
        <v>262.8</v>
      </c>
      <c r="D8" s="358">
        <f>262.8-60</f>
        <v>202.8</v>
      </c>
      <c r="E8" s="358">
        <v>488</v>
      </c>
      <c r="F8" s="358" t="s">
        <v>111</v>
      </c>
      <c r="G8" s="358" t="s">
        <v>111</v>
      </c>
      <c r="H8" s="358">
        <v>255</v>
      </c>
      <c r="I8" s="358">
        <f>I41-760</f>
        <v>325.59999999999991</v>
      </c>
      <c r="J8" s="108">
        <v>288.51200000000006</v>
      </c>
      <c r="K8" s="358" t="s">
        <v>111</v>
      </c>
      <c r="L8" s="358" t="s">
        <v>111</v>
      </c>
      <c r="M8" s="359">
        <v>249.76</v>
      </c>
      <c r="N8" s="110"/>
      <c r="O8" s="530"/>
    </row>
    <row r="9" spans="1:15" x14ac:dyDescent="0.35">
      <c r="A9" s="587"/>
      <c r="B9" s="20" t="s">
        <v>240</v>
      </c>
      <c r="C9" s="112">
        <v>270.45</v>
      </c>
      <c r="D9" s="342">
        <f>270.45-60</f>
        <v>210.45</v>
      </c>
      <c r="E9" s="342" t="s">
        <v>111</v>
      </c>
      <c r="F9" s="342" t="s">
        <v>111</v>
      </c>
      <c r="G9" s="342" t="s">
        <v>111</v>
      </c>
      <c r="H9" s="342">
        <v>255</v>
      </c>
      <c r="I9" s="342">
        <f>I42-776</f>
        <v>343.20000000000005</v>
      </c>
      <c r="J9" s="113">
        <v>292.19200000000001</v>
      </c>
      <c r="K9" s="342">
        <v>309.5</v>
      </c>
      <c r="L9" s="342">
        <v>309.5</v>
      </c>
      <c r="M9" s="344">
        <v>255.36</v>
      </c>
      <c r="N9" s="110"/>
      <c r="O9" s="530"/>
    </row>
    <row r="10" spans="1:15" x14ac:dyDescent="0.35">
      <c r="A10" s="587"/>
      <c r="B10" s="20" t="s">
        <v>241</v>
      </c>
      <c r="C10" s="112">
        <v>482.9</v>
      </c>
      <c r="D10" s="342">
        <f>482.9-60</f>
        <v>422.9</v>
      </c>
      <c r="E10" s="342">
        <v>904</v>
      </c>
      <c r="F10" s="342" t="s">
        <v>111</v>
      </c>
      <c r="G10" s="342" t="s">
        <v>111</v>
      </c>
      <c r="H10" s="342">
        <v>480.59999999999997</v>
      </c>
      <c r="I10" s="342">
        <f>I43-1520</f>
        <v>765.59999999999991</v>
      </c>
      <c r="J10" s="113">
        <v>706.56</v>
      </c>
      <c r="K10" s="342">
        <v>606.9</v>
      </c>
      <c r="L10" s="342">
        <v>606.9</v>
      </c>
      <c r="M10" s="344">
        <v>384.96</v>
      </c>
      <c r="N10" s="110"/>
      <c r="O10" s="530"/>
    </row>
    <row r="11" spans="1:15" x14ac:dyDescent="0.35">
      <c r="A11" s="587"/>
      <c r="B11" s="20" t="s">
        <v>242</v>
      </c>
      <c r="C11" s="112">
        <v>981.75</v>
      </c>
      <c r="D11" s="342">
        <f>C11-60</f>
        <v>921.75</v>
      </c>
      <c r="E11" s="342" t="s">
        <v>111</v>
      </c>
      <c r="F11" s="342" t="s">
        <v>111</v>
      </c>
      <c r="G11" s="342" t="s">
        <v>111</v>
      </c>
      <c r="H11" s="342">
        <v>1312.8000000000002</v>
      </c>
      <c r="I11" s="342">
        <f>I44-2704</f>
        <v>1830.3999999999996</v>
      </c>
      <c r="J11" s="113" t="s">
        <v>111</v>
      </c>
      <c r="K11" s="342">
        <v>1517.85</v>
      </c>
      <c r="L11" s="342">
        <f>K11*0.85</f>
        <v>1290.1724999999999</v>
      </c>
      <c r="M11" s="344">
        <v>931.67999999999984</v>
      </c>
      <c r="N11" s="110"/>
      <c r="O11" s="530"/>
    </row>
    <row r="12" spans="1:15" x14ac:dyDescent="0.35">
      <c r="A12" s="587"/>
      <c r="B12" s="20" t="s">
        <v>243</v>
      </c>
      <c r="C12" s="112">
        <v>2643.85</v>
      </c>
      <c r="D12" s="471">
        <f>C12-60</f>
        <v>2583.85</v>
      </c>
      <c r="E12" s="342" t="s">
        <v>111</v>
      </c>
      <c r="F12" s="342">
        <f>1738/0.8</f>
        <v>2172.5</v>
      </c>
      <c r="G12" s="342">
        <f>F12*0.85</f>
        <v>1846.625</v>
      </c>
      <c r="H12" s="342" t="s">
        <v>111</v>
      </c>
      <c r="I12" s="342" t="s">
        <v>111</v>
      </c>
      <c r="J12" s="113" t="s">
        <v>111</v>
      </c>
      <c r="K12" s="342" t="s">
        <v>111</v>
      </c>
      <c r="L12" s="342" t="s">
        <v>111</v>
      </c>
      <c r="M12" s="344" t="s">
        <v>111</v>
      </c>
      <c r="N12" s="110"/>
      <c r="O12" s="530"/>
    </row>
    <row r="13" spans="1:15" ht="15" thickBot="1" x14ac:dyDescent="0.4">
      <c r="A13" s="612"/>
      <c r="B13" s="117" t="s">
        <v>244</v>
      </c>
      <c r="C13" s="118" t="s">
        <v>111</v>
      </c>
      <c r="D13" s="345" t="s">
        <v>111</v>
      </c>
      <c r="E13" s="345" t="s">
        <v>111</v>
      </c>
      <c r="F13" s="345" t="s">
        <v>111</v>
      </c>
      <c r="G13" s="345" t="s">
        <v>111</v>
      </c>
      <c r="H13" s="345" t="s">
        <v>111</v>
      </c>
      <c r="I13" s="345">
        <f>I46-3144</f>
        <v>2904</v>
      </c>
      <c r="J13" s="119" t="s">
        <v>111</v>
      </c>
      <c r="K13" s="345">
        <v>2756.45</v>
      </c>
      <c r="L13" s="345">
        <f>K13*0.85</f>
        <v>2342.9824999999996</v>
      </c>
      <c r="M13" s="346" t="s">
        <v>111</v>
      </c>
      <c r="N13" s="110"/>
      <c r="O13" s="530"/>
    </row>
    <row r="14" spans="1:15" x14ac:dyDescent="0.35">
      <c r="A14" s="611" t="s">
        <v>245</v>
      </c>
      <c r="B14" s="137" t="s">
        <v>239</v>
      </c>
      <c r="C14" s="107">
        <v>298.89999999999998</v>
      </c>
      <c r="D14" s="358">
        <f>298.9-60</f>
        <v>238.89999999999998</v>
      </c>
      <c r="E14" s="358">
        <v>568</v>
      </c>
      <c r="F14" s="358" t="s">
        <v>111</v>
      </c>
      <c r="G14" s="358" t="s">
        <v>111</v>
      </c>
      <c r="H14" s="358">
        <v>286.79999999999995</v>
      </c>
      <c r="I14" s="358">
        <f>I47-856</f>
        <v>360.79999999999995</v>
      </c>
      <c r="J14" s="108">
        <v>387.87200000000001</v>
      </c>
      <c r="K14" s="358" t="s">
        <v>111</v>
      </c>
      <c r="L14" s="358" t="s">
        <v>111</v>
      </c>
      <c r="M14" s="359">
        <v>270.48</v>
      </c>
      <c r="N14" s="110"/>
      <c r="O14" s="530"/>
    </row>
    <row r="15" spans="1:15" x14ac:dyDescent="0.35">
      <c r="A15" s="587"/>
      <c r="B15" s="20" t="s">
        <v>240</v>
      </c>
      <c r="C15" s="112">
        <v>333.95</v>
      </c>
      <c r="D15" s="342">
        <f>333.95-60</f>
        <v>273.95</v>
      </c>
      <c r="E15" s="342" t="s">
        <v>111</v>
      </c>
      <c r="F15" s="342" t="s">
        <v>111</v>
      </c>
      <c r="G15" s="342" t="s">
        <v>111</v>
      </c>
      <c r="H15" s="342">
        <v>288.60000000000002</v>
      </c>
      <c r="I15" s="342">
        <f>I48-1000</f>
        <v>387.20000000000005</v>
      </c>
      <c r="J15" s="113">
        <v>387.87200000000001</v>
      </c>
      <c r="K15" s="342">
        <v>396.05</v>
      </c>
      <c r="L15" s="342">
        <v>396.05</v>
      </c>
      <c r="M15" s="344">
        <v>283.36</v>
      </c>
      <c r="N15" s="110"/>
      <c r="O15" s="530"/>
    </row>
    <row r="16" spans="1:15" x14ac:dyDescent="0.35">
      <c r="A16" s="587"/>
      <c r="B16" s="20" t="s">
        <v>246</v>
      </c>
      <c r="C16" s="112">
        <v>614.85</v>
      </c>
      <c r="D16" s="342">
        <f>614.85-60</f>
        <v>554.85</v>
      </c>
      <c r="E16" s="342">
        <v>1080</v>
      </c>
      <c r="F16" s="342" t="s">
        <v>111</v>
      </c>
      <c r="G16" s="342" t="s">
        <v>111</v>
      </c>
      <c r="H16" s="342">
        <v>580.20000000000005</v>
      </c>
      <c r="I16" s="342">
        <f>I49-1824</f>
        <v>783.19999999999982</v>
      </c>
      <c r="J16" s="113">
        <v>757.34400000000005</v>
      </c>
      <c r="K16" s="342">
        <v>816.9</v>
      </c>
      <c r="L16" s="342">
        <v>816.9</v>
      </c>
      <c r="M16" s="344">
        <v>456.96</v>
      </c>
      <c r="N16" s="110"/>
      <c r="O16" s="530"/>
    </row>
    <row r="17" spans="1:15" x14ac:dyDescent="0.35">
      <c r="A17" s="587"/>
      <c r="B17" s="20" t="s">
        <v>247</v>
      </c>
      <c r="C17" s="112">
        <v>1317.05</v>
      </c>
      <c r="D17" s="342">
        <f>C17-60</f>
        <v>1257.05</v>
      </c>
      <c r="E17" s="342" t="s">
        <v>111</v>
      </c>
      <c r="F17" s="342" t="s">
        <v>111</v>
      </c>
      <c r="G17" s="342" t="s">
        <v>111</v>
      </c>
      <c r="H17" s="342">
        <v>1670.3999999999999</v>
      </c>
      <c r="I17" s="342">
        <f>I50-3376</f>
        <v>2217.6000000000004</v>
      </c>
      <c r="J17" s="113" t="s">
        <v>111</v>
      </c>
      <c r="K17" s="342">
        <v>1925.1</v>
      </c>
      <c r="L17" s="342">
        <f>K17*0.85</f>
        <v>1636.3349999999998</v>
      </c>
      <c r="M17" s="344">
        <v>1200.96</v>
      </c>
      <c r="N17" s="110"/>
      <c r="O17" s="530"/>
    </row>
    <row r="18" spans="1:15" x14ac:dyDescent="0.35">
      <c r="A18" s="587"/>
      <c r="B18" s="20" t="s">
        <v>248</v>
      </c>
      <c r="C18" s="112">
        <v>3380.65</v>
      </c>
      <c r="D18" s="471">
        <f>C18-60</f>
        <v>3320.65</v>
      </c>
      <c r="E18" s="342" t="s">
        <v>111</v>
      </c>
      <c r="F18" s="342">
        <f>2380/0.8</f>
        <v>2975</v>
      </c>
      <c r="G18" s="342">
        <f>F18*0.85</f>
        <v>2528.75</v>
      </c>
      <c r="H18" s="342" t="s">
        <v>111</v>
      </c>
      <c r="I18" s="342" t="s">
        <v>111</v>
      </c>
      <c r="J18" s="113" t="s">
        <v>111</v>
      </c>
      <c r="K18" s="342" t="s">
        <v>111</v>
      </c>
      <c r="L18" s="342" t="s">
        <v>111</v>
      </c>
      <c r="M18" s="344" t="s">
        <v>111</v>
      </c>
      <c r="N18" s="110"/>
      <c r="O18" s="530"/>
    </row>
    <row r="19" spans="1:15" ht="15" customHeight="1" thickBot="1" x14ac:dyDescent="0.4">
      <c r="A19" s="612"/>
      <c r="B19" s="117" t="s">
        <v>249</v>
      </c>
      <c r="C19" s="118" t="s">
        <v>111</v>
      </c>
      <c r="D19" s="345" t="s">
        <v>111</v>
      </c>
      <c r="E19" s="345" t="s">
        <v>111</v>
      </c>
      <c r="F19" s="345" t="s">
        <v>111</v>
      </c>
      <c r="G19" s="345" t="s">
        <v>111</v>
      </c>
      <c r="H19" s="345" t="s">
        <v>111</v>
      </c>
      <c r="I19" s="345">
        <f>I52-4024</f>
        <v>3704.8</v>
      </c>
      <c r="J19" s="119" t="s">
        <v>111</v>
      </c>
      <c r="K19" s="345">
        <v>3689.85</v>
      </c>
      <c r="L19" s="345">
        <f>K19*0.85</f>
        <v>3136.3724999999999</v>
      </c>
      <c r="M19" s="346" t="s">
        <v>111</v>
      </c>
      <c r="N19" s="110"/>
      <c r="O19" s="530"/>
    </row>
    <row r="20" spans="1:15" x14ac:dyDescent="0.35">
      <c r="A20" s="611" t="s">
        <v>250</v>
      </c>
      <c r="B20" s="137" t="s">
        <v>239</v>
      </c>
      <c r="C20" s="107">
        <v>398.85</v>
      </c>
      <c r="D20" s="358">
        <f>398.85-60</f>
        <v>338.85</v>
      </c>
      <c r="E20" s="358">
        <v>776</v>
      </c>
      <c r="F20" s="358" t="s">
        <v>111</v>
      </c>
      <c r="G20" s="358" t="s">
        <v>111</v>
      </c>
      <c r="H20" s="358">
        <v>367.20000000000005</v>
      </c>
      <c r="I20" s="358">
        <f>I53-1272</f>
        <v>484</v>
      </c>
      <c r="J20" s="108">
        <v>484.28800000000001</v>
      </c>
      <c r="K20" s="358" t="s">
        <v>111</v>
      </c>
      <c r="L20" s="358"/>
      <c r="M20" s="359">
        <v>393.12</v>
      </c>
      <c r="N20" s="110"/>
      <c r="O20" s="530"/>
    </row>
    <row r="21" spans="1:15" x14ac:dyDescent="0.35">
      <c r="A21" s="587"/>
      <c r="B21" s="20" t="s">
        <v>240</v>
      </c>
      <c r="C21" s="112">
        <v>462</v>
      </c>
      <c r="D21" s="342">
        <f>462-60</f>
        <v>402</v>
      </c>
      <c r="E21" s="342" t="s">
        <v>111</v>
      </c>
      <c r="F21" s="342" t="s">
        <v>111</v>
      </c>
      <c r="G21" s="342" t="s">
        <v>111</v>
      </c>
      <c r="H21" s="342">
        <v>413.40000000000003</v>
      </c>
      <c r="I21" s="342">
        <f>I54-1488</f>
        <v>510.40000000000009</v>
      </c>
      <c r="J21" s="113">
        <v>512.99200000000008</v>
      </c>
      <c r="K21" s="342">
        <v>568.6</v>
      </c>
      <c r="L21" s="342">
        <v>568.6</v>
      </c>
      <c r="M21" s="344">
        <v>416.6400000000001</v>
      </c>
      <c r="N21" s="110"/>
      <c r="O21" s="530"/>
    </row>
    <row r="22" spans="1:15" x14ac:dyDescent="0.35">
      <c r="A22" s="587"/>
      <c r="B22" s="20" t="s">
        <v>251</v>
      </c>
      <c r="C22" s="112">
        <v>822.1</v>
      </c>
      <c r="D22" s="342">
        <f>822.1-60</f>
        <v>762.1</v>
      </c>
      <c r="E22" s="342">
        <v>1448</v>
      </c>
      <c r="F22" s="342" t="s">
        <v>111</v>
      </c>
      <c r="G22" s="342" t="s">
        <v>111</v>
      </c>
      <c r="H22" s="342">
        <v>750.59999999999991</v>
      </c>
      <c r="I22" s="342">
        <f>I55-2352</f>
        <v>1038.4000000000001</v>
      </c>
      <c r="J22" s="113">
        <v>916.32</v>
      </c>
      <c r="K22" s="342">
        <v>1120.25</v>
      </c>
      <c r="L22" s="342">
        <v>1120.25</v>
      </c>
      <c r="M22" s="344">
        <v>595.20000000000005</v>
      </c>
      <c r="N22" s="110"/>
      <c r="O22" s="530"/>
    </row>
    <row r="23" spans="1:15" x14ac:dyDescent="0.35">
      <c r="A23" s="587"/>
      <c r="B23" s="20" t="s">
        <v>252</v>
      </c>
      <c r="C23" s="112">
        <v>1780.55</v>
      </c>
      <c r="D23" s="342">
        <f>C23-60</f>
        <v>1720.55</v>
      </c>
      <c r="E23" s="342" t="s">
        <v>111</v>
      </c>
      <c r="F23" s="342" t="s">
        <v>111</v>
      </c>
      <c r="G23" s="342" t="s">
        <v>111</v>
      </c>
      <c r="H23" s="342">
        <v>2145.6000000000004</v>
      </c>
      <c r="I23" s="342">
        <f>I56-4288</f>
        <v>2816</v>
      </c>
      <c r="J23" s="113" t="s">
        <v>111</v>
      </c>
      <c r="K23" s="342">
        <v>2452.9499999999998</v>
      </c>
      <c r="L23" s="342">
        <f>K23*0.85</f>
        <v>2085.0074999999997</v>
      </c>
      <c r="M23" s="344">
        <v>1542.7199999999998</v>
      </c>
      <c r="N23" s="110"/>
      <c r="O23" s="530"/>
    </row>
    <row r="24" spans="1:15" x14ac:dyDescent="0.35">
      <c r="A24" s="587"/>
      <c r="B24" s="20" t="s">
        <v>253</v>
      </c>
      <c r="C24" s="112">
        <v>4421.6000000000004</v>
      </c>
      <c r="D24" s="471">
        <f>C24-60</f>
        <v>4361.6000000000004</v>
      </c>
      <c r="E24" s="342" t="s">
        <v>111</v>
      </c>
      <c r="F24" s="342">
        <f>3134/0.8</f>
        <v>3917.5</v>
      </c>
      <c r="G24" s="342">
        <f>F24*0.85</f>
        <v>3329.875</v>
      </c>
      <c r="H24" s="342" t="s">
        <v>111</v>
      </c>
      <c r="I24" s="342" t="s">
        <v>111</v>
      </c>
      <c r="J24" s="113" t="s">
        <v>111</v>
      </c>
      <c r="K24" s="342" t="s">
        <v>111</v>
      </c>
      <c r="L24" s="342" t="s">
        <v>111</v>
      </c>
      <c r="M24" s="344" t="s">
        <v>111</v>
      </c>
      <c r="N24" s="110"/>
      <c r="O24" s="530"/>
    </row>
    <row r="25" spans="1:15" ht="15" customHeight="1" thickBot="1" x14ac:dyDescent="0.4">
      <c r="A25" s="612"/>
      <c r="B25" s="117" t="s">
        <v>254</v>
      </c>
      <c r="C25" s="118" t="s">
        <v>111</v>
      </c>
      <c r="D25" s="345" t="s">
        <v>111</v>
      </c>
      <c r="E25" s="345" t="s">
        <v>111</v>
      </c>
      <c r="F25" s="345" t="s">
        <v>111</v>
      </c>
      <c r="G25" s="345" t="s">
        <v>111</v>
      </c>
      <c r="H25" s="345" t="s">
        <v>111</v>
      </c>
      <c r="I25" s="345">
        <f>I58-4784</f>
        <v>4760.7999999999993</v>
      </c>
      <c r="J25" s="119" t="s">
        <v>111</v>
      </c>
      <c r="K25" s="345">
        <v>5006.8999999999996</v>
      </c>
      <c r="L25" s="345">
        <f>K25*0.85</f>
        <v>4255.8649999999998</v>
      </c>
      <c r="M25" s="346" t="s">
        <v>111</v>
      </c>
      <c r="N25" s="110"/>
      <c r="O25" s="530"/>
    </row>
    <row r="26" spans="1:15" x14ac:dyDescent="0.35">
      <c r="A26" s="611" t="s">
        <v>255</v>
      </c>
      <c r="B26" s="137" t="s">
        <v>239</v>
      </c>
      <c r="C26" s="107">
        <v>580.1</v>
      </c>
      <c r="D26" s="358">
        <f>580.1-60</f>
        <v>520.1</v>
      </c>
      <c r="E26" s="358">
        <v>1192</v>
      </c>
      <c r="F26" s="358" t="s">
        <v>111</v>
      </c>
      <c r="G26" s="358" t="s">
        <v>111</v>
      </c>
      <c r="H26" s="358">
        <v>564.59999999999991</v>
      </c>
      <c r="I26" s="358">
        <f>I59-2160</f>
        <v>704</v>
      </c>
      <c r="J26" s="108">
        <v>719.80799999999999</v>
      </c>
      <c r="K26" s="358" t="s">
        <v>111</v>
      </c>
      <c r="L26" s="358" t="s">
        <v>111</v>
      </c>
      <c r="M26" s="359">
        <v>515.20000000000005</v>
      </c>
      <c r="N26" s="110"/>
      <c r="O26" s="530"/>
    </row>
    <row r="27" spans="1:15" x14ac:dyDescent="0.35">
      <c r="A27" s="587"/>
      <c r="B27" s="20" t="s">
        <v>240</v>
      </c>
      <c r="C27" s="112">
        <v>730.35</v>
      </c>
      <c r="D27" s="342">
        <f>730.35-60</f>
        <v>670.35</v>
      </c>
      <c r="E27" s="342" t="s">
        <v>111</v>
      </c>
      <c r="F27" s="342" t="s">
        <v>111</v>
      </c>
      <c r="G27" s="342" t="s">
        <v>111</v>
      </c>
      <c r="H27" s="342">
        <v>655.8</v>
      </c>
      <c r="I27" s="342">
        <f>I60-2328</f>
        <v>827.19999999999982</v>
      </c>
      <c r="J27" s="113">
        <v>727.16800000000001</v>
      </c>
      <c r="K27" s="342">
        <v>951.75</v>
      </c>
      <c r="L27" s="342">
        <v>951.75</v>
      </c>
      <c r="M27" s="344">
        <v>623.28000000000009</v>
      </c>
      <c r="N27" s="110"/>
      <c r="O27" s="530"/>
    </row>
    <row r="28" spans="1:15" x14ac:dyDescent="0.35">
      <c r="A28" s="587"/>
      <c r="B28" s="20" t="s">
        <v>256</v>
      </c>
      <c r="C28" s="112">
        <v>1068.75</v>
      </c>
      <c r="D28" s="342">
        <f>1068.75-60</f>
        <v>1008.75</v>
      </c>
      <c r="E28" s="342">
        <v>1888</v>
      </c>
      <c r="F28" s="342" t="s">
        <v>111</v>
      </c>
      <c r="G28" s="342" t="s">
        <v>111</v>
      </c>
      <c r="H28" s="342">
        <v>927.59999999999991</v>
      </c>
      <c r="I28" s="342">
        <f>I61-3072</f>
        <v>1232</v>
      </c>
      <c r="J28" s="113">
        <v>1274.752</v>
      </c>
      <c r="K28" s="342">
        <v>1466.05</v>
      </c>
      <c r="L28" s="342">
        <f>K28*0.85</f>
        <v>1246.1424999999999</v>
      </c>
      <c r="M28" s="344">
        <v>778.56</v>
      </c>
      <c r="N28" s="110"/>
      <c r="O28" s="530"/>
    </row>
    <row r="29" spans="1:15" x14ac:dyDescent="0.35">
      <c r="A29" s="587"/>
      <c r="B29" s="20" t="s">
        <v>257</v>
      </c>
      <c r="C29" s="112">
        <v>2439.85</v>
      </c>
      <c r="D29" s="342">
        <f>2439.85-60</f>
        <v>2379.85</v>
      </c>
      <c r="E29" s="342" t="s">
        <v>111</v>
      </c>
      <c r="F29" s="342" t="s">
        <v>111</v>
      </c>
      <c r="G29" s="342" t="s">
        <v>111</v>
      </c>
      <c r="H29" s="342">
        <v>2770.8</v>
      </c>
      <c r="I29" s="342">
        <f>I62-5752</f>
        <v>3784</v>
      </c>
      <c r="J29" s="113">
        <v>3868.4160000000002</v>
      </c>
      <c r="K29" s="342">
        <v>3303.95</v>
      </c>
      <c r="L29" s="342">
        <f>K29*0.85</f>
        <v>2808.3574999999996</v>
      </c>
      <c r="M29" s="344">
        <v>1983.3599999999997</v>
      </c>
      <c r="N29" s="110"/>
      <c r="O29" s="530"/>
    </row>
    <row r="30" spans="1:15" x14ac:dyDescent="0.35">
      <c r="A30" s="587"/>
      <c r="B30" s="20" t="s">
        <v>258</v>
      </c>
      <c r="C30" s="112">
        <v>5946.95</v>
      </c>
      <c r="D30" s="471">
        <f>5946.95-60</f>
        <v>5886.95</v>
      </c>
      <c r="E30" s="342" t="s">
        <v>111</v>
      </c>
      <c r="F30" s="342">
        <f>4658/0.8</f>
        <v>5822.5</v>
      </c>
      <c r="G30" s="342">
        <f>4658*0.85</f>
        <v>3959.2999999999997</v>
      </c>
      <c r="H30" s="342" t="s">
        <v>111</v>
      </c>
      <c r="I30" s="342" t="s">
        <v>111</v>
      </c>
      <c r="J30" s="113" t="s">
        <v>111</v>
      </c>
      <c r="K30" s="342" t="s">
        <v>111</v>
      </c>
      <c r="L30" s="342" t="s">
        <v>111</v>
      </c>
      <c r="M30" s="344" t="s">
        <v>111</v>
      </c>
      <c r="N30" s="110"/>
      <c r="O30" s="530"/>
    </row>
    <row r="31" spans="1:15" ht="15" customHeight="1" thickBot="1" x14ac:dyDescent="0.4">
      <c r="A31" s="612"/>
      <c r="B31" s="117" t="s">
        <v>259</v>
      </c>
      <c r="C31" s="118" t="s">
        <v>111</v>
      </c>
      <c r="D31" s="345" t="s">
        <v>111</v>
      </c>
      <c r="E31" s="345" t="s">
        <v>111</v>
      </c>
      <c r="F31" s="345" t="s">
        <v>111</v>
      </c>
      <c r="G31" s="345" t="s">
        <v>111</v>
      </c>
      <c r="H31" s="345" t="s">
        <v>111</v>
      </c>
      <c r="I31" s="345">
        <f>I64-6680</f>
        <v>6151.2000000000007</v>
      </c>
      <c r="J31" s="119" t="s">
        <v>111</v>
      </c>
      <c r="K31" s="345">
        <v>7282.8</v>
      </c>
      <c r="L31" s="345">
        <f>K31*0.85</f>
        <v>6190.38</v>
      </c>
      <c r="M31" s="346" t="s">
        <v>111</v>
      </c>
      <c r="N31" s="110"/>
      <c r="O31" s="530"/>
    </row>
    <row r="32" spans="1:15" x14ac:dyDescent="0.35">
      <c r="A32" s="620" t="s">
        <v>260</v>
      </c>
      <c r="B32" s="138" t="s">
        <v>239</v>
      </c>
      <c r="C32" s="142">
        <v>956.45</v>
      </c>
      <c r="D32" s="356">
        <f>956.45-60</f>
        <v>896.45</v>
      </c>
      <c r="E32" s="356">
        <v>2056</v>
      </c>
      <c r="F32" s="356" t="s">
        <v>111</v>
      </c>
      <c r="G32" s="356" t="s">
        <v>111</v>
      </c>
      <c r="H32" s="356">
        <v>957</v>
      </c>
      <c r="I32" s="356">
        <f>I65-3712</f>
        <v>1126.3999999999996</v>
      </c>
      <c r="J32" s="143">
        <v>1109.152</v>
      </c>
      <c r="K32" s="356" t="s">
        <v>111</v>
      </c>
      <c r="L32" s="356" t="s">
        <v>111</v>
      </c>
      <c r="M32" s="357">
        <v>912.24000000000012</v>
      </c>
      <c r="N32" s="110"/>
      <c r="O32" s="530"/>
    </row>
    <row r="33" spans="1:15" x14ac:dyDescent="0.35">
      <c r="A33" s="587"/>
      <c r="B33" s="20" t="s">
        <v>240</v>
      </c>
      <c r="C33" s="112">
        <v>1235.1500000000001</v>
      </c>
      <c r="D33" s="342">
        <f>1235.15-60</f>
        <v>1175.1500000000001</v>
      </c>
      <c r="E33" s="342" t="s">
        <v>111</v>
      </c>
      <c r="F33" s="342" t="s">
        <v>111</v>
      </c>
      <c r="G33" s="342" t="s">
        <v>111</v>
      </c>
      <c r="H33" s="342">
        <v>1026</v>
      </c>
      <c r="I33" s="342">
        <f>I66-3936</f>
        <v>1346.3999999999996</v>
      </c>
      <c r="J33" s="113">
        <v>1209.248</v>
      </c>
      <c r="K33" s="342">
        <v>1458.3</v>
      </c>
      <c r="L33" s="342">
        <f>K33*0.7</f>
        <v>1020.81</v>
      </c>
      <c r="M33" s="344">
        <v>1076.8800000000001</v>
      </c>
      <c r="N33" s="110"/>
      <c r="O33" s="530"/>
    </row>
    <row r="34" spans="1:15" ht="15" thickBot="1" x14ac:dyDescent="0.4">
      <c r="A34" s="587"/>
      <c r="B34" s="20" t="s">
        <v>261</v>
      </c>
      <c r="C34" s="112">
        <v>1482.35</v>
      </c>
      <c r="D34" s="342">
        <f>1482.35-60</f>
        <v>1422.35</v>
      </c>
      <c r="E34" s="342">
        <v>2456</v>
      </c>
      <c r="F34" s="342" t="s">
        <v>111</v>
      </c>
      <c r="G34" s="342" t="s">
        <v>111</v>
      </c>
      <c r="H34" s="342">
        <v>1300.5</v>
      </c>
      <c r="I34" s="342">
        <f>I67-4136</f>
        <v>1698.3999999999996</v>
      </c>
      <c r="J34" s="113">
        <v>1606.6880000000001</v>
      </c>
      <c r="K34" s="342">
        <v>2039.15</v>
      </c>
      <c r="L34" s="342">
        <f t="shared" ref="L34:L35" si="0">K34*0.7</f>
        <v>1427.405</v>
      </c>
      <c r="M34" s="344">
        <v>1153.92</v>
      </c>
      <c r="N34" s="110"/>
      <c r="O34" s="531"/>
    </row>
    <row r="35" spans="1:15" x14ac:dyDescent="0.35">
      <c r="A35" s="587"/>
      <c r="B35" s="20" t="s">
        <v>262</v>
      </c>
      <c r="C35" s="112">
        <v>3357.6</v>
      </c>
      <c r="D35" s="342">
        <f>3357.6-60</f>
        <v>3297.6</v>
      </c>
      <c r="E35" s="342" t="s">
        <v>111</v>
      </c>
      <c r="F35" s="342" t="s">
        <v>111</v>
      </c>
      <c r="G35" s="342" t="s">
        <v>111</v>
      </c>
      <c r="H35" s="342">
        <v>3595.2000000000003</v>
      </c>
      <c r="I35" s="342">
        <f>I68-6992</f>
        <v>4945.6000000000004</v>
      </c>
      <c r="J35" s="113">
        <v>5490.56</v>
      </c>
      <c r="K35" s="342">
        <v>4602.8500000000004</v>
      </c>
      <c r="L35" s="342">
        <f t="shared" si="0"/>
        <v>3221.9949999999999</v>
      </c>
      <c r="M35" s="344">
        <v>3104.6399999999994</v>
      </c>
      <c r="N35" s="110"/>
      <c r="O35" s="465"/>
    </row>
    <row r="36" spans="1:15" x14ac:dyDescent="0.35">
      <c r="A36" s="587"/>
      <c r="B36" s="20" t="s">
        <v>263</v>
      </c>
      <c r="C36" s="112">
        <v>8221.15</v>
      </c>
      <c r="D36" s="471">
        <f>8221.15-60</f>
        <v>8161.15</v>
      </c>
      <c r="E36" s="342" t="s">
        <v>111</v>
      </c>
      <c r="F36" s="342">
        <f>6292/0.8</f>
        <v>7865</v>
      </c>
      <c r="G36" s="342">
        <f>F36*0.85</f>
        <v>6685.25</v>
      </c>
      <c r="H36" s="342" t="s">
        <v>111</v>
      </c>
      <c r="I36" s="342" t="s">
        <v>111</v>
      </c>
      <c r="J36" s="113" t="s">
        <v>111</v>
      </c>
      <c r="K36" s="342" t="s">
        <v>111</v>
      </c>
      <c r="L36" s="342" t="s">
        <v>111</v>
      </c>
      <c r="M36" s="344" t="s">
        <v>111</v>
      </c>
      <c r="N36" s="110"/>
      <c r="O36" s="465"/>
    </row>
    <row r="37" spans="1:15" ht="15" thickBot="1" x14ac:dyDescent="0.4">
      <c r="A37" s="612"/>
      <c r="B37" s="117" t="s">
        <v>264</v>
      </c>
      <c r="C37" s="118" t="s">
        <v>111</v>
      </c>
      <c r="D37" s="345" t="s">
        <v>111</v>
      </c>
      <c r="E37" s="345" t="s">
        <v>111</v>
      </c>
      <c r="F37" s="345" t="s">
        <v>111</v>
      </c>
      <c r="G37" s="345" t="s">
        <v>111</v>
      </c>
      <c r="H37" s="345" t="s">
        <v>111</v>
      </c>
      <c r="I37" s="345">
        <f>I70-8056</f>
        <v>7990.4</v>
      </c>
      <c r="J37" s="119" t="s">
        <v>111</v>
      </c>
      <c r="K37" s="345">
        <v>9359.9500000000007</v>
      </c>
      <c r="L37" s="345">
        <v>9359.9500000000007</v>
      </c>
      <c r="M37" s="346" t="s">
        <v>111</v>
      </c>
      <c r="N37" s="110"/>
      <c r="O37" s="465"/>
    </row>
    <row r="38" spans="1:15" ht="38" customHeight="1" x14ac:dyDescent="0.35">
      <c r="A38" s="608" t="s">
        <v>221</v>
      </c>
      <c r="B38" s="618"/>
      <c r="C38" s="339" t="s">
        <v>310</v>
      </c>
      <c r="D38" s="339" t="s">
        <v>310</v>
      </c>
      <c r="E38" s="340" t="s">
        <v>267</v>
      </c>
      <c r="F38" s="340" t="s">
        <v>111</v>
      </c>
      <c r="G38" s="340" t="s">
        <v>111</v>
      </c>
      <c r="H38" s="340" t="s">
        <v>265</v>
      </c>
      <c r="I38" s="340" t="s">
        <v>268</v>
      </c>
      <c r="J38" s="340" t="s">
        <v>265</v>
      </c>
      <c r="K38" s="340" t="s">
        <v>269</v>
      </c>
      <c r="L38" s="340" t="s">
        <v>269</v>
      </c>
      <c r="M38" s="341" t="s">
        <v>265</v>
      </c>
      <c r="N38" s="110"/>
      <c r="O38" s="465"/>
    </row>
    <row r="39" spans="1:15" ht="29" x14ac:dyDescent="0.35">
      <c r="A39" s="588"/>
      <c r="B39" s="619"/>
      <c r="C39" s="274" t="s">
        <v>154</v>
      </c>
      <c r="D39" s="274" t="s">
        <v>154</v>
      </c>
      <c r="E39" s="274" t="s">
        <v>222</v>
      </c>
      <c r="F39" s="274" t="s">
        <v>111</v>
      </c>
      <c r="G39" s="274" t="s">
        <v>111</v>
      </c>
      <c r="H39" s="274" t="s">
        <v>223</v>
      </c>
      <c r="I39" s="275" t="s">
        <v>224</v>
      </c>
      <c r="J39" s="274" t="s">
        <v>225</v>
      </c>
      <c r="K39" s="274" t="s">
        <v>111</v>
      </c>
      <c r="L39" s="276" t="s">
        <v>379</v>
      </c>
      <c r="M39" s="278" t="s">
        <v>226</v>
      </c>
      <c r="N39" s="110"/>
      <c r="O39" s="465"/>
    </row>
    <row r="40" spans="1:15" ht="15" thickBot="1" x14ac:dyDescent="0.4">
      <c r="A40" s="153" t="s">
        <v>176</v>
      </c>
      <c r="B40" s="154" t="s">
        <v>140</v>
      </c>
      <c r="C40" s="150" t="s">
        <v>141</v>
      </c>
      <c r="D40" s="150" t="s">
        <v>141</v>
      </c>
      <c r="E40" s="360" t="s">
        <v>142</v>
      </c>
      <c r="F40" s="360" t="s">
        <v>111</v>
      </c>
      <c r="G40" s="360" t="s">
        <v>111</v>
      </c>
      <c r="H40" s="360" t="s">
        <v>141</v>
      </c>
      <c r="I40" s="150" t="s">
        <v>141</v>
      </c>
      <c r="J40" s="361" t="s">
        <v>142</v>
      </c>
      <c r="K40" s="361" t="s">
        <v>142</v>
      </c>
      <c r="L40" s="361" t="s">
        <v>142</v>
      </c>
      <c r="M40" s="379" t="s">
        <v>141</v>
      </c>
      <c r="N40" s="110"/>
      <c r="O40" s="465"/>
    </row>
    <row r="41" spans="1:15" ht="14.4" customHeight="1" x14ac:dyDescent="0.35">
      <c r="A41" s="616" t="s">
        <v>238</v>
      </c>
      <c r="B41" s="137" t="s">
        <v>239</v>
      </c>
      <c r="C41" s="107">
        <v>625.75</v>
      </c>
      <c r="D41" s="358">
        <f>625.75-60</f>
        <v>565.75</v>
      </c>
      <c r="E41" s="358">
        <v>968</v>
      </c>
      <c r="F41" s="381" t="s">
        <v>111</v>
      </c>
      <c r="G41" s="381" t="s">
        <v>111</v>
      </c>
      <c r="H41" s="358">
        <v>519</v>
      </c>
      <c r="I41" s="358">
        <v>1085.5999999999999</v>
      </c>
      <c r="J41" s="108">
        <v>702.88</v>
      </c>
      <c r="K41" s="358" t="s">
        <v>111</v>
      </c>
      <c r="L41" s="390" t="s">
        <v>111</v>
      </c>
      <c r="M41" s="359">
        <v>529.76</v>
      </c>
      <c r="N41" s="110"/>
      <c r="O41" s="465"/>
    </row>
    <row r="42" spans="1:15" x14ac:dyDescent="0.35">
      <c r="A42" s="585"/>
      <c r="B42" s="20" t="s">
        <v>240</v>
      </c>
      <c r="C42" s="112">
        <v>768.3</v>
      </c>
      <c r="D42" s="342">
        <f>768.3-60</f>
        <v>708.3</v>
      </c>
      <c r="E42" s="342" t="s">
        <v>111</v>
      </c>
      <c r="F42" s="347" t="s">
        <v>111</v>
      </c>
      <c r="G42" s="347" t="s">
        <v>111</v>
      </c>
      <c r="H42" s="342">
        <v>601.20000000000005</v>
      </c>
      <c r="I42" s="342">
        <v>1119.2</v>
      </c>
      <c r="J42" s="113">
        <v>717.6</v>
      </c>
      <c r="K42" s="342" t="s">
        <v>111</v>
      </c>
      <c r="L42" s="343" t="s">
        <v>111</v>
      </c>
      <c r="M42" s="344">
        <v>540.96</v>
      </c>
      <c r="N42" s="110"/>
      <c r="O42" s="465"/>
    </row>
    <row r="43" spans="1:15" x14ac:dyDescent="0.35">
      <c r="A43" s="585"/>
      <c r="B43" s="20" t="s">
        <v>241</v>
      </c>
      <c r="C43" s="112">
        <v>1574.3</v>
      </c>
      <c r="D43" s="342">
        <f>1574.3-60</f>
        <v>1514.3</v>
      </c>
      <c r="E43" s="342">
        <v>2568</v>
      </c>
      <c r="F43" s="347" t="s">
        <v>111</v>
      </c>
      <c r="G43" s="347" t="s">
        <v>111</v>
      </c>
      <c r="H43" s="342">
        <v>1497</v>
      </c>
      <c r="I43" s="342">
        <v>2285.6</v>
      </c>
      <c r="J43" s="113">
        <v>2026.9439999999995</v>
      </c>
      <c r="K43" s="342" t="s">
        <v>111</v>
      </c>
      <c r="L43" s="343" t="s">
        <v>111</v>
      </c>
      <c r="M43" s="344">
        <v>1018.56</v>
      </c>
      <c r="N43" s="110"/>
      <c r="O43" s="465"/>
    </row>
    <row r="44" spans="1:15" x14ac:dyDescent="0.35">
      <c r="A44" s="585"/>
      <c r="B44" s="20" t="s">
        <v>242</v>
      </c>
      <c r="C44" s="112">
        <v>2973.7</v>
      </c>
      <c r="D44" s="342">
        <f>C44-60</f>
        <v>2913.7</v>
      </c>
      <c r="E44" s="342" t="s">
        <v>111</v>
      </c>
      <c r="F44" s="347" t="s">
        <v>111</v>
      </c>
      <c r="G44" s="347" t="s">
        <v>111</v>
      </c>
      <c r="H44" s="342">
        <v>3273</v>
      </c>
      <c r="I44" s="342">
        <v>4534.3999999999996</v>
      </c>
      <c r="J44" s="113" t="s">
        <v>111</v>
      </c>
      <c r="K44" s="342" t="s">
        <v>111</v>
      </c>
      <c r="L44" s="343" t="s">
        <v>111</v>
      </c>
      <c r="M44" s="344">
        <v>2050.08</v>
      </c>
      <c r="N44" s="110"/>
      <c r="O44" s="465"/>
    </row>
    <row r="45" spans="1:15" x14ac:dyDescent="0.35">
      <c r="A45" s="585"/>
      <c r="B45" s="20" t="s">
        <v>243</v>
      </c>
      <c r="C45" s="112">
        <v>5410.45</v>
      </c>
      <c r="D45" s="342">
        <f>C45-60</f>
        <v>5350.45</v>
      </c>
      <c r="E45" s="342" t="s">
        <v>111</v>
      </c>
      <c r="F45" s="347" t="s">
        <v>111</v>
      </c>
      <c r="G45" s="347" t="s">
        <v>111</v>
      </c>
      <c r="H45" s="342" t="s">
        <v>111</v>
      </c>
      <c r="I45" s="342" t="s">
        <v>111</v>
      </c>
      <c r="J45" s="113" t="s">
        <v>111</v>
      </c>
      <c r="K45" s="342" t="s">
        <v>111</v>
      </c>
      <c r="L45" s="343" t="s">
        <v>111</v>
      </c>
      <c r="M45" s="344" t="s">
        <v>111</v>
      </c>
      <c r="N45" s="110"/>
      <c r="O45" s="465"/>
    </row>
    <row r="46" spans="1:15" ht="15" thickBot="1" x14ac:dyDescent="0.4">
      <c r="A46" s="586"/>
      <c r="B46" s="117" t="s">
        <v>244</v>
      </c>
      <c r="C46" s="118" t="s">
        <v>111</v>
      </c>
      <c r="D46" s="345" t="s">
        <v>111</v>
      </c>
      <c r="E46" s="345" t="s">
        <v>111</v>
      </c>
      <c r="F46" s="352" t="s">
        <v>111</v>
      </c>
      <c r="G46" s="352" t="s">
        <v>111</v>
      </c>
      <c r="H46" s="345" t="s">
        <v>111</v>
      </c>
      <c r="I46" s="345">
        <v>6048</v>
      </c>
      <c r="J46" s="119" t="s">
        <v>111</v>
      </c>
      <c r="K46" s="345" t="s">
        <v>111</v>
      </c>
      <c r="L46" s="391" t="s">
        <v>111</v>
      </c>
      <c r="M46" s="346" t="s">
        <v>111</v>
      </c>
      <c r="N46" s="110"/>
      <c r="O46" s="465"/>
    </row>
    <row r="47" spans="1:15" x14ac:dyDescent="0.35">
      <c r="A47" s="616" t="s">
        <v>245</v>
      </c>
      <c r="B47" s="137" t="s">
        <v>239</v>
      </c>
      <c r="C47" s="107">
        <v>839.8</v>
      </c>
      <c r="D47" s="358">
        <f>839.8-60</f>
        <v>779.8</v>
      </c>
      <c r="E47" s="358">
        <v>1368</v>
      </c>
      <c r="F47" s="381" t="s">
        <v>111</v>
      </c>
      <c r="G47" s="381" t="s">
        <v>111</v>
      </c>
      <c r="H47" s="358">
        <v>760.8</v>
      </c>
      <c r="I47" s="358">
        <v>1216.8</v>
      </c>
      <c r="J47" s="108">
        <v>1078.24</v>
      </c>
      <c r="K47" s="358" t="s">
        <v>111</v>
      </c>
      <c r="L47" s="390" t="s">
        <v>111</v>
      </c>
      <c r="M47" s="359">
        <v>645.68000000000006</v>
      </c>
      <c r="N47" s="110"/>
      <c r="O47" s="465"/>
    </row>
    <row r="48" spans="1:15" x14ac:dyDescent="0.35">
      <c r="A48" s="585"/>
      <c r="B48" s="20" t="s">
        <v>240</v>
      </c>
      <c r="C48" s="112">
        <v>1122.1500000000001</v>
      </c>
      <c r="D48" s="342">
        <f>1122.15-60</f>
        <v>1062.1500000000001</v>
      </c>
      <c r="E48" s="342" t="s">
        <v>111</v>
      </c>
      <c r="F48" s="347" t="s">
        <v>111</v>
      </c>
      <c r="G48" s="347" t="s">
        <v>111</v>
      </c>
      <c r="H48" s="342">
        <v>865.80000000000007</v>
      </c>
      <c r="I48" s="342">
        <v>1387.2</v>
      </c>
      <c r="J48" s="113">
        <v>1098.8480000000002</v>
      </c>
      <c r="K48" s="342" t="s">
        <v>111</v>
      </c>
      <c r="L48" s="343" t="s">
        <v>111</v>
      </c>
      <c r="M48" s="344">
        <v>725.76</v>
      </c>
      <c r="N48" s="110"/>
      <c r="O48" s="465"/>
    </row>
    <row r="49" spans="1:15" x14ac:dyDescent="0.35">
      <c r="A49" s="585"/>
      <c r="B49" s="20" t="s">
        <v>246</v>
      </c>
      <c r="C49" s="112">
        <v>2111.4499999999998</v>
      </c>
      <c r="D49" s="342">
        <f>2111.45-60</f>
        <v>2051.4499999999998</v>
      </c>
      <c r="E49" s="342">
        <v>3288</v>
      </c>
      <c r="F49" s="347" t="s">
        <v>111</v>
      </c>
      <c r="G49" s="347" t="s">
        <v>111</v>
      </c>
      <c r="H49" s="342">
        <v>1890</v>
      </c>
      <c r="I49" s="342">
        <v>2607.1999999999998</v>
      </c>
      <c r="J49" s="113">
        <v>2127.7760000000003</v>
      </c>
      <c r="K49" s="342" t="s">
        <v>111</v>
      </c>
      <c r="L49" s="343" t="s">
        <v>111</v>
      </c>
      <c r="M49" s="344">
        <v>1335.36</v>
      </c>
      <c r="N49" s="110"/>
      <c r="O49" s="465"/>
    </row>
    <row r="50" spans="1:15" x14ac:dyDescent="0.35">
      <c r="A50" s="585"/>
      <c r="B50" s="20" t="s">
        <v>247</v>
      </c>
      <c r="C50" s="112">
        <v>4064.95</v>
      </c>
      <c r="D50" s="342">
        <f>C50-60</f>
        <v>4004.95</v>
      </c>
      <c r="E50" s="342" t="s">
        <v>111</v>
      </c>
      <c r="F50" s="347" t="s">
        <v>111</v>
      </c>
      <c r="G50" s="347" t="s">
        <v>111</v>
      </c>
      <c r="H50" s="342">
        <v>4199.3999999999996</v>
      </c>
      <c r="I50" s="342">
        <v>5593.6</v>
      </c>
      <c r="J50" s="342" t="s">
        <v>111</v>
      </c>
      <c r="K50" s="342" t="s">
        <v>111</v>
      </c>
      <c r="L50" s="343" t="s">
        <v>111</v>
      </c>
      <c r="M50" s="344">
        <v>2669.76</v>
      </c>
      <c r="N50" s="110"/>
      <c r="O50" s="465"/>
    </row>
    <row r="51" spans="1:15" x14ac:dyDescent="0.35">
      <c r="A51" s="585"/>
      <c r="B51" s="20" t="s">
        <v>248</v>
      </c>
      <c r="C51" s="112">
        <v>7023.85</v>
      </c>
      <c r="D51" s="342">
        <f>C51-60</f>
        <v>6963.85</v>
      </c>
      <c r="E51" s="342" t="s">
        <v>111</v>
      </c>
      <c r="F51" s="347" t="s">
        <v>111</v>
      </c>
      <c r="G51" s="347" t="s">
        <v>111</v>
      </c>
      <c r="H51" s="342" t="s">
        <v>111</v>
      </c>
      <c r="I51" s="342" t="s">
        <v>111</v>
      </c>
      <c r="J51" s="113" t="s">
        <v>111</v>
      </c>
      <c r="K51" s="342" t="s">
        <v>111</v>
      </c>
      <c r="L51" s="343" t="s">
        <v>111</v>
      </c>
      <c r="M51" s="344" t="s">
        <v>111</v>
      </c>
      <c r="N51" s="110"/>
      <c r="O51" s="465"/>
    </row>
    <row r="52" spans="1:15" ht="15" thickBot="1" x14ac:dyDescent="0.4">
      <c r="A52" s="586"/>
      <c r="B52" s="117" t="s">
        <v>249</v>
      </c>
      <c r="C52" s="118" t="s">
        <v>111</v>
      </c>
      <c r="D52" s="345" t="s">
        <v>111</v>
      </c>
      <c r="E52" s="345" t="s">
        <v>111</v>
      </c>
      <c r="F52" s="352" t="s">
        <v>111</v>
      </c>
      <c r="G52" s="352" t="s">
        <v>111</v>
      </c>
      <c r="H52" s="345" t="s">
        <v>111</v>
      </c>
      <c r="I52" s="345">
        <v>7728.8</v>
      </c>
      <c r="J52" s="119" t="s">
        <v>111</v>
      </c>
      <c r="K52" s="345" t="s">
        <v>111</v>
      </c>
      <c r="L52" s="391" t="s">
        <v>111</v>
      </c>
      <c r="M52" s="346" t="s">
        <v>111</v>
      </c>
      <c r="N52" s="110"/>
      <c r="O52" s="465"/>
    </row>
    <row r="53" spans="1:15" x14ac:dyDescent="0.35">
      <c r="A53" s="616" t="s">
        <v>250</v>
      </c>
      <c r="B53" s="137" t="s">
        <v>239</v>
      </c>
      <c r="C53" s="107">
        <v>1318.4</v>
      </c>
      <c r="D53" s="358">
        <f>1318.4-60</f>
        <v>1258.4000000000001</v>
      </c>
      <c r="E53" s="358">
        <v>2152</v>
      </c>
      <c r="F53" s="381" t="s">
        <v>111</v>
      </c>
      <c r="G53" s="381" t="s">
        <v>111</v>
      </c>
      <c r="H53" s="358">
        <v>1117.1999999999998</v>
      </c>
      <c r="I53" s="358">
        <v>1756</v>
      </c>
      <c r="J53" s="108">
        <v>1756.096</v>
      </c>
      <c r="K53" s="358" t="s">
        <v>111</v>
      </c>
      <c r="L53" s="390" t="s">
        <v>111</v>
      </c>
      <c r="M53" s="359">
        <v>1227.52</v>
      </c>
      <c r="N53" s="110"/>
      <c r="O53" s="465"/>
    </row>
    <row r="54" spans="1:15" x14ac:dyDescent="0.35">
      <c r="A54" s="585"/>
      <c r="B54" s="20" t="s">
        <v>240</v>
      </c>
      <c r="C54" s="112">
        <v>1736.2</v>
      </c>
      <c r="D54" s="342">
        <f>1736.2-60</f>
        <v>1676.2</v>
      </c>
      <c r="E54" s="342" t="s">
        <v>111</v>
      </c>
      <c r="F54" s="347" t="s">
        <v>111</v>
      </c>
      <c r="G54" s="347" t="s">
        <v>111</v>
      </c>
      <c r="H54" s="342">
        <v>1326.6</v>
      </c>
      <c r="I54" s="342">
        <v>1998.4</v>
      </c>
      <c r="J54" s="113">
        <v>1789.2160000000001</v>
      </c>
      <c r="K54" s="342" t="s">
        <v>111</v>
      </c>
      <c r="L54" s="343" t="s">
        <v>111</v>
      </c>
      <c r="M54" s="344">
        <v>1279.0400000000002</v>
      </c>
      <c r="N54" s="110"/>
      <c r="O54" s="465"/>
    </row>
    <row r="55" spans="1:15" x14ac:dyDescent="0.35">
      <c r="A55" s="585"/>
      <c r="B55" s="20" t="s">
        <v>251</v>
      </c>
      <c r="C55" s="112">
        <v>2929.65</v>
      </c>
      <c r="D55" s="342">
        <f>2929.65-60</f>
        <v>2869.65</v>
      </c>
      <c r="E55" s="342">
        <v>4544</v>
      </c>
      <c r="F55" s="347" t="s">
        <v>111</v>
      </c>
      <c r="G55" s="347" t="s">
        <v>111</v>
      </c>
      <c r="H55" s="342">
        <v>2435.3999999999996</v>
      </c>
      <c r="I55" s="342">
        <v>3390.4</v>
      </c>
      <c r="J55" s="113">
        <v>2946.944</v>
      </c>
      <c r="K55" s="342" t="s">
        <v>111</v>
      </c>
      <c r="L55" s="343" t="s">
        <v>111</v>
      </c>
      <c r="M55" s="344">
        <v>1814.3999999999999</v>
      </c>
      <c r="N55" s="110"/>
      <c r="O55" s="465"/>
    </row>
    <row r="56" spans="1:15" x14ac:dyDescent="0.35">
      <c r="A56" s="585"/>
      <c r="B56" s="20" t="s">
        <v>252</v>
      </c>
      <c r="C56" s="112">
        <v>5565.45</v>
      </c>
      <c r="D56" s="342">
        <f>C56-60</f>
        <v>5505.45</v>
      </c>
      <c r="E56" s="342" t="s">
        <v>111</v>
      </c>
      <c r="F56" s="347" t="s">
        <v>111</v>
      </c>
      <c r="G56" s="347" t="s">
        <v>111</v>
      </c>
      <c r="H56" s="342">
        <v>5390.4</v>
      </c>
      <c r="I56" s="342">
        <v>7104</v>
      </c>
      <c r="J56" s="113" t="s">
        <v>111</v>
      </c>
      <c r="K56" s="342" t="s">
        <v>111</v>
      </c>
      <c r="L56" s="343" t="s">
        <v>111</v>
      </c>
      <c r="M56" s="344">
        <v>3755.5199999999995</v>
      </c>
      <c r="N56" s="110"/>
      <c r="O56" s="465"/>
    </row>
    <row r="57" spans="1:15" x14ac:dyDescent="0.35">
      <c r="A57" s="585"/>
      <c r="B57" s="20" t="s">
        <v>253</v>
      </c>
      <c r="C57" s="112">
        <v>9250.7999999999993</v>
      </c>
      <c r="D57" s="342">
        <f>C57-60</f>
        <v>9190.7999999999993</v>
      </c>
      <c r="E57" s="342" t="s">
        <v>111</v>
      </c>
      <c r="F57" s="347" t="s">
        <v>111</v>
      </c>
      <c r="G57" s="347" t="s">
        <v>111</v>
      </c>
      <c r="H57" s="342" t="s">
        <v>111</v>
      </c>
      <c r="I57" s="342" t="s">
        <v>111</v>
      </c>
      <c r="J57" s="113" t="s">
        <v>111</v>
      </c>
      <c r="K57" s="342" t="s">
        <v>111</v>
      </c>
      <c r="L57" s="343" t="s">
        <v>111</v>
      </c>
      <c r="M57" s="344" t="s">
        <v>111</v>
      </c>
      <c r="N57" s="110"/>
      <c r="O57" s="465"/>
    </row>
    <row r="58" spans="1:15" ht="15" thickBot="1" x14ac:dyDescent="0.4">
      <c r="A58" s="586"/>
      <c r="B58" s="117" t="s">
        <v>254</v>
      </c>
      <c r="C58" s="118" t="s">
        <v>111</v>
      </c>
      <c r="D58" s="345" t="s">
        <v>111</v>
      </c>
      <c r="E58" s="345" t="s">
        <v>111</v>
      </c>
      <c r="F58" s="352" t="s">
        <v>111</v>
      </c>
      <c r="G58" s="352" t="s">
        <v>111</v>
      </c>
      <c r="H58" s="345" t="s">
        <v>111</v>
      </c>
      <c r="I58" s="345">
        <v>9544.7999999999993</v>
      </c>
      <c r="J58" s="119" t="s">
        <v>111</v>
      </c>
      <c r="K58" s="345" t="s">
        <v>111</v>
      </c>
      <c r="L58" s="391" t="s">
        <v>111</v>
      </c>
      <c r="M58" s="346" t="s">
        <v>111</v>
      </c>
      <c r="N58" s="110"/>
      <c r="O58" s="465"/>
    </row>
    <row r="59" spans="1:15" x14ac:dyDescent="0.35">
      <c r="A59" s="616" t="s">
        <v>255</v>
      </c>
      <c r="B59" s="137" t="s">
        <v>239</v>
      </c>
      <c r="C59" s="107">
        <v>2016.5</v>
      </c>
      <c r="D59" s="358">
        <f>2016.5-60</f>
        <v>1956.5</v>
      </c>
      <c r="E59" s="358">
        <v>3616</v>
      </c>
      <c r="F59" s="381" t="s">
        <v>111</v>
      </c>
      <c r="G59" s="381" t="s">
        <v>111</v>
      </c>
      <c r="H59" s="358">
        <v>1767.6000000000001</v>
      </c>
      <c r="I59" s="358">
        <v>2864</v>
      </c>
      <c r="J59" s="108">
        <v>2707.0080000000003</v>
      </c>
      <c r="K59" s="358" t="s">
        <v>111</v>
      </c>
      <c r="L59" s="390" t="s">
        <v>111</v>
      </c>
      <c r="M59" s="359">
        <v>1803.2000000000003</v>
      </c>
      <c r="N59" s="110"/>
      <c r="O59" s="465"/>
    </row>
    <row r="60" spans="1:15" x14ac:dyDescent="0.35">
      <c r="A60" s="585"/>
      <c r="B60" s="20" t="s">
        <v>240</v>
      </c>
      <c r="C60" s="112">
        <v>2750.25</v>
      </c>
      <c r="D60" s="342">
        <f>2750.25-60</f>
        <v>2690.25</v>
      </c>
      <c r="E60" s="342" t="s">
        <v>111</v>
      </c>
      <c r="F60" s="347" t="s">
        <v>111</v>
      </c>
      <c r="G60" s="347" t="s">
        <v>111</v>
      </c>
      <c r="H60" s="342">
        <v>2173.8000000000002</v>
      </c>
      <c r="I60" s="342">
        <v>3155.2</v>
      </c>
      <c r="J60" s="113">
        <v>2784.288</v>
      </c>
      <c r="K60" s="342" t="s">
        <v>111</v>
      </c>
      <c r="L60" s="343" t="s">
        <v>111</v>
      </c>
      <c r="M60" s="344">
        <v>2096.08</v>
      </c>
      <c r="N60" s="110"/>
      <c r="O60" s="465"/>
    </row>
    <row r="61" spans="1:15" x14ac:dyDescent="0.35">
      <c r="A61" s="585"/>
      <c r="B61" s="20" t="s">
        <v>256</v>
      </c>
      <c r="C61" s="112">
        <v>3944.65</v>
      </c>
      <c r="D61" s="342">
        <f>3944.65-60</f>
        <v>3884.65</v>
      </c>
      <c r="E61" s="342">
        <v>6064</v>
      </c>
      <c r="F61" s="347" t="s">
        <v>111</v>
      </c>
      <c r="G61" s="347" t="s">
        <v>111</v>
      </c>
      <c r="H61" s="342">
        <v>3087.6000000000004</v>
      </c>
      <c r="I61" s="342">
        <v>4304</v>
      </c>
      <c r="J61" s="113">
        <v>4080.384</v>
      </c>
      <c r="K61" s="342" t="s">
        <v>111</v>
      </c>
      <c r="L61" s="343" t="s">
        <v>111</v>
      </c>
      <c r="M61" s="344">
        <v>2472.96</v>
      </c>
      <c r="N61" s="110"/>
      <c r="O61" s="465"/>
    </row>
    <row r="62" spans="1:15" x14ac:dyDescent="0.35">
      <c r="A62" s="585"/>
      <c r="B62" s="20" t="s">
        <v>257</v>
      </c>
      <c r="C62" s="112">
        <v>7705.25</v>
      </c>
      <c r="D62" s="342">
        <f>7705.25-60</f>
        <v>7645.25</v>
      </c>
      <c r="E62" s="342" t="s">
        <v>111</v>
      </c>
      <c r="F62" s="347" t="s">
        <v>111</v>
      </c>
      <c r="G62" s="347" t="s">
        <v>111</v>
      </c>
      <c r="H62" s="342">
        <v>6931.7999999999993</v>
      </c>
      <c r="I62" s="342">
        <v>9536</v>
      </c>
      <c r="J62" s="113">
        <v>8795.9359999999997</v>
      </c>
      <c r="K62" s="342" t="s">
        <v>111</v>
      </c>
      <c r="L62" s="343" t="s">
        <v>111</v>
      </c>
      <c r="M62" s="344">
        <v>5319.3600000000006</v>
      </c>
      <c r="N62" s="110"/>
      <c r="O62" s="465"/>
    </row>
    <row r="63" spans="1:15" x14ac:dyDescent="0.35">
      <c r="A63" s="585"/>
      <c r="B63" s="20" t="s">
        <v>258</v>
      </c>
      <c r="C63" s="112">
        <v>12393.8</v>
      </c>
      <c r="D63" s="342">
        <f>12393.8-60</f>
        <v>12333.8</v>
      </c>
      <c r="E63" s="342" t="s">
        <v>111</v>
      </c>
      <c r="F63" s="347" t="s">
        <v>111</v>
      </c>
      <c r="G63" s="347" t="s">
        <v>111</v>
      </c>
      <c r="H63" s="342" t="s">
        <v>111</v>
      </c>
      <c r="I63" s="342" t="s">
        <v>111</v>
      </c>
      <c r="J63" s="113" t="s">
        <v>111</v>
      </c>
      <c r="K63" s="342" t="s">
        <v>111</v>
      </c>
      <c r="L63" s="343" t="s">
        <v>111</v>
      </c>
      <c r="M63" s="344" t="s">
        <v>111</v>
      </c>
      <c r="N63" s="110"/>
      <c r="O63" s="465"/>
    </row>
    <row r="64" spans="1:15" ht="15" thickBot="1" x14ac:dyDescent="0.4">
      <c r="A64" s="586"/>
      <c r="B64" s="117" t="s">
        <v>259</v>
      </c>
      <c r="C64" s="118" t="s">
        <v>111</v>
      </c>
      <c r="D64" s="345" t="s">
        <v>111</v>
      </c>
      <c r="E64" s="345" t="s">
        <v>111</v>
      </c>
      <c r="F64" s="352" t="s">
        <v>111</v>
      </c>
      <c r="G64" s="352" t="s">
        <v>111</v>
      </c>
      <c r="H64" s="345" t="s">
        <v>111</v>
      </c>
      <c r="I64" s="345">
        <v>12831.2</v>
      </c>
      <c r="J64" s="119" t="s">
        <v>111</v>
      </c>
      <c r="K64" s="345" t="s">
        <v>111</v>
      </c>
      <c r="L64" s="391" t="s">
        <v>111</v>
      </c>
      <c r="M64" s="346" t="s">
        <v>111</v>
      </c>
      <c r="N64" s="110"/>
      <c r="O64" s="465"/>
    </row>
    <row r="65" spans="1:15" x14ac:dyDescent="0.35">
      <c r="A65" s="617" t="s">
        <v>260</v>
      </c>
      <c r="B65" s="138" t="s">
        <v>239</v>
      </c>
      <c r="C65" s="142">
        <v>3388.05</v>
      </c>
      <c r="D65" s="356">
        <f>3388.05-60</f>
        <v>3328.05</v>
      </c>
      <c r="E65" s="356">
        <v>6336</v>
      </c>
      <c r="F65" s="380" t="s">
        <v>111</v>
      </c>
      <c r="G65" s="380" t="s">
        <v>111</v>
      </c>
      <c r="H65" s="356">
        <v>3039</v>
      </c>
      <c r="I65" s="356">
        <v>4838.3999999999996</v>
      </c>
      <c r="J65" s="143">
        <v>4587.4880000000003</v>
      </c>
      <c r="K65" s="356" t="s">
        <v>111</v>
      </c>
      <c r="L65" s="392" t="s">
        <v>111</v>
      </c>
      <c r="M65" s="357">
        <v>3180.24</v>
      </c>
      <c r="N65" s="110"/>
      <c r="O65" s="465"/>
    </row>
    <row r="66" spans="1:15" x14ac:dyDescent="0.35">
      <c r="A66" s="585"/>
      <c r="B66" s="20" t="s">
        <v>240</v>
      </c>
      <c r="C66" s="112">
        <v>4693.05</v>
      </c>
      <c r="D66" s="342">
        <f>4693.05-60</f>
        <v>4633.05</v>
      </c>
      <c r="E66" s="342" t="s">
        <v>111</v>
      </c>
      <c r="F66" s="347" t="s">
        <v>111</v>
      </c>
      <c r="G66" s="347" t="s">
        <v>111</v>
      </c>
      <c r="H66" s="342">
        <v>3570</v>
      </c>
      <c r="I66" s="342">
        <v>5282.4</v>
      </c>
      <c r="J66" s="113">
        <v>4806.8159999999998</v>
      </c>
      <c r="K66" s="342" t="s">
        <v>111</v>
      </c>
      <c r="L66" s="343" t="s">
        <v>111</v>
      </c>
      <c r="M66" s="344">
        <v>3731.2799999999997</v>
      </c>
      <c r="N66" s="110"/>
      <c r="O66" s="465"/>
    </row>
    <row r="67" spans="1:15" x14ac:dyDescent="0.35">
      <c r="A67" s="585"/>
      <c r="B67" s="20" t="s">
        <v>261</v>
      </c>
      <c r="C67" s="112">
        <v>5690.5</v>
      </c>
      <c r="D67" s="342">
        <f>5690.5-60</f>
        <v>5630.5</v>
      </c>
      <c r="E67" s="342">
        <v>8416</v>
      </c>
      <c r="F67" s="347" t="s">
        <v>111</v>
      </c>
      <c r="G67" s="347" t="s">
        <v>111</v>
      </c>
      <c r="H67" s="342">
        <v>4155</v>
      </c>
      <c r="I67" s="342">
        <v>5834.4</v>
      </c>
      <c r="J67" s="113">
        <v>5338.9440000000004</v>
      </c>
      <c r="K67" s="342" t="s">
        <v>111</v>
      </c>
      <c r="L67" s="343" t="s">
        <v>111</v>
      </c>
      <c r="M67" s="344">
        <v>3563.5199999999995</v>
      </c>
      <c r="N67" s="110"/>
      <c r="O67" s="465"/>
    </row>
    <row r="68" spans="1:15" x14ac:dyDescent="0.35">
      <c r="A68" s="585"/>
      <c r="B68" s="20" t="s">
        <v>262</v>
      </c>
      <c r="C68" s="112">
        <v>10963.85</v>
      </c>
      <c r="D68" s="342">
        <f>10963.85-60</f>
        <v>10903.85</v>
      </c>
      <c r="E68" s="342" t="s">
        <v>111</v>
      </c>
      <c r="F68" s="347" t="s">
        <v>111</v>
      </c>
      <c r="G68" s="347" t="s">
        <v>111</v>
      </c>
      <c r="H68" s="342">
        <v>8931.5999999999985</v>
      </c>
      <c r="I68" s="342">
        <v>11937.6</v>
      </c>
      <c r="J68" s="113">
        <v>12027.712000000001</v>
      </c>
      <c r="K68" s="342" t="s">
        <v>111</v>
      </c>
      <c r="L68" s="343" t="s">
        <v>111</v>
      </c>
      <c r="M68" s="344">
        <v>7160.64</v>
      </c>
      <c r="N68" s="110"/>
      <c r="O68" s="465"/>
    </row>
    <row r="69" spans="1:15" x14ac:dyDescent="0.35">
      <c r="A69" s="585"/>
      <c r="B69" s="20" t="s">
        <v>263</v>
      </c>
      <c r="C69" s="112">
        <v>16883.349999999999</v>
      </c>
      <c r="D69" s="342">
        <f>16883.35-60</f>
        <v>16823.349999999999</v>
      </c>
      <c r="E69" s="342" t="s">
        <v>111</v>
      </c>
      <c r="F69" s="347" t="s">
        <v>111</v>
      </c>
      <c r="G69" s="347" t="s">
        <v>111</v>
      </c>
      <c r="H69" s="342" t="s">
        <v>111</v>
      </c>
      <c r="I69" s="342" t="s">
        <v>111</v>
      </c>
      <c r="J69" s="113" t="s">
        <v>111</v>
      </c>
      <c r="K69" s="342" t="s">
        <v>111</v>
      </c>
      <c r="L69" s="343" t="s">
        <v>111</v>
      </c>
      <c r="M69" s="344" t="s">
        <v>111</v>
      </c>
      <c r="N69" s="110"/>
      <c r="O69" s="465"/>
    </row>
    <row r="70" spans="1:15" ht="15" thickBot="1" x14ac:dyDescent="0.4">
      <c r="A70" s="586"/>
      <c r="B70" s="117" t="s">
        <v>264</v>
      </c>
      <c r="C70" s="118" t="s">
        <v>111</v>
      </c>
      <c r="D70" s="345" t="s">
        <v>111</v>
      </c>
      <c r="E70" s="345" t="s">
        <v>111</v>
      </c>
      <c r="F70" s="352" t="s">
        <v>111</v>
      </c>
      <c r="G70" s="352" t="s">
        <v>111</v>
      </c>
      <c r="H70" s="345" t="s">
        <v>111</v>
      </c>
      <c r="I70" s="345">
        <v>16046.4</v>
      </c>
      <c r="J70" s="119" t="s">
        <v>111</v>
      </c>
      <c r="K70" s="345" t="s">
        <v>111</v>
      </c>
      <c r="L70" s="391" t="s">
        <v>111</v>
      </c>
      <c r="M70" s="346" t="s">
        <v>111</v>
      </c>
      <c r="N70" s="110"/>
      <c r="O70" s="465"/>
    </row>
    <row r="71" spans="1:15" x14ac:dyDescent="0.35">
      <c r="O71" s="465"/>
    </row>
    <row r="72" spans="1:15" x14ac:dyDescent="0.35">
      <c r="O72" s="465"/>
    </row>
    <row r="73" spans="1:15" ht="15.5" x14ac:dyDescent="0.35">
      <c r="A73" s="610" t="s">
        <v>160</v>
      </c>
      <c r="B73" s="610"/>
      <c r="C73" s="125"/>
      <c r="D73" s="125"/>
      <c r="E73"/>
      <c r="F73"/>
      <c r="G73"/>
      <c r="H73"/>
      <c r="I73"/>
      <c r="J73" s="97"/>
      <c r="K73" s="46" t="s">
        <v>128</v>
      </c>
      <c r="L73" s="562" t="s">
        <v>128</v>
      </c>
      <c r="M73" s="562"/>
      <c r="N73" s="562"/>
      <c r="O73" s="465"/>
    </row>
    <row r="74" spans="1:15" ht="15.5" x14ac:dyDescent="0.35">
      <c r="A74" s="590" t="s">
        <v>129</v>
      </c>
      <c r="B74" s="590"/>
      <c r="C74" s="99">
        <v>800000</v>
      </c>
      <c r="D74" s="99">
        <v>800000</v>
      </c>
      <c r="E74" s="126"/>
      <c r="F74" s="126"/>
      <c r="G74" s="126"/>
      <c r="H74" s="126"/>
      <c r="I74" s="126"/>
      <c r="J74" s="101"/>
      <c r="K74" s="562" t="s">
        <v>211</v>
      </c>
      <c r="L74" s="562"/>
      <c r="M74" s="562"/>
      <c r="O74" s="465"/>
    </row>
    <row r="75" spans="1:15" ht="15" thickBot="1" x14ac:dyDescent="0.4">
      <c r="A75" s="614"/>
      <c r="B75" s="614"/>
      <c r="C75" s="127"/>
      <c r="D75" s="127"/>
      <c r="E75" s="127"/>
      <c r="F75" s="127"/>
      <c r="G75" s="127"/>
      <c r="H75" s="127"/>
      <c r="I75" s="127"/>
      <c r="J75"/>
      <c r="K75"/>
      <c r="L75"/>
      <c r="M75"/>
      <c r="O75" s="465"/>
    </row>
    <row r="76" spans="1:15" ht="48" customHeight="1" x14ac:dyDescent="0.35">
      <c r="A76" s="592"/>
      <c r="B76" s="615"/>
      <c r="C76" s="328" t="s">
        <v>385</v>
      </c>
      <c r="D76" s="328" t="s">
        <v>385</v>
      </c>
      <c r="E76" s="128" t="s">
        <v>228</v>
      </c>
      <c r="F76" s="128" t="s">
        <v>354</v>
      </c>
      <c r="G76" s="128" t="s">
        <v>354</v>
      </c>
      <c r="H76" s="128" t="s">
        <v>229</v>
      </c>
      <c r="I76" s="128" t="s">
        <v>230</v>
      </c>
      <c r="J76" s="128" t="s">
        <v>231</v>
      </c>
      <c r="K76" s="128" t="s">
        <v>232</v>
      </c>
      <c r="L76" s="128" t="s">
        <v>334</v>
      </c>
      <c r="M76" s="129" t="s">
        <v>233</v>
      </c>
      <c r="O76" s="465"/>
    </row>
    <row r="77" spans="1:15" ht="30" customHeight="1" x14ac:dyDescent="0.35">
      <c r="A77" s="594" t="s">
        <v>213</v>
      </c>
      <c r="B77" s="613"/>
      <c r="C77" s="130" t="s">
        <v>311</v>
      </c>
      <c r="D77" s="130" t="s">
        <v>311</v>
      </c>
      <c r="E77" s="130" t="s">
        <v>235</v>
      </c>
      <c r="F77" s="130" t="s">
        <v>353</v>
      </c>
      <c r="G77" s="130" t="s">
        <v>353</v>
      </c>
      <c r="H77" s="130" t="s">
        <v>234</v>
      </c>
      <c r="I77" s="130" t="s">
        <v>236</v>
      </c>
      <c r="J77" s="130" t="s">
        <v>234</v>
      </c>
      <c r="K77" s="130" t="s">
        <v>237</v>
      </c>
      <c r="L77" s="130" t="s">
        <v>237</v>
      </c>
      <c r="M77" s="131" t="s">
        <v>234</v>
      </c>
      <c r="O77" s="465"/>
    </row>
    <row r="78" spans="1:15" ht="15" thickBot="1" x14ac:dyDescent="0.4">
      <c r="A78" s="132" t="s">
        <v>176</v>
      </c>
      <c r="B78" s="133" t="s">
        <v>140</v>
      </c>
      <c r="C78" s="134" t="s">
        <v>141</v>
      </c>
      <c r="D78" s="134" t="s">
        <v>141</v>
      </c>
      <c r="E78" s="134" t="s">
        <v>142</v>
      </c>
      <c r="F78" s="134" t="s">
        <v>141</v>
      </c>
      <c r="G78" s="134" t="s">
        <v>141</v>
      </c>
      <c r="H78" s="136" t="s">
        <v>141</v>
      </c>
      <c r="I78" s="136" t="s">
        <v>141</v>
      </c>
      <c r="J78" s="136" t="s">
        <v>142</v>
      </c>
      <c r="K78" s="136" t="s">
        <v>142</v>
      </c>
      <c r="L78" s="136" t="s">
        <v>142</v>
      </c>
      <c r="M78" s="135" t="s">
        <v>141</v>
      </c>
      <c r="O78" s="465"/>
    </row>
    <row r="79" spans="1:15" x14ac:dyDescent="0.35">
      <c r="A79" s="611" t="s">
        <v>238</v>
      </c>
      <c r="B79" s="137" t="s">
        <v>239</v>
      </c>
      <c r="C79" s="107" t="s">
        <v>111</v>
      </c>
      <c r="D79" s="107" t="s">
        <v>111</v>
      </c>
      <c r="E79" s="107">
        <v>344</v>
      </c>
      <c r="F79" s="107" t="s">
        <v>111</v>
      </c>
      <c r="G79" s="107" t="s">
        <v>111</v>
      </c>
      <c r="H79" s="107">
        <v>205.79999999999998</v>
      </c>
      <c r="I79" s="107">
        <f>I112-1128</f>
        <v>272.79999999999995</v>
      </c>
      <c r="J79" s="108">
        <v>242.14400000000001</v>
      </c>
      <c r="K79" s="107" t="s">
        <v>111</v>
      </c>
      <c r="L79" s="107" t="s">
        <v>111</v>
      </c>
      <c r="M79" s="109">
        <v>196</v>
      </c>
      <c r="N79" s="110"/>
      <c r="O79" s="465"/>
    </row>
    <row r="80" spans="1:15" x14ac:dyDescent="0.35">
      <c r="A80" s="587"/>
      <c r="B80" s="20" t="s">
        <v>240</v>
      </c>
      <c r="C80" s="112">
        <v>200.85</v>
      </c>
      <c r="D80" s="112">
        <f>200.85-60</f>
        <v>140.85</v>
      </c>
      <c r="E80" s="112" t="s">
        <v>111</v>
      </c>
      <c r="F80" s="112" t="s">
        <v>111</v>
      </c>
      <c r="G80" s="112" t="s">
        <v>111</v>
      </c>
      <c r="H80" s="112">
        <v>205.79999999999998</v>
      </c>
      <c r="I80" s="112">
        <f>I113-1152</f>
        <v>281.59999999999991</v>
      </c>
      <c r="J80" s="113">
        <v>242.14400000000001</v>
      </c>
      <c r="K80" s="112">
        <v>284.95</v>
      </c>
      <c r="L80" s="112">
        <v>284.95</v>
      </c>
      <c r="M80" s="114">
        <v>196</v>
      </c>
      <c r="N80" s="110"/>
      <c r="O80" s="465"/>
    </row>
    <row r="81" spans="1:15" x14ac:dyDescent="0.35">
      <c r="A81" s="587"/>
      <c r="B81" s="20" t="s">
        <v>241</v>
      </c>
      <c r="C81" s="112">
        <v>382.55</v>
      </c>
      <c r="D81" s="112">
        <f>382.55-60</f>
        <v>322.55</v>
      </c>
      <c r="E81" s="112">
        <v>624</v>
      </c>
      <c r="F81" s="112" t="s">
        <v>111</v>
      </c>
      <c r="G81" s="112" t="s">
        <v>111</v>
      </c>
      <c r="H81" s="112">
        <v>349.79999999999995</v>
      </c>
      <c r="I81" s="112">
        <f>I114-2120</f>
        <v>580.80000000000018</v>
      </c>
      <c r="J81" s="113">
        <v>507.84000000000003</v>
      </c>
      <c r="K81" s="112">
        <v>518.04999999999995</v>
      </c>
      <c r="L81" s="112">
        <v>518.04999999999995</v>
      </c>
      <c r="M81" s="114">
        <v>284.64</v>
      </c>
      <c r="N81" s="110"/>
      <c r="O81" s="465"/>
    </row>
    <row r="82" spans="1:15" x14ac:dyDescent="0.35">
      <c r="A82" s="587"/>
      <c r="B82" s="20" t="s">
        <v>242</v>
      </c>
      <c r="C82" s="112">
        <v>778</v>
      </c>
      <c r="D82" s="112">
        <f>C82-60</f>
        <v>718</v>
      </c>
      <c r="E82" s="112" t="s">
        <v>111</v>
      </c>
      <c r="F82" s="112" t="s">
        <v>111</v>
      </c>
      <c r="G82" s="112" t="s">
        <v>111</v>
      </c>
      <c r="H82" s="112">
        <v>984.59999999999991</v>
      </c>
      <c r="I82" s="112">
        <f>I115-3208</f>
        <v>1469.6000000000004</v>
      </c>
      <c r="J82" s="113" t="s">
        <v>111</v>
      </c>
      <c r="K82" s="112">
        <v>1253.5999999999999</v>
      </c>
      <c r="L82" s="112">
        <f>K82*0.85</f>
        <v>1065.56</v>
      </c>
      <c r="M82" s="114">
        <v>684</v>
      </c>
      <c r="N82" s="110"/>
      <c r="O82" s="465"/>
    </row>
    <row r="83" spans="1:15" x14ac:dyDescent="0.35">
      <c r="A83" s="587"/>
      <c r="B83" s="20" t="s">
        <v>243</v>
      </c>
      <c r="C83" s="112">
        <v>2035</v>
      </c>
      <c r="D83" s="470">
        <f>C83-60</f>
        <v>1975</v>
      </c>
      <c r="E83" s="112" t="s">
        <v>111</v>
      </c>
      <c r="F83" s="112">
        <f>1469/0.8</f>
        <v>1836.25</v>
      </c>
      <c r="G83" s="112">
        <f>F83*0.85</f>
        <v>1560.8125</v>
      </c>
      <c r="H83" s="112" t="s">
        <v>111</v>
      </c>
      <c r="I83" s="112" t="s">
        <v>111</v>
      </c>
      <c r="J83" s="113" t="s">
        <v>111</v>
      </c>
      <c r="K83" s="112" t="s">
        <v>111</v>
      </c>
      <c r="L83" s="112" t="s">
        <v>111</v>
      </c>
      <c r="M83" s="115" t="s">
        <v>111</v>
      </c>
      <c r="N83" s="110"/>
      <c r="O83" s="465"/>
    </row>
    <row r="84" spans="1:15" ht="15" thickBot="1" x14ac:dyDescent="0.4">
      <c r="A84" s="612"/>
      <c r="B84" s="117" t="s">
        <v>244</v>
      </c>
      <c r="C84" s="118" t="s">
        <v>111</v>
      </c>
      <c r="D84" s="118" t="s">
        <v>111</v>
      </c>
      <c r="E84" s="118" t="s">
        <v>111</v>
      </c>
      <c r="F84" s="118" t="s">
        <v>111</v>
      </c>
      <c r="G84" s="118" t="s">
        <v>111</v>
      </c>
      <c r="H84" s="118" t="s">
        <v>111</v>
      </c>
      <c r="I84" s="118">
        <f>I117-3552</f>
        <v>2534.3999999999996</v>
      </c>
      <c r="J84" s="119" t="s">
        <v>111</v>
      </c>
      <c r="K84" s="118">
        <v>2415.4499999999998</v>
      </c>
      <c r="L84" s="118">
        <f>K84*0.85</f>
        <v>2053.1324999999997</v>
      </c>
      <c r="M84" s="120" t="s">
        <v>111</v>
      </c>
      <c r="N84" s="110"/>
      <c r="O84" s="465"/>
    </row>
    <row r="85" spans="1:15" x14ac:dyDescent="0.35">
      <c r="A85" s="611" t="s">
        <v>245</v>
      </c>
      <c r="B85" s="137" t="s">
        <v>239</v>
      </c>
      <c r="C85" s="107">
        <v>258.34999999999997</v>
      </c>
      <c r="D85" s="107">
        <f>258.35-60</f>
        <v>198.35000000000002</v>
      </c>
      <c r="E85" s="107">
        <v>432</v>
      </c>
      <c r="F85" s="107" t="s">
        <v>111</v>
      </c>
      <c r="G85" s="107" t="s">
        <v>111</v>
      </c>
      <c r="H85" s="107">
        <v>236.39999999999998</v>
      </c>
      <c r="I85" s="107">
        <f>I118-1432</f>
        <v>299.20000000000005</v>
      </c>
      <c r="J85" s="108">
        <v>320.89600000000002</v>
      </c>
      <c r="K85" s="107" t="s">
        <v>111</v>
      </c>
      <c r="L85" s="107" t="s">
        <v>111</v>
      </c>
      <c r="M85" s="109">
        <v>246.40000000000003</v>
      </c>
      <c r="N85" s="110"/>
      <c r="O85" s="465"/>
    </row>
    <row r="86" spans="1:15" x14ac:dyDescent="0.35">
      <c r="A86" s="587"/>
      <c r="B86" s="20" t="s">
        <v>240</v>
      </c>
      <c r="C86" s="112">
        <v>278.7</v>
      </c>
      <c r="D86" s="112">
        <f>278.7-60</f>
        <v>218.7</v>
      </c>
      <c r="E86" s="112" t="s">
        <v>111</v>
      </c>
      <c r="F86" s="112" t="s">
        <v>111</v>
      </c>
      <c r="G86" s="112" t="s">
        <v>111</v>
      </c>
      <c r="H86" s="112">
        <v>244.20000000000002</v>
      </c>
      <c r="I86" s="112">
        <f>I119-1680</f>
        <v>316.79999999999995</v>
      </c>
      <c r="J86" s="113">
        <v>325.31200000000001</v>
      </c>
      <c r="K86" s="112">
        <v>346.95</v>
      </c>
      <c r="L86" s="112">
        <v>346.95</v>
      </c>
      <c r="M86" s="114">
        <v>232.40000000000003</v>
      </c>
      <c r="N86" s="110"/>
      <c r="O86" s="465"/>
    </row>
    <row r="87" spans="1:15" x14ac:dyDescent="0.35">
      <c r="A87" s="587"/>
      <c r="B87" s="20" t="s">
        <v>246</v>
      </c>
      <c r="C87" s="112">
        <v>493.45000000000005</v>
      </c>
      <c r="D87" s="112">
        <f>493.45-60</f>
        <v>433.45</v>
      </c>
      <c r="E87" s="112">
        <v>744</v>
      </c>
      <c r="F87" s="112" t="s">
        <v>111</v>
      </c>
      <c r="G87" s="112" t="s">
        <v>111</v>
      </c>
      <c r="H87" s="112">
        <v>427.20000000000005</v>
      </c>
      <c r="I87" s="112">
        <f>I120-2544</f>
        <v>572</v>
      </c>
      <c r="J87" s="113">
        <v>570.4</v>
      </c>
      <c r="K87" s="112">
        <v>617.85</v>
      </c>
      <c r="L87" s="112">
        <v>617.85</v>
      </c>
      <c r="M87" s="114">
        <v>331.67999999999995</v>
      </c>
      <c r="N87" s="110"/>
      <c r="O87" s="465"/>
    </row>
    <row r="88" spans="1:15" x14ac:dyDescent="0.35">
      <c r="A88" s="587"/>
      <c r="B88" s="20" t="s">
        <v>247</v>
      </c>
      <c r="C88" s="112">
        <v>1050.4000000000001</v>
      </c>
      <c r="D88" s="112">
        <f>C88-60</f>
        <v>990.40000000000009</v>
      </c>
      <c r="E88" s="112" t="s">
        <v>111</v>
      </c>
      <c r="F88" s="112" t="s">
        <v>111</v>
      </c>
      <c r="G88" s="112" t="s">
        <v>111</v>
      </c>
      <c r="H88" s="112">
        <v>1259.4000000000001</v>
      </c>
      <c r="I88" s="112">
        <f>I121-4208</f>
        <v>1733.6000000000004</v>
      </c>
      <c r="J88" s="113" t="s">
        <v>111</v>
      </c>
      <c r="K88" s="112">
        <v>1484.35</v>
      </c>
      <c r="L88" s="112">
        <f>K88*0.85</f>
        <v>1261.6975</v>
      </c>
      <c r="M88" s="114">
        <v>867.3599999999999</v>
      </c>
      <c r="N88" s="110"/>
      <c r="O88" s="465"/>
    </row>
    <row r="89" spans="1:15" x14ac:dyDescent="0.35">
      <c r="A89" s="587"/>
      <c r="B89" s="20" t="s">
        <v>248</v>
      </c>
      <c r="C89" s="112">
        <v>2771</v>
      </c>
      <c r="D89" s="470">
        <f>C89-60</f>
        <v>2711</v>
      </c>
      <c r="E89" s="112" t="s">
        <v>111</v>
      </c>
      <c r="F89" s="112">
        <f>2015/0.8</f>
        <v>2518.75</v>
      </c>
      <c r="G89" s="112">
        <f>2015*0.85</f>
        <v>1712.75</v>
      </c>
      <c r="H89" s="112" t="s">
        <v>111</v>
      </c>
      <c r="I89" s="112" t="s">
        <v>111</v>
      </c>
      <c r="J89" s="113" t="s">
        <v>111</v>
      </c>
      <c r="K89" s="112" t="s">
        <v>111</v>
      </c>
      <c r="L89" s="112" t="s">
        <v>111</v>
      </c>
      <c r="M89" s="115" t="s">
        <v>111</v>
      </c>
      <c r="N89" s="110"/>
      <c r="O89" s="465"/>
    </row>
    <row r="90" spans="1:15" ht="15" thickBot="1" x14ac:dyDescent="0.4">
      <c r="A90" s="612"/>
      <c r="B90" s="117" t="s">
        <v>249</v>
      </c>
      <c r="C90" s="118" t="s">
        <v>111</v>
      </c>
      <c r="D90" s="118" t="s">
        <v>111</v>
      </c>
      <c r="E90" s="118" t="s">
        <v>111</v>
      </c>
      <c r="F90" s="118" t="s">
        <v>111</v>
      </c>
      <c r="G90" s="118" t="s">
        <v>111</v>
      </c>
      <c r="H90" s="118" t="s">
        <v>111</v>
      </c>
      <c r="I90" s="118">
        <f>I123-4624</f>
        <v>3238.3999999999996</v>
      </c>
      <c r="J90" s="119" t="s">
        <v>111</v>
      </c>
      <c r="K90" s="118">
        <v>3084.7</v>
      </c>
      <c r="L90" s="118">
        <f>K90*0.85</f>
        <v>2621.9949999999999</v>
      </c>
      <c r="M90" s="120" t="s">
        <v>111</v>
      </c>
      <c r="N90" s="110"/>
      <c r="O90" s="465"/>
    </row>
    <row r="91" spans="1:15" x14ac:dyDescent="0.35">
      <c r="A91" s="611" t="s">
        <v>250</v>
      </c>
      <c r="B91" s="137" t="s">
        <v>239</v>
      </c>
      <c r="C91" s="107">
        <v>373.59999999999997</v>
      </c>
      <c r="D91" s="107">
        <f>373.6-60</f>
        <v>313.60000000000002</v>
      </c>
      <c r="E91" s="107">
        <v>672</v>
      </c>
      <c r="F91" s="107" t="s">
        <v>111</v>
      </c>
      <c r="G91" s="107" t="s">
        <v>111</v>
      </c>
      <c r="H91" s="107">
        <v>339</v>
      </c>
      <c r="I91" s="107">
        <f>I124-2192</f>
        <v>422.40000000000009</v>
      </c>
      <c r="J91" s="108">
        <v>421.72800000000001</v>
      </c>
      <c r="K91" s="107" t="s">
        <v>111</v>
      </c>
      <c r="L91" s="107" t="s">
        <v>111</v>
      </c>
      <c r="M91" s="109">
        <v>346.08</v>
      </c>
      <c r="N91" s="110"/>
      <c r="O91" s="465"/>
    </row>
    <row r="92" spans="1:15" x14ac:dyDescent="0.35">
      <c r="A92" s="587"/>
      <c r="B92" s="20" t="s">
        <v>240</v>
      </c>
      <c r="C92" s="112">
        <v>417.15</v>
      </c>
      <c r="D92" s="112">
        <f>417.15-60</f>
        <v>357.15</v>
      </c>
      <c r="E92" s="112" t="s">
        <v>111</v>
      </c>
      <c r="F92" s="112" t="s">
        <v>111</v>
      </c>
      <c r="G92" s="112" t="s">
        <v>111</v>
      </c>
      <c r="H92" s="112">
        <v>355.79999999999995</v>
      </c>
      <c r="I92" s="112">
        <f>I125-2576</f>
        <v>457.59999999999991</v>
      </c>
      <c r="J92" s="113">
        <v>440.86400000000003</v>
      </c>
      <c r="K92" s="112">
        <v>519.5</v>
      </c>
      <c r="L92" s="112">
        <v>519.5</v>
      </c>
      <c r="M92" s="114">
        <v>348.32000000000005</v>
      </c>
      <c r="N92" s="110"/>
      <c r="O92" s="465"/>
    </row>
    <row r="93" spans="1:15" x14ac:dyDescent="0.35">
      <c r="A93" s="587"/>
      <c r="B93" s="20" t="s">
        <v>251</v>
      </c>
      <c r="C93" s="112">
        <v>645</v>
      </c>
      <c r="D93" s="112">
        <f>645-60</f>
        <v>585</v>
      </c>
      <c r="E93" s="112">
        <v>976</v>
      </c>
      <c r="F93" s="112" t="s">
        <v>111</v>
      </c>
      <c r="G93" s="112" t="s">
        <v>111</v>
      </c>
      <c r="H93" s="112">
        <v>550.20000000000005</v>
      </c>
      <c r="I93" s="112">
        <f>I126-3152</f>
        <v>783.19999999999982</v>
      </c>
      <c r="J93" s="113">
        <v>715.39200000000005</v>
      </c>
      <c r="K93" s="112">
        <v>845.5</v>
      </c>
      <c r="L93" s="112">
        <v>845.5</v>
      </c>
      <c r="M93" s="114">
        <v>431.99999999999989</v>
      </c>
      <c r="N93" s="110"/>
      <c r="O93" s="465"/>
    </row>
    <row r="94" spans="1:15" x14ac:dyDescent="0.35">
      <c r="A94" s="587"/>
      <c r="B94" s="20" t="s">
        <v>252</v>
      </c>
      <c r="C94" s="112">
        <v>1398.05</v>
      </c>
      <c r="D94" s="112">
        <f>C94-60</f>
        <v>1338.05</v>
      </c>
      <c r="E94" s="112" t="s">
        <v>111</v>
      </c>
      <c r="F94" s="112" t="s">
        <v>111</v>
      </c>
      <c r="G94" s="112" t="s">
        <v>111</v>
      </c>
      <c r="H94" s="112">
        <v>1612.1999999999998</v>
      </c>
      <c r="I94" s="112">
        <f>I127-4624</f>
        <v>2138.3999999999996</v>
      </c>
      <c r="J94" s="113" t="s">
        <v>111</v>
      </c>
      <c r="K94" s="112">
        <v>1989.75</v>
      </c>
      <c r="L94" s="112">
        <f>K94*0.85</f>
        <v>1691.2874999999999</v>
      </c>
      <c r="M94" s="114">
        <v>1203.3599999999999</v>
      </c>
      <c r="N94" s="110"/>
      <c r="O94" s="465"/>
    </row>
    <row r="95" spans="1:15" x14ac:dyDescent="0.35">
      <c r="A95" s="587"/>
      <c r="B95" s="20" t="s">
        <v>253</v>
      </c>
      <c r="C95" s="112">
        <v>3652.75</v>
      </c>
      <c r="D95" s="470">
        <f>C95-60</f>
        <v>3592.75</v>
      </c>
      <c r="E95" s="112" t="s">
        <v>111</v>
      </c>
      <c r="F95" s="112">
        <f>2810/0.8</f>
        <v>3512.5</v>
      </c>
      <c r="G95" s="112">
        <f>2810*0.85</f>
        <v>2388.5</v>
      </c>
      <c r="H95" s="112" t="s">
        <v>111</v>
      </c>
      <c r="I95" s="112" t="s">
        <v>111</v>
      </c>
      <c r="J95" s="113" t="s">
        <v>111</v>
      </c>
      <c r="K95" s="112" t="s">
        <v>111</v>
      </c>
      <c r="L95" s="112" t="s">
        <v>111</v>
      </c>
      <c r="M95" s="115" t="s">
        <v>111</v>
      </c>
      <c r="N95" s="110"/>
      <c r="O95" s="465"/>
    </row>
    <row r="96" spans="1:15" ht="15" thickBot="1" x14ac:dyDescent="0.4">
      <c r="A96" s="612"/>
      <c r="B96" s="117" t="s">
        <v>254</v>
      </c>
      <c r="C96" s="118" t="s">
        <v>111</v>
      </c>
      <c r="D96" s="118" t="s">
        <v>111</v>
      </c>
      <c r="E96" s="118" t="s">
        <v>111</v>
      </c>
      <c r="F96" s="118" t="s">
        <v>111</v>
      </c>
      <c r="G96" s="118" t="s">
        <v>111</v>
      </c>
      <c r="H96" s="118" t="s">
        <v>111</v>
      </c>
      <c r="I96" s="118">
        <f>I129-4912</f>
        <v>4153.6000000000004</v>
      </c>
      <c r="J96" s="119" t="s">
        <v>111</v>
      </c>
      <c r="K96" s="118">
        <v>3995.65</v>
      </c>
      <c r="L96" s="118">
        <f>K96*0.85</f>
        <v>3396.3024999999998</v>
      </c>
      <c r="M96" s="120" t="s">
        <v>111</v>
      </c>
      <c r="N96" s="110"/>
      <c r="O96" s="465"/>
    </row>
    <row r="97" spans="1:15" x14ac:dyDescent="0.35">
      <c r="A97" s="611" t="s">
        <v>255</v>
      </c>
      <c r="B97" s="137" t="s">
        <v>239</v>
      </c>
      <c r="C97" s="107">
        <v>521.6</v>
      </c>
      <c r="D97" s="107">
        <f>521.6-60</f>
        <v>461.6</v>
      </c>
      <c r="E97" s="107">
        <v>904</v>
      </c>
      <c r="F97" s="107" t="s">
        <v>111</v>
      </c>
      <c r="G97" s="107" t="s">
        <v>111</v>
      </c>
      <c r="H97" s="107">
        <v>467.40000000000003</v>
      </c>
      <c r="I97" s="107">
        <f>I130-3248</f>
        <v>580.80000000000018</v>
      </c>
      <c r="J97" s="108">
        <v>567.45600000000002</v>
      </c>
      <c r="K97" s="107" t="s">
        <v>111</v>
      </c>
      <c r="L97" s="107" t="s">
        <v>111</v>
      </c>
      <c r="M97" s="109">
        <v>470.96000000000004</v>
      </c>
      <c r="N97" s="110"/>
      <c r="O97" s="465"/>
    </row>
    <row r="98" spans="1:15" x14ac:dyDescent="0.35">
      <c r="A98" s="587"/>
      <c r="B98" s="20" t="s">
        <v>240</v>
      </c>
      <c r="C98" s="112">
        <v>624.35</v>
      </c>
      <c r="D98" s="112">
        <f>624.35-60</f>
        <v>564.35</v>
      </c>
      <c r="E98" s="112" t="s">
        <v>111</v>
      </c>
      <c r="F98" s="112" t="s">
        <v>111</v>
      </c>
      <c r="G98" s="112" t="s">
        <v>111</v>
      </c>
      <c r="H98" s="112">
        <v>507.59999999999997</v>
      </c>
      <c r="I98" s="112">
        <f>I131-3568</f>
        <v>677.60000000000036</v>
      </c>
      <c r="J98" s="113">
        <v>643.26400000000012</v>
      </c>
      <c r="K98" s="112">
        <v>828.35</v>
      </c>
      <c r="L98" s="112">
        <v>828.35</v>
      </c>
      <c r="M98" s="114">
        <v>488.88</v>
      </c>
      <c r="N98" s="110"/>
      <c r="O98" s="465"/>
    </row>
    <row r="99" spans="1:15" x14ac:dyDescent="0.35">
      <c r="A99" s="587"/>
      <c r="B99" s="20" t="s">
        <v>256</v>
      </c>
      <c r="C99" s="112">
        <v>849.85</v>
      </c>
      <c r="D99" s="112">
        <f>849.85-60</f>
        <v>789.85</v>
      </c>
      <c r="E99" s="112">
        <v>1192</v>
      </c>
      <c r="F99" s="112" t="s">
        <v>111</v>
      </c>
      <c r="G99" s="112" t="s">
        <v>111</v>
      </c>
      <c r="H99" s="112">
        <v>696</v>
      </c>
      <c r="I99" s="112">
        <f>I132-3992</f>
        <v>915.19999999999982</v>
      </c>
      <c r="J99" s="113">
        <v>949.44</v>
      </c>
      <c r="K99" s="112">
        <v>1094.7</v>
      </c>
      <c r="L99" s="112">
        <v>1094.7</v>
      </c>
      <c r="M99" s="114">
        <v>567.3599999999999</v>
      </c>
      <c r="N99" s="110"/>
      <c r="O99" s="465"/>
    </row>
    <row r="100" spans="1:15" x14ac:dyDescent="0.35">
      <c r="A100" s="587"/>
      <c r="B100" s="20" t="s">
        <v>257</v>
      </c>
      <c r="C100" s="112">
        <v>1860.75</v>
      </c>
      <c r="D100" s="112">
        <f>1860.75-60</f>
        <v>1800.75</v>
      </c>
      <c r="E100" s="112" t="s">
        <v>111</v>
      </c>
      <c r="F100" s="112" t="s">
        <v>111</v>
      </c>
      <c r="G100" s="112" t="s">
        <v>111</v>
      </c>
      <c r="H100" s="112">
        <v>2064.6000000000004</v>
      </c>
      <c r="I100" s="112">
        <f>I133-6144</f>
        <v>2886.3999999999996</v>
      </c>
      <c r="J100" s="113">
        <v>2757.7919999999999</v>
      </c>
      <c r="K100" s="112">
        <v>2631.25</v>
      </c>
      <c r="L100" s="112">
        <f>K100*0.85</f>
        <v>2236.5625</v>
      </c>
      <c r="M100" s="114">
        <v>1667.04</v>
      </c>
      <c r="N100" s="110"/>
      <c r="O100" s="465"/>
    </row>
    <row r="101" spans="1:15" x14ac:dyDescent="0.35">
      <c r="A101" s="587"/>
      <c r="B101" s="20" t="s">
        <v>258</v>
      </c>
      <c r="C101" s="112">
        <v>4849.75</v>
      </c>
      <c r="D101" s="112">
        <f>4849.75-60</f>
        <v>4789.75</v>
      </c>
      <c r="E101" s="112" t="s">
        <v>111</v>
      </c>
      <c r="F101" s="112">
        <f>4024/0.8</f>
        <v>5030</v>
      </c>
      <c r="G101" s="112">
        <f>4024*0.85</f>
        <v>3420.4</v>
      </c>
      <c r="H101" s="112" t="s">
        <v>111</v>
      </c>
      <c r="I101" s="112" t="s">
        <v>111</v>
      </c>
      <c r="J101" s="113" t="s">
        <v>111</v>
      </c>
      <c r="K101" s="112" t="s">
        <v>111</v>
      </c>
      <c r="L101" s="112" t="s">
        <v>111</v>
      </c>
      <c r="M101" s="115" t="s">
        <v>111</v>
      </c>
      <c r="N101" s="110"/>
      <c r="O101" s="465"/>
    </row>
    <row r="102" spans="1:15" ht="15" thickBot="1" x14ac:dyDescent="0.4">
      <c r="A102" s="612"/>
      <c r="B102" s="117" t="s">
        <v>259</v>
      </c>
      <c r="C102" s="118" t="s">
        <v>111</v>
      </c>
      <c r="D102" s="118" t="s">
        <v>111</v>
      </c>
      <c r="E102" s="118" t="s">
        <v>111</v>
      </c>
      <c r="F102" s="118" t="s">
        <v>111</v>
      </c>
      <c r="G102" s="118" t="s">
        <v>111</v>
      </c>
      <c r="H102" s="118" t="s">
        <v>111</v>
      </c>
      <c r="I102" s="118">
        <f>I135-7624</f>
        <v>5350.4</v>
      </c>
      <c r="J102" s="119" t="s">
        <v>111</v>
      </c>
      <c r="K102" s="118">
        <v>5623.6</v>
      </c>
      <c r="L102" s="118">
        <f>K102*0.85</f>
        <v>4780.0600000000004</v>
      </c>
      <c r="M102" s="120" t="s">
        <v>111</v>
      </c>
      <c r="N102" s="110"/>
      <c r="O102" s="465"/>
    </row>
    <row r="103" spans="1:15" x14ac:dyDescent="0.35">
      <c r="A103" s="620" t="s">
        <v>260</v>
      </c>
      <c r="B103" s="138" t="s">
        <v>239</v>
      </c>
      <c r="C103" s="142">
        <v>786.1</v>
      </c>
      <c r="D103" s="142">
        <f>786.1-60</f>
        <v>726.1</v>
      </c>
      <c r="E103" s="142">
        <v>1160</v>
      </c>
      <c r="F103" s="142" t="s">
        <v>111</v>
      </c>
      <c r="G103" s="142" t="s">
        <v>111</v>
      </c>
      <c r="H103" s="142">
        <v>696</v>
      </c>
      <c r="I103" s="142">
        <f>I136-4296</f>
        <v>844.80000000000018</v>
      </c>
      <c r="J103" s="143">
        <v>886.14400000000012</v>
      </c>
      <c r="K103" s="142" t="s">
        <v>111</v>
      </c>
      <c r="L103" s="142" t="s">
        <v>111</v>
      </c>
      <c r="M103" s="382">
        <v>751.52</v>
      </c>
      <c r="N103" s="110"/>
      <c r="O103" s="465"/>
    </row>
    <row r="104" spans="1:15" x14ac:dyDescent="0.35">
      <c r="A104" s="587"/>
      <c r="B104" s="20" t="s">
        <v>240</v>
      </c>
      <c r="C104" s="112">
        <v>951.1</v>
      </c>
      <c r="D104" s="112">
        <f>951.1-60</f>
        <v>891.1</v>
      </c>
      <c r="E104" s="112" t="s">
        <v>111</v>
      </c>
      <c r="F104" s="112" t="s">
        <v>111</v>
      </c>
      <c r="G104" s="112" t="s">
        <v>111</v>
      </c>
      <c r="H104" s="112">
        <v>749.40000000000009</v>
      </c>
      <c r="I104" s="112">
        <f>I137-4472</f>
        <v>1012</v>
      </c>
      <c r="J104" s="113">
        <v>950.5440000000001</v>
      </c>
      <c r="K104" s="112">
        <v>1210.2</v>
      </c>
      <c r="L104" s="112">
        <f>K104*0.7</f>
        <v>847.14</v>
      </c>
      <c r="M104" s="114">
        <v>794.08</v>
      </c>
      <c r="N104" s="110"/>
      <c r="O104" s="465"/>
    </row>
    <row r="105" spans="1:15" x14ac:dyDescent="0.35">
      <c r="A105" s="587"/>
      <c r="B105" s="20" t="s">
        <v>261</v>
      </c>
      <c r="C105" s="112">
        <v>1075.3</v>
      </c>
      <c r="D105" s="112">
        <f>1075.3-60</f>
        <v>1015.3</v>
      </c>
      <c r="E105" s="112">
        <v>1448</v>
      </c>
      <c r="F105" s="112" t="s">
        <v>111</v>
      </c>
      <c r="G105" s="112" t="s">
        <v>111</v>
      </c>
      <c r="H105" s="112">
        <v>900.59999999999991</v>
      </c>
      <c r="I105" s="112">
        <f>I138-4672</f>
        <v>1214.3999999999996</v>
      </c>
      <c r="J105" s="113">
        <v>1095.9040000000002</v>
      </c>
      <c r="K105" s="112">
        <v>1345.25</v>
      </c>
      <c r="L105" s="112">
        <f t="shared" ref="L105:L106" si="1">K105*0.7</f>
        <v>941.67499999999995</v>
      </c>
      <c r="M105" s="114">
        <v>766.56</v>
      </c>
      <c r="N105" s="110"/>
      <c r="O105" s="465"/>
    </row>
    <row r="106" spans="1:15" x14ac:dyDescent="0.35">
      <c r="A106" s="587"/>
      <c r="B106" s="20" t="s">
        <v>262</v>
      </c>
      <c r="C106" s="112">
        <v>2489</v>
      </c>
      <c r="D106" s="112">
        <f>2489-60</f>
        <v>2429</v>
      </c>
      <c r="E106" s="112" t="s">
        <v>111</v>
      </c>
      <c r="F106" s="112" t="s">
        <v>111</v>
      </c>
      <c r="G106" s="112" t="s">
        <v>111</v>
      </c>
      <c r="H106" s="112">
        <v>2655.6000000000004</v>
      </c>
      <c r="I106" s="112">
        <f>I139-7136</f>
        <v>3458.3999999999996</v>
      </c>
      <c r="J106" s="113">
        <v>3989.1200000000003</v>
      </c>
      <c r="K106" s="112">
        <v>3319.85</v>
      </c>
      <c r="L106" s="112">
        <f t="shared" si="1"/>
        <v>2323.895</v>
      </c>
      <c r="M106" s="114">
        <v>2301.12</v>
      </c>
      <c r="N106" s="110"/>
      <c r="O106" s="465"/>
    </row>
    <row r="107" spans="1:15" x14ac:dyDescent="0.35">
      <c r="A107" s="587"/>
      <c r="B107" s="20" t="s">
        <v>263</v>
      </c>
      <c r="C107" s="112">
        <v>6316.3</v>
      </c>
      <c r="D107" s="112">
        <f>6316.3-60</f>
        <v>6256.3</v>
      </c>
      <c r="E107" s="112" t="s">
        <v>111</v>
      </c>
      <c r="F107" s="112">
        <f>5406/0.8</f>
        <v>6757.5</v>
      </c>
      <c r="G107" s="112">
        <f>5406*0.85</f>
        <v>4595.0999999999995</v>
      </c>
      <c r="H107" s="112" t="s">
        <v>111</v>
      </c>
      <c r="I107" s="112" t="s">
        <v>111</v>
      </c>
      <c r="J107" s="113" t="s">
        <v>111</v>
      </c>
      <c r="K107" s="112" t="s">
        <v>111</v>
      </c>
      <c r="L107" s="112" t="s">
        <v>111</v>
      </c>
      <c r="M107" s="115" t="s">
        <v>111</v>
      </c>
      <c r="N107" s="110"/>
      <c r="O107" s="465"/>
    </row>
    <row r="108" spans="1:15" ht="17.25" customHeight="1" thickBot="1" x14ac:dyDescent="0.4">
      <c r="A108" s="612"/>
      <c r="B108" s="117" t="s">
        <v>264</v>
      </c>
      <c r="C108" s="118" t="s">
        <v>111</v>
      </c>
      <c r="D108" s="118" t="s">
        <v>111</v>
      </c>
      <c r="E108" s="118" t="s">
        <v>111</v>
      </c>
      <c r="F108" s="118" t="s">
        <v>111</v>
      </c>
      <c r="G108" s="118" t="s">
        <v>111</v>
      </c>
      <c r="H108" s="118" t="s">
        <v>111</v>
      </c>
      <c r="I108" s="118">
        <f>I141-9024</f>
        <v>6916.7999999999993</v>
      </c>
      <c r="J108" s="119" t="s">
        <v>111</v>
      </c>
      <c r="K108" s="118">
        <v>7956.4</v>
      </c>
      <c r="L108" s="118">
        <f>K108*0.7</f>
        <v>5569.48</v>
      </c>
      <c r="M108" s="120" t="s">
        <v>111</v>
      </c>
      <c r="N108" s="110"/>
      <c r="O108" s="465"/>
    </row>
    <row r="109" spans="1:15" ht="32.5" customHeight="1" x14ac:dyDescent="0.35">
      <c r="A109" s="608" t="s">
        <v>221</v>
      </c>
      <c r="B109" s="618"/>
      <c r="C109" s="339" t="s">
        <v>310</v>
      </c>
      <c r="D109" s="339" t="s">
        <v>310</v>
      </c>
      <c r="E109" s="340" t="s">
        <v>267</v>
      </c>
      <c r="F109" s="340" t="s">
        <v>111</v>
      </c>
      <c r="G109" s="340" t="s">
        <v>111</v>
      </c>
      <c r="H109" s="340" t="s">
        <v>265</v>
      </c>
      <c r="I109" s="340" t="s">
        <v>268</v>
      </c>
      <c r="J109" s="339" t="s">
        <v>265</v>
      </c>
      <c r="K109" s="339" t="s">
        <v>269</v>
      </c>
      <c r="L109" s="339" t="s">
        <v>269</v>
      </c>
      <c r="M109" s="351" t="s">
        <v>266</v>
      </c>
      <c r="N109" s="110"/>
      <c r="O109" s="465"/>
    </row>
    <row r="110" spans="1:15" ht="33" customHeight="1" x14ac:dyDescent="0.35">
      <c r="A110" s="588"/>
      <c r="B110" s="619"/>
      <c r="C110" s="276" t="s">
        <v>154</v>
      </c>
      <c r="D110" s="276" t="s">
        <v>154</v>
      </c>
      <c r="E110" s="276" t="s">
        <v>222</v>
      </c>
      <c r="F110" s="276" t="s">
        <v>111</v>
      </c>
      <c r="G110" s="276" t="s">
        <v>111</v>
      </c>
      <c r="H110" s="276" t="s">
        <v>223</v>
      </c>
      <c r="I110" s="349" t="s">
        <v>224</v>
      </c>
      <c r="J110" s="276" t="s">
        <v>225</v>
      </c>
      <c r="K110" s="276" t="s">
        <v>111</v>
      </c>
      <c r="L110" s="276" t="s">
        <v>380</v>
      </c>
      <c r="M110" s="350" t="s">
        <v>226</v>
      </c>
      <c r="N110" s="110"/>
      <c r="O110" s="465"/>
    </row>
    <row r="111" spans="1:15" ht="15" thickBot="1" x14ac:dyDescent="0.4">
      <c r="A111" s="153" t="s">
        <v>176</v>
      </c>
      <c r="B111" s="154" t="s">
        <v>140</v>
      </c>
      <c r="C111" s="383" t="s">
        <v>141</v>
      </c>
      <c r="D111" s="383" t="s">
        <v>141</v>
      </c>
      <c r="E111" s="384" t="s">
        <v>142</v>
      </c>
      <c r="F111" s="384" t="s">
        <v>111</v>
      </c>
      <c r="G111" s="384" t="s">
        <v>111</v>
      </c>
      <c r="H111" s="384" t="s">
        <v>141</v>
      </c>
      <c r="I111" s="383" t="s">
        <v>141</v>
      </c>
      <c r="J111" s="383" t="s">
        <v>142</v>
      </c>
      <c r="K111" s="383" t="s">
        <v>142</v>
      </c>
      <c r="L111" s="383" t="s">
        <v>142</v>
      </c>
      <c r="M111" s="385" t="s">
        <v>141</v>
      </c>
      <c r="N111" s="110"/>
      <c r="O111" s="465"/>
    </row>
    <row r="112" spans="1:15" ht="14.4" customHeight="1" x14ac:dyDescent="0.35">
      <c r="A112" s="616" t="s">
        <v>238</v>
      </c>
      <c r="B112" s="137" t="s">
        <v>239</v>
      </c>
      <c r="C112" s="107" t="s">
        <v>111</v>
      </c>
      <c r="D112" s="107" t="s">
        <v>111</v>
      </c>
      <c r="E112" s="107">
        <v>1112</v>
      </c>
      <c r="F112" s="107" t="s">
        <v>111</v>
      </c>
      <c r="G112" s="107" t="s">
        <v>111</v>
      </c>
      <c r="H112" s="107">
        <v>676.8</v>
      </c>
      <c r="I112" s="107">
        <v>1400.8</v>
      </c>
      <c r="J112" s="108">
        <v>864.06400000000008</v>
      </c>
      <c r="K112" s="107" t="s">
        <v>111</v>
      </c>
      <c r="L112" s="390" t="s">
        <v>111</v>
      </c>
      <c r="M112" s="387">
        <v>694.4</v>
      </c>
      <c r="N112" s="110"/>
      <c r="O112" s="465"/>
    </row>
    <row r="113" spans="1:15" x14ac:dyDescent="0.35">
      <c r="A113" s="585"/>
      <c r="B113" s="20" t="s">
        <v>240</v>
      </c>
      <c r="C113" s="112">
        <v>933.95</v>
      </c>
      <c r="D113" s="112">
        <f>933.95-60</f>
        <v>873.95</v>
      </c>
      <c r="E113" s="112" t="s">
        <v>111</v>
      </c>
      <c r="F113" s="112" t="s">
        <v>111</v>
      </c>
      <c r="G113" s="112" t="s">
        <v>111</v>
      </c>
      <c r="H113" s="112">
        <v>780.59999999999991</v>
      </c>
      <c r="I113" s="112">
        <v>1433.6</v>
      </c>
      <c r="J113" s="113">
        <v>934.72</v>
      </c>
      <c r="K113" s="112" t="s">
        <v>111</v>
      </c>
      <c r="L113" s="343" t="s">
        <v>111</v>
      </c>
      <c r="M113" s="115">
        <v>694.4</v>
      </c>
      <c r="N113" s="110"/>
      <c r="O113" s="465"/>
    </row>
    <row r="114" spans="1:15" x14ac:dyDescent="0.35">
      <c r="A114" s="585"/>
      <c r="B114" s="20" t="s">
        <v>241</v>
      </c>
      <c r="C114" s="112">
        <v>1672</v>
      </c>
      <c r="D114" s="112">
        <f>1672-60</f>
        <v>1612</v>
      </c>
      <c r="E114" s="112">
        <v>2456</v>
      </c>
      <c r="F114" s="112" t="s">
        <v>111</v>
      </c>
      <c r="G114" s="112" t="s">
        <v>111</v>
      </c>
      <c r="H114" s="112">
        <v>1591.8000000000002</v>
      </c>
      <c r="I114" s="112">
        <v>2700.8</v>
      </c>
      <c r="J114" s="113">
        <v>2012.96</v>
      </c>
      <c r="K114" s="112" t="s">
        <v>111</v>
      </c>
      <c r="L114" s="343" t="s">
        <v>111</v>
      </c>
      <c r="M114" s="115">
        <v>1047.8400000000001</v>
      </c>
      <c r="N114" s="110"/>
      <c r="O114" s="465"/>
    </row>
    <row r="115" spans="1:15" x14ac:dyDescent="0.35">
      <c r="A115" s="585"/>
      <c r="B115" s="20" t="s">
        <v>242</v>
      </c>
      <c r="C115" s="112">
        <v>2497.6</v>
      </c>
      <c r="D115" s="112">
        <f>C115-60</f>
        <v>2437.6</v>
      </c>
      <c r="E115" s="112" t="s">
        <v>111</v>
      </c>
      <c r="F115" s="112" t="s">
        <v>111</v>
      </c>
      <c r="G115" s="112" t="s">
        <v>111</v>
      </c>
      <c r="H115" s="112">
        <v>2743.2</v>
      </c>
      <c r="I115" s="112">
        <v>4677.6000000000004</v>
      </c>
      <c r="J115" s="113" t="s">
        <v>111</v>
      </c>
      <c r="K115" s="112" t="s">
        <v>111</v>
      </c>
      <c r="L115" s="343" t="s">
        <v>111</v>
      </c>
      <c r="M115" s="115">
        <v>1860</v>
      </c>
      <c r="N115" s="110"/>
      <c r="O115" s="465"/>
    </row>
    <row r="116" spans="1:15" x14ac:dyDescent="0.35">
      <c r="A116" s="585"/>
      <c r="B116" s="20" t="s">
        <v>243</v>
      </c>
      <c r="C116" s="112">
        <v>4159</v>
      </c>
      <c r="D116" s="112">
        <f>C116-60</f>
        <v>4099</v>
      </c>
      <c r="E116" s="112" t="s">
        <v>111</v>
      </c>
      <c r="F116" s="112" t="s">
        <v>111</v>
      </c>
      <c r="G116" s="112" t="s">
        <v>111</v>
      </c>
      <c r="H116" s="112" t="s">
        <v>111</v>
      </c>
      <c r="I116" s="112" t="s">
        <v>111</v>
      </c>
      <c r="J116" s="113" t="s">
        <v>111</v>
      </c>
      <c r="K116" s="112" t="s">
        <v>111</v>
      </c>
      <c r="L116" s="343" t="s">
        <v>111</v>
      </c>
      <c r="M116" s="115" t="s">
        <v>111</v>
      </c>
      <c r="N116" s="110"/>
      <c r="O116" s="465"/>
    </row>
    <row r="117" spans="1:15" ht="15" thickBot="1" x14ac:dyDescent="0.4">
      <c r="A117" s="586"/>
      <c r="B117" s="117" t="s">
        <v>244</v>
      </c>
      <c r="C117" s="118" t="s">
        <v>111</v>
      </c>
      <c r="D117" s="118" t="s">
        <v>111</v>
      </c>
      <c r="E117" s="118" t="s">
        <v>111</v>
      </c>
      <c r="F117" s="118" t="s">
        <v>111</v>
      </c>
      <c r="G117" s="118" t="s">
        <v>111</v>
      </c>
      <c r="H117" s="118" t="s">
        <v>111</v>
      </c>
      <c r="I117" s="118">
        <v>6086.4</v>
      </c>
      <c r="J117" s="119" t="s">
        <v>111</v>
      </c>
      <c r="K117" s="118" t="s">
        <v>111</v>
      </c>
      <c r="L117" s="391" t="s">
        <v>111</v>
      </c>
      <c r="M117" s="120" t="s">
        <v>111</v>
      </c>
      <c r="N117" s="110"/>
      <c r="O117" s="465"/>
    </row>
    <row r="118" spans="1:15" x14ac:dyDescent="0.35">
      <c r="A118" s="616" t="s">
        <v>245</v>
      </c>
      <c r="B118" s="137" t="s">
        <v>239</v>
      </c>
      <c r="C118" s="107">
        <v>1093</v>
      </c>
      <c r="D118" s="107">
        <f>1093-60</f>
        <v>1033</v>
      </c>
      <c r="E118" s="107">
        <v>1736</v>
      </c>
      <c r="F118" s="107" t="s">
        <v>111</v>
      </c>
      <c r="G118" s="107" t="s">
        <v>111</v>
      </c>
      <c r="H118" s="107">
        <v>998.40000000000009</v>
      </c>
      <c r="I118" s="107">
        <v>1731.2</v>
      </c>
      <c r="J118" s="108">
        <v>1304.9280000000001</v>
      </c>
      <c r="K118" s="107" t="s">
        <v>111</v>
      </c>
      <c r="L118" s="390" t="s">
        <v>111</v>
      </c>
      <c r="M118" s="387">
        <v>937.44</v>
      </c>
      <c r="N118" s="110"/>
      <c r="O118" s="465"/>
    </row>
    <row r="119" spans="1:15" x14ac:dyDescent="0.35">
      <c r="A119" s="585"/>
      <c r="B119" s="20" t="s">
        <v>240</v>
      </c>
      <c r="C119" s="112">
        <v>1527.15</v>
      </c>
      <c r="D119" s="112">
        <f>1527.15-60</f>
        <v>1467.15</v>
      </c>
      <c r="E119" s="112" t="s">
        <v>111</v>
      </c>
      <c r="F119" s="112" t="s">
        <v>111</v>
      </c>
      <c r="G119" s="112" t="s">
        <v>111</v>
      </c>
      <c r="H119" s="112">
        <v>1153.1999999999998</v>
      </c>
      <c r="I119" s="112">
        <v>1996.8</v>
      </c>
      <c r="J119" s="113">
        <v>1365.28</v>
      </c>
      <c r="K119" s="112" t="s">
        <v>111</v>
      </c>
      <c r="L119" s="343" t="s">
        <v>111</v>
      </c>
      <c r="M119" s="115">
        <v>994</v>
      </c>
      <c r="N119" s="110"/>
      <c r="O119" s="465"/>
    </row>
    <row r="120" spans="1:15" x14ac:dyDescent="0.35">
      <c r="A120" s="585"/>
      <c r="B120" s="20" t="s">
        <v>246</v>
      </c>
      <c r="C120" s="112">
        <v>2254.6</v>
      </c>
      <c r="D120" s="112">
        <f>2254.6-60</f>
        <v>2194.6</v>
      </c>
      <c r="E120" s="112">
        <v>3272</v>
      </c>
      <c r="F120" s="112" t="s">
        <v>111</v>
      </c>
      <c r="G120" s="112" t="s">
        <v>111</v>
      </c>
      <c r="H120" s="112">
        <v>1985.3999999999999</v>
      </c>
      <c r="I120" s="112">
        <v>3116</v>
      </c>
      <c r="J120" s="113">
        <v>2252.8960000000002</v>
      </c>
      <c r="K120" s="112" t="s">
        <v>111</v>
      </c>
      <c r="L120" s="343" t="s">
        <v>111</v>
      </c>
      <c r="M120" s="115">
        <v>1382.88</v>
      </c>
      <c r="N120" s="110"/>
      <c r="O120" s="465"/>
    </row>
    <row r="121" spans="1:15" x14ac:dyDescent="0.35">
      <c r="A121" s="585"/>
      <c r="B121" s="20" t="s">
        <v>247</v>
      </c>
      <c r="C121" s="112">
        <v>3190.2</v>
      </c>
      <c r="D121" s="112">
        <f>C121-60</f>
        <v>3130.2</v>
      </c>
      <c r="E121" s="112" t="s">
        <v>111</v>
      </c>
      <c r="F121" s="112" t="s">
        <v>111</v>
      </c>
      <c r="G121" s="112" t="s">
        <v>111</v>
      </c>
      <c r="H121" s="112">
        <v>3456.6000000000004</v>
      </c>
      <c r="I121" s="112">
        <v>5941.6</v>
      </c>
      <c r="J121" s="113" t="s">
        <v>111</v>
      </c>
      <c r="K121" s="112" t="s">
        <v>111</v>
      </c>
      <c r="L121" s="343" t="s">
        <v>111</v>
      </c>
      <c r="M121" s="115">
        <v>2456.16</v>
      </c>
      <c r="N121" s="110"/>
      <c r="O121" s="465"/>
    </row>
    <row r="122" spans="1:15" x14ac:dyDescent="0.35">
      <c r="A122" s="585"/>
      <c r="B122" s="20" t="s">
        <v>248</v>
      </c>
      <c r="C122" s="112">
        <v>5346.75</v>
      </c>
      <c r="D122" s="112">
        <f>C122-60</f>
        <v>5286.75</v>
      </c>
      <c r="E122" s="112" t="s">
        <v>111</v>
      </c>
      <c r="F122" s="112" t="s">
        <v>111</v>
      </c>
      <c r="G122" s="112" t="s">
        <v>111</v>
      </c>
      <c r="H122" s="112" t="s">
        <v>111</v>
      </c>
      <c r="I122" s="112" t="s">
        <v>111</v>
      </c>
      <c r="J122" s="113" t="s">
        <v>111</v>
      </c>
      <c r="K122" s="112" t="s">
        <v>111</v>
      </c>
      <c r="L122" s="343" t="s">
        <v>111</v>
      </c>
      <c r="M122" s="115" t="s">
        <v>111</v>
      </c>
      <c r="N122" s="110"/>
      <c r="O122" s="465"/>
    </row>
    <row r="123" spans="1:15" ht="15" thickBot="1" x14ac:dyDescent="0.4">
      <c r="A123" s="586"/>
      <c r="B123" s="117" t="s">
        <v>249</v>
      </c>
      <c r="C123" s="118" t="s">
        <v>111</v>
      </c>
      <c r="D123" s="118" t="s">
        <v>111</v>
      </c>
      <c r="E123" s="118" t="s">
        <v>111</v>
      </c>
      <c r="F123" s="118" t="s">
        <v>111</v>
      </c>
      <c r="G123" s="118" t="s">
        <v>111</v>
      </c>
      <c r="H123" s="118" t="s">
        <v>111</v>
      </c>
      <c r="I123" s="118">
        <v>7862.4</v>
      </c>
      <c r="J123" s="119" t="s">
        <v>111</v>
      </c>
      <c r="K123" s="118" t="s">
        <v>111</v>
      </c>
      <c r="L123" s="391" t="s">
        <v>111</v>
      </c>
      <c r="M123" s="120" t="s">
        <v>111</v>
      </c>
      <c r="N123" s="110"/>
      <c r="O123" s="465"/>
    </row>
    <row r="124" spans="1:15" x14ac:dyDescent="0.35">
      <c r="A124" s="616" t="s">
        <v>250</v>
      </c>
      <c r="B124" s="137" t="s">
        <v>239</v>
      </c>
      <c r="C124" s="107">
        <v>1868.5</v>
      </c>
      <c r="D124" s="107">
        <f>1868.5-60</f>
        <v>1808.5</v>
      </c>
      <c r="E124" s="107">
        <v>2952</v>
      </c>
      <c r="F124" s="107" t="s">
        <v>111</v>
      </c>
      <c r="G124" s="107" t="s">
        <v>111</v>
      </c>
      <c r="H124" s="107">
        <v>1536</v>
      </c>
      <c r="I124" s="107">
        <v>2614.4</v>
      </c>
      <c r="J124" s="108">
        <v>1986.4639999999999</v>
      </c>
      <c r="K124" s="107" t="s">
        <v>111</v>
      </c>
      <c r="L124" s="390" t="s">
        <v>111</v>
      </c>
      <c r="M124" s="387">
        <v>1494.0800000000002</v>
      </c>
      <c r="N124" s="110"/>
      <c r="O124" s="465"/>
    </row>
    <row r="125" spans="1:15" x14ac:dyDescent="0.35">
      <c r="A125" s="585"/>
      <c r="B125" s="20" t="s">
        <v>240</v>
      </c>
      <c r="C125" s="112">
        <v>2438.15</v>
      </c>
      <c r="D125" s="112">
        <f>2438.15-60</f>
        <v>2378.15</v>
      </c>
      <c r="E125" s="112" t="s">
        <v>111</v>
      </c>
      <c r="F125" s="112" t="s">
        <v>111</v>
      </c>
      <c r="G125" s="112" t="s">
        <v>111</v>
      </c>
      <c r="H125" s="112">
        <v>1843.8000000000002</v>
      </c>
      <c r="I125" s="112">
        <v>3033.6</v>
      </c>
      <c r="J125" s="113">
        <v>2067.424</v>
      </c>
      <c r="K125" s="112" t="s">
        <v>111</v>
      </c>
      <c r="L125" s="343" t="s">
        <v>111</v>
      </c>
      <c r="M125" s="115">
        <v>1574.72</v>
      </c>
      <c r="N125" s="110"/>
      <c r="O125" s="465"/>
    </row>
    <row r="126" spans="1:15" x14ac:dyDescent="0.35">
      <c r="A126" s="585"/>
      <c r="B126" s="20" t="s">
        <v>251</v>
      </c>
      <c r="C126" s="112">
        <v>3095.7</v>
      </c>
      <c r="D126" s="112">
        <f>3095.7-60</f>
        <v>3035.7</v>
      </c>
      <c r="E126" s="112">
        <v>4408</v>
      </c>
      <c r="F126" s="112" t="s">
        <v>111</v>
      </c>
      <c r="G126" s="112" t="s">
        <v>111</v>
      </c>
      <c r="H126" s="112">
        <v>2495.3999999999996</v>
      </c>
      <c r="I126" s="112">
        <v>3935.2</v>
      </c>
      <c r="J126" s="113">
        <v>2959.4560000000001</v>
      </c>
      <c r="K126" s="112" t="s">
        <v>111</v>
      </c>
      <c r="L126" s="343" t="s">
        <v>111</v>
      </c>
      <c r="M126" s="115">
        <v>1766.88</v>
      </c>
      <c r="N126" s="110"/>
      <c r="O126" s="465"/>
    </row>
    <row r="127" spans="1:15" x14ac:dyDescent="0.35">
      <c r="A127" s="585"/>
      <c r="B127" s="20" t="s">
        <v>252</v>
      </c>
      <c r="C127" s="112">
        <v>4255.75</v>
      </c>
      <c r="D127" s="112">
        <f>C127-60</f>
        <v>4195.75</v>
      </c>
      <c r="E127" s="112" t="s">
        <v>111</v>
      </c>
      <c r="F127" s="112" t="s">
        <v>111</v>
      </c>
      <c r="G127" s="112" t="s">
        <v>111</v>
      </c>
      <c r="H127" s="112">
        <v>4327.2000000000007</v>
      </c>
      <c r="I127" s="112">
        <v>6762.4</v>
      </c>
      <c r="J127" s="113" t="s">
        <v>111</v>
      </c>
      <c r="K127" s="112" t="s">
        <v>111</v>
      </c>
      <c r="L127" s="343" t="s">
        <v>111</v>
      </c>
      <c r="M127" s="115">
        <v>3156.96</v>
      </c>
      <c r="N127" s="110"/>
      <c r="O127" s="465"/>
    </row>
    <row r="128" spans="1:15" x14ac:dyDescent="0.35">
      <c r="A128" s="585"/>
      <c r="B128" s="20" t="s">
        <v>253</v>
      </c>
      <c r="C128" s="112">
        <v>6873.1</v>
      </c>
      <c r="D128" s="112">
        <f>C128-60</f>
        <v>6813.1</v>
      </c>
      <c r="E128" s="112" t="s">
        <v>111</v>
      </c>
      <c r="F128" s="112" t="s">
        <v>111</v>
      </c>
      <c r="G128" s="112" t="s">
        <v>111</v>
      </c>
      <c r="H128" s="112" t="s">
        <v>111</v>
      </c>
      <c r="I128" s="112" t="s">
        <v>111</v>
      </c>
      <c r="J128" s="113" t="s">
        <v>111</v>
      </c>
      <c r="K128" s="112" t="s">
        <v>111</v>
      </c>
      <c r="L128" s="343" t="s">
        <v>111</v>
      </c>
      <c r="M128" s="115" t="s">
        <v>111</v>
      </c>
      <c r="N128" s="110"/>
      <c r="O128" s="465"/>
    </row>
    <row r="129" spans="1:15" ht="15" thickBot="1" x14ac:dyDescent="0.4">
      <c r="A129" s="586"/>
      <c r="B129" s="117" t="s">
        <v>254</v>
      </c>
      <c r="C129" s="118" t="s">
        <v>111</v>
      </c>
      <c r="D129" s="118" t="s">
        <v>111</v>
      </c>
      <c r="E129" s="118" t="s">
        <v>111</v>
      </c>
      <c r="F129" s="118" t="s">
        <v>111</v>
      </c>
      <c r="G129" s="118" t="s">
        <v>111</v>
      </c>
      <c r="H129" s="118" t="s">
        <v>111</v>
      </c>
      <c r="I129" s="118">
        <v>9065.6</v>
      </c>
      <c r="J129" s="119" t="s">
        <v>111</v>
      </c>
      <c r="K129" s="118" t="s">
        <v>111</v>
      </c>
      <c r="L129" s="391" t="s">
        <v>111</v>
      </c>
      <c r="M129" s="120" t="s">
        <v>111</v>
      </c>
      <c r="N129" s="110"/>
      <c r="O129" s="465"/>
    </row>
    <row r="130" spans="1:15" x14ac:dyDescent="0.35">
      <c r="A130" s="616" t="s">
        <v>255</v>
      </c>
      <c r="B130" s="137" t="s">
        <v>239</v>
      </c>
      <c r="C130" s="107">
        <v>2881.65</v>
      </c>
      <c r="D130" s="107">
        <f>2881.65-60</f>
        <v>2821.65</v>
      </c>
      <c r="E130" s="107">
        <v>4576</v>
      </c>
      <c r="F130" s="107" t="s">
        <v>111</v>
      </c>
      <c r="G130" s="107" t="s">
        <v>111</v>
      </c>
      <c r="H130" s="107">
        <v>2471.3999999999996</v>
      </c>
      <c r="I130" s="107">
        <v>3828.8</v>
      </c>
      <c r="J130" s="108">
        <v>2879.232</v>
      </c>
      <c r="K130" s="107" t="s">
        <v>111</v>
      </c>
      <c r="L130" s="390" t="s">
        <v>111</v>
      </c>
      <c r="M130" s="387">
        <v>2050.1600000000003</v>
      </c>
      <c r="N130" s="110"/>
      <c r="O130" s="465"/>
    </row>
    <row r="131" spans="1:15" x14ac:dyDescent="0.35">
      <c r="A131" s="585"/>
      <c r="B131" s="20" t="s">
        <v>240</v>
      </c>
      <c r="C131" s="112">
        <v>3623.75</v>
      </c>
      <c r="D131" s="112">
        <f>3623.75-60</f>
        <v>3563.75</v>
      </c>
      <c r="E131" s="112" t="s">
        <v>111</v>
      </c>
      <c r="F131" s="112" t="s">
        <v>111</v>
      </c>
      <c r="G131" s="112" t="s">
        <v>111</v>
      </c>
      <c r="H131" s="112">
        <v>2604</v>
      </c>
      <c r="I131" s="112">
        <v>4245.6000000000004</v>
      </c>
      <c r="J131" s="113">
        <v>2968.288</v>
      </c>
      <c r="K131" s="112" t="s">
        <v>111</v>
      </c>
      <c r="L131" s="343" t="s">
        <v>111</v>
      </c>
      <c r="M131" s="115">
        <v>2112.88</v>
      </c>
      <c r="N131" s="110"/>
      <c r="O131" s="465"/>
    </row>
    <row r="132" spans="1:15" x14ac:dyDescent="0.35">
      <c r="A132" s="585"/>
      <c r="B132" s="20" t="s">
        <v>256</v>
      </c>
      <c r="C132" s="112">
        <v>4026.75</v>
      </c>
      <c r="D132" s="112">
        <f>4026.75-60</f>
        <v>3966.75</v>
      </c>
      <c r="E132" s="112">
        <v>5376</v>
      </c>
      <c r="F132" s="112" t="s">
        <v>111</v>
      </c>
      <c r="G132" s="112" t="s">
        <v>111</v>
      </c>
      <c r="H132" s="112">
        <v>3066</v>
      </c>
      <c r="I132" s="112">
        <v>4907.2</v>
      </c>
      <c r="J132" s="113">
        <v>3763.1680000000001</v>
      </c>
      <c r="K132" s="112" t="s">
        <v>111</v>
      </c>
      <c r="L132" s="343" t="s">
        <v>111</v>
      </c>
      <c r="M132" s="115">
        <v>2266.5599999999995</v>
      </c>
      <c r="N132" s="110"/>
      <c r="O132" s="465"/>
    </row>
    <row r="133" spans="1:15" x14ac:dyDescent="0.35">
      <c r="A133" s="585"/>
      <c r="B133" s="20" t="s">
        <v>257</v>
      </c>
      <c r="C133" s="112">
        <v>5589.65</v>
      </c>
      <c r="D133" s="112">
        <f>5589.65-60</f>
        <v>5529.65</v>
      </c>
      <c r="E133" s="112" t="s">
        <v>111</v>
      </c>
      <c r="F133" s="112" t="s">
        <v>111</v>
      </c>
      <c r="G133" s="112" t="s">
        <v>111</v>
      </c>
      <c r="H133" s="112">
        <v>5370.6</v>
      </c>
      <c r="I133" s="112">
        <v>9030.4</v>
      </c>
      <c r="J133" s="113">
        <v>7120.0640000000003</v>
      </c>
      <c r="K133" s="112" t="s">
        <v>111</v>
      </c>
      <c r="L133" s="343" t="s">
        <v>111</v>
      </c>
      <c r="M133" s="115">
        <v>4071.84</v>
      </c>
      <c r="N133" s="110"/>
      <c r="O133" s="465"/>
    </row>
    <row r="134" spans="1:15" x14ac:dyDescent="0.35">
      <c r="A134" s="585"/>
      <c r="B134" s="20" t="s">
        <v>258</v>
      </c>
      <c r="C134" s="112">
        <v>8869.4500000000007</v>
      </c>
      <c r="D134" s="112">
        <f>8869.45-60</f>
        <v>8809.4500000000007</v>
      </c>
      <c r="E134" s="112" t="s">
        <v>111</v>
      </c>
      <c r="F134" s="112" t="s">
        <v>111</v>
      </c>
      <c r="G134" s="112" t="s">
        <v>111</v>
      </c>
      <c r="H134" s="112" t="s">
        <v>111</v>
      </c>
      <c r="I134" s="112" t="s">
        <v>111</v>
      </c>
      <c r="J134" s="113" t="s">
        <v>111</v>
      </c>
      <c r="K134" s="112" t="s">
        <v>111</v>
      </c>
      <c r="L134" s="343" t="s">
        <v>111</v>
      </c>
      <c r="M134" s="115" t="s">
        <v>111</v>
      </c>
      <c r="N134" s="110"/>
      <c r="O134" s="465"/>
    </row>
    <row r="135" spans="1:15" ht="15" thickBot="1" x14ac:dyDescent="0.4">
      <c r="A135" s="586"/>
      <c r="B135" s="117" t="s">
        <v>259</v>
      </c>
      <c r="C135" s="118" t="s">
        <v>111</v>
      </c>
      <c r="D135" s="118" t="s">
        <v>111</v>
      </c>
      <c r="E135" s="118" t="s">
        <v>111</v>
      </c>
      <c r="F135" s="118" t="s">
        <v>111</v>
      </c>
      <c r="G135" s="118" t="s">
        <v>111</v>
      </c>
      <c r="H135" s="118" t="s">
        <v>111</v>
      </c>
      <c r="I135" s="118">
        <v>12974.4</v>
      </c>
      <c r="J135" s="119" t="s">
        <v>111</v>
      </c>
      <c r="K135" s="118" t="s">
        <v>111</v>
      </c>
      <c r="L135" s="391" t="s">
        <v>111</v>
      </c>
      <c r="M135" s="120" t="s">
        <v>111</v>
      </c>
      <c r="N135" s="110"/>
      <c r="O135" s="465"/>
    </row>
    <row r="136" spans="1:15" x14ac:dyDescent="0.35">
      <c r="A136" s="617" t="s">
        <v>260</v>
      </c>
      <c r="B136" s="138" t="s">
        <v>239</v>
      </c>
      <c r="C136" s="142">
        <v>4000.9</v>
      </c>
      <c r="D136" s="142">
        <f>4000.9-60</f>
        <v>3940.9</v>
      </c>
      <c r="E136" s="142">
        <v>5896</v>
      </c>
      <c r="F136" s="142" t="s">
        <v>111</v>
      </c>
      <c r="G136" s="142" t="s">
        <v>111</v>
      </c>
      <c r="H136" s="142">
        <v>3066</v>
      </c>
      <c r="I136" s="142">
        <v>5140.8</v>
      </c>
      <c r="J136" s="143">
        <v>4124.5439999999999</v>
      </c>
      <c r="K136" s="142" t="s">
        <v>111</v>
      </c>
      <c r="L136" s="392" t="s">
        <v>111</v>
      </c>
      <c r="M136" s="386">
        <v>2745.1200000000003</v>
      </c>
      <c r="N136" s="110"/>
      <c r="O136" s="465"/>
    </row>
    <row r="137" spans="1:15" x14ac:dyDescent="0.35">
      <c r="A137" s="585"/>
      <c r="B137" s="20" t="s">
        <v>240</v>
      </c>
      <c r="C137" s="112">
        <v>4865.75</v>
      </c>
      <c r="D137" s="112">
        <f>4865.75-60</f>
        <v>4805.75</v>
      </c>
      <c r="E137" s="112" t="s">
        <v>111</v>
      </c>
      <c r="F137" s="112" t="s">
        <v>111</v>
      </c>
      <c r="G137" s="112" t="s">
        <v>111</v>
      </c>
      <c r="H137" s="112">
        <v>3358.7999999999997</v>
      </c>
      <c r="I137" s="112">
        <v>5484</v>
      </c>
      <c r="J137" s="113">
        <v>4272.4800000000005</v>
      </c>
      <c r="K137" s="112" t="s">
        <v>111</v>
      </c>
      <c r="L137" s="343" t="s">
        <v>111</v>
      </c>
      <c r="M137" s="115">
        <v>2950.08</v>
      </c>
      <c r="N137" s="110"/>
      <c r="O137" s="465"/>
    </row>
    <row r="138" spans="1:15" x14ac:dyDescent="0.35">
      <c r="A138" s="585"/>
      <c r="B138" s="20" t="s">
        <v>261</v>
      </c>
      <c r="C138" s="112">
        <v>5037.55</v>
      </c>
      <c r="D138" s="112">
        <f>5037.55-60</f>
        <v>4977.55</v>
      </c>
      <c r="E138" s="112">
        <v>6520</v>
      </c>
      <c r="F138" s="112" t="s">
        <v>111</v>
      </c>
      <c r="G138" s="112" t="s">
        <v>111</v>
      </c>
      <c r="H138" s="112">
        <v>3675.6000000000004</v>
      </c>
      <c r="I138" s="112">
        <v>5886.4</v>
      </c>
      <c r="J138" s="113">
        <v>4830.3679999999995</v>
      </c>
      <c r="K138" s="112" t="s">
        <v>111</v>
      </c>
      <c r="L138" s="343" t="s">
        <v>111</v>
      </c>
      <c r="M138" s="115">
        <v>2931.36</v>
      </c>
      <c r="N138" s="110"/>
      <c r="O138" s="465"/>
    </row>
    <row r="139" spans="1:15" x14ac:dyDescent="0.35">
      <c r="A139" s="585"/>
      <c r="B139" s="20" t="s">
        <v>262</v>
      </c>
      <c r="C139" s="112">
        <v>7116.7</v>
      </c>
      <c r="D139" s="112">
        <f>7116.7-60</f>
        <v>7056.7</v>
      </c>
      <c r="E139" s="112" t="s">
        <v>111</v>
      </c>
      <c r="F139" s="112" t="s">
        <v>111</v>
      </c>
      <c r="G139" s="112" t="s">
        <v>111</v>
      </c>
      <c r="H139" s="112">
        <v>6539.4000000000005</v>
      </c>
      <c r="I139" s="112">
        <v>10594.4</v>
      </c>
      <c r="J139" s="113">
        <v>9687.232</v>
      </c>
      <c r="K139" s="112" t="s">
        <v>111</v>
      </c>
      <c r="L139" s="343" t="s">
        <v>111</v>
      </c>
      <c r="M139" s="115">
        <v>5685.1200000000008</v>
      </c>
      <c r="N139" s="110"/>
      <c r="O139" s="465"/>
    </row>
    <row r="140" spans="1:15" x14ac:dyDescent="0.35">
      <c r="A140" s="585"/>
      <c r="B140" s="20" t="s">
        <v>263</v>
      </c>
      <c r="C140" s="112">
        <v>11200.35</v>
      </c>
      <c r="D140" s="112">
        <f>11200.35-60</f>
        <v>11140.35</v>
      </c>
      <c r="E140" s="112" t="s">
        <v>111</v>
      </c>
      <c r="F140" s="112" t="s">
        <v>111</v>
      </c>
      <c r="G140" s="112" t="s">
        <v>111</v>
      </c>
      <c r="H140" s="112" t="s">
        <v>111</v>
      </c>
      <c r="I140" s="112" t="s">
        <v>111</v>
      </c>
      <c r="J140" s="113" t="s">
        <v>111</v>
      </c>
      <c r="K140" s="112" t="s">
        <v>111</v>
      </c>
      <c r="L140" s="343" t="s">
        <v>111</v>
      </c>
      <c r="M140" s="115" t="s">
        <v>111</v>
      </c>
      <c r="N140" s="110"/>
      <c r="O140" s="465"/>
    </row>
    <row r="141" spans="1:15" ht="15" thickBot="1" x14ac:dyDescent="0.4">
      <c r="A141" s="586"/>
      <c r="B141" s="117" t="s">
        <v>264</v>
      </c>
      <c r="C141" s="118" t="s">
        <v>111</v>
      </c>
      <c r="D141" s="118" t="s">
        <v>111</v>
      </c>
      <c r="E141" s="118" t="s">
        <v>111</v>
      </c>
      <c r="F141" s="118" t="s">
        <v>111</v>
      </c>
      <c r="G141" s="118" t="s">
        <v>111</v>
      </c>
      <c r="H141" s="118" t="s">
        <v>111</v>
      </c>
      <c r="I141" s="118">
        <v>15940.8</v>
      </c>
      <c r="J141" s="119" t="s">
        <v>111</v>
      </c>
      <c r="K141" s="118" t="s">
        <v>111</v>
      </c>
      <c r="L141" s="391" t="s">
        <v>111</v>
      </c>
      <c r="M141" s="120" t="s">
        <v>111</v>
      </c>
      <c r="N141" s="110"/>
      <c r="O141" s="465"/>
    </row>
  </sheetData>
  <sheetProtection algorithmName="SHA-512" hashValue="nfTNeTDP576qoZu5uSbmcDOFv6a/u/PCLkL3em2pRpKWwkNttj0GXoDOTHZRL1ZgEQLTf0ERpXxWhvW40Lkddw==" saltValue="1u+3oLT7F1qO1o+BgbTsIw==" spinCount="100000" sheet="1" objects="1" scenarios="1"/>
  <mergeCells count="37">
    <mergeCell ref="A76:B76"/>
    <mergeCell ref="A79:A84"/>
    <mergeCell ref="A85:A90"/>
    <mergeCell ref="A136:A141"/>
    <mergeCell ref="A103:A108"/>
    <mergeCell ref="A109:B110"/>
    <mergeCell ref="A112:A117"/>
    <mergeCell ref="A118:A123"/>
    <mergeCell ref="A124:A129"/>
    <mergeCell ref="A130:A135"/>
    <mergeCell ref="A97:A102"/>
    <mergeCell ref="A91:A96"/>
    <mergeCell ref="K74:M74"/>
    <mergeCell ref="A75:B75"/>
    <mergeCell ref="A14:A19"/>
    <mergeCell ref="A20:A25"/>
    <mergeCell ref="A77:B77"/>
    <mergeCell ref="L73:N73"/>
    <mergeCell ref="A41:A46"/>
    <mergeCell ref="A47:A52"/>
    <mergeCell ref="A53:A58"/>
    <mergeCell ref="A59:A64"/>
    <mergeCell ref="A65:A70"/>
    <mergeCell ref="A73:B73"/>
    <mergeCell ref="A74:B74"/>
    <mergeCell ref="A38:B39"/>
    <mergeCell ref="A26:A31"/>
    <mergeCell ref="A32:A37"/>
    <mergeCell ref="A2:B2"/>
    <mergeCell ref="A3:B3"/>
    <mergeCell ref="A8:A13"/>
    <mergeCell ref="A6:B6"/>
    <mergeCell ref="O6:O34"/>
    <mergeCell ref="L2:N2"/>
    <mergeCell ref="K3:M3"/>
    <mergeCell ref="A4:B4"/>
    <mergeCell ref="A5:B5"/>
  </mergeCells>
  <conditionalFormatting sqref="D9 H9:J9 L9:M9">
    <cfRule type="top10" dxfId="1566" priority="1007" bottom="1" rank="1"/>
    <cfRule type="top10" dxfId="1565" priority="1008" bottom="1" rank="2"/>
  </conditionalFormatting>
  <conditionalFormatting sqref="D11 H11:I11 L11:M11">
    <cfRule type="top10" dxfId="1564" priority="261" bottom="1" rank="1"/>
    <cfRule type="top10" dxfId="1563" priority="262" bottom="1" rank="2"/>
  </conditionalFormatting>
  <conditionalFormatting sqref="D12 F12:G12">
    <cfRule type="top10" dxfId="1562" priority="547" bottom="1" rank="1"/>
    <cfRule type="top10" dxfId="1561" priority="548" bottom="1" rank="2"/>
  </conditionalFormatting>
  <conditionalFormatting sqref="D15 H15:J15 L15:M15">
    <cfRule type="top10" dxfId="1560" priority="251" bottom="1" rank="1"/>
    <cfRule type="top10" dxfId="1559" priority="252" bottom="1" rank="2"/>
  </conditionalFormatting>
  <conditionalFormatting sqref="D17 H17:I17 L17:M17">
    <cfRule type="top10" dxfId="1558" priority="241" bottom="1" rank="1"/>
    <cfRule type="top10" dxfId="1557" priority="242" bottom="1" rank="2"/>
  </conditionalFormatting>
  <conditionalFormatting sqref="D18 F18:G18">
    <cfRule type="top10" dxfId="1556" priority="243" bottom="1" rank="1"/>
    <cfRule type="top10" dxfId="1555" priority="244" bottom="1" rank="2"/>
  </conditionalFormatting>
  <conditionalFormatting sqref="D21 H21:J21 L21:M21">
    <cfRule type="top10" dxfId="1554" priority="237" bottom="1" rank="1"/>
    <cfRule type="top10" dxfId="1553" priority="238" bottom="1" rank="2"/>
  </conditionalFormatting>
  <conditionalFormatting sqref="D23 H23:I23 L23:M23">
    <cfRule type="top10" dxfId="1552" priority="228" bottom="1" rank="2"/>
    <cfRule type="top10" dxfId="1551" priority="227" bottom="1" rank="1"/>
  </conditionalFormatting>
  <conditionalFormatting sqref="D24 F24:G24">
    <cfRule type="top10" dxfId="1550" priority="229" bottom="1" rank="1"/>
    <cfRule type="top10" dxfId="1549" priority="230" bottom="1" rank="2"/>
  </conditionalFormatting>
  <conditionalFormatting sqref="D27 H27:J27 L27:M27">
    <cfRule type="top10" dxfId="1548" priority="223" bottom="1" rank="1"/>
    <cfRule type="top10" dxfId="1547" priority="224" bottom="1" rank="2"/>
  </conditionalFormatting>
  <conditionalFormatting sqref="D29 H29:I29 L29:M29">
    <cfRule type="top10" dxfId="1546" priority="213" bottom="1" rank="1"/>
    <cfRule type="top10" dxfId="1545" priority="214" bottom="1" rank="2"/>
  </conditionalFormatting>
  <conditionalFormatting sqref="D30 F30:G30">
    <cfRule type="top10" dxfId="1544" priority="216" bottom="1" rank="2"/>
    <cfRule type="top10" dxfId="1543" priority="215" bottom="1" rank="1"/>
  </conditionalFormatting>
  <conditionalFormatting sqref="D33 H33:J33 L33:M33">
    <cfRule type="top10" dxfId="1542" priority="210" bottom="1" rank="2"/>
    <cfRule type="top10" dxfId="1541" priority="209" bottom="1" rank="1"/>
  </conditionalFormatting>
  <conditionalFormatting sqref="D35 H35:I35 L35:M35">
    <cfRule type="top10" dxfId="1540" priority="200" bottom="1" rank="2"/>
    <cfRule type="top10" dxfId="1539" priority="199" bottom="1" rank="1"/>
  </conditionalFormatting>
  <conditionalFormatting sqref="D36 F36:G36">
    <cfRule type="top10" dxfId="1538" priority="202" bottom="1" rank="2"/>
    <cfRule type="top10" dxfId="1537" priority="201" bottom="1" rank="1"/>
  </conditionalFormatting>
  <conditionalFormatting sqref="D38 D40 D109 D111">
    <cfRule type="expression" dxfId="1536" priority="1689">
      <formula>RANK(D38,$D38:$J38,1)=1</formula>
    </cfRule>
    <cfRule type="expression" dxfId="1535" priority="1688">
      <formula>RANK(D38,$D38:$J38,1)=2</formula>
    </cfRule>
  </conditionalFormatting>
  <conditionalFormatting sqref="D50 H50:I50 K50 M50">
    <cfRule type="top10" dxfId="1534" priority="944" bottom="1" rank="2"/>
    <cfRule type="top10" dxfId="1533" priority="943" bottom="1" rank="1"/>
  </conditionalFormatting>
  <conditionalFormatting sqref="D80 H80:J80 L80:M80">
    <cfRule type="top10" dxfId="1532" priority="196" bottom="1" rank="2"/>
    <cfRule type="top10" dxfId="1531" priority="195" bottom="1" rank="1"/>
  </conditionalFormatting>
  <conditionalFormatting sqref="D82 H82:I82 L82:M82">
    <cfRule type="top10" dxfId="1530" priority="185" bottom="1" rank="1"/>
    <cfRule type="top10" dxfId="1529" priority="186" bottom="1" rank="2"/>
  </conditionalFormatting>
  <conditionalFormatting sqref="D83 F83:G83">
    <cfRule type="top10" dxfId="1528" priority="187" bottom="1" rank="1"/>
    <cfRule type="top10" dxfId="1527" priority="188" bottom="1" rank="2"/>
  </conditionalFormatting>
  <conditionalFormatting sqref="D86 H86:J86 L86:M86">
    <cfRule type="top10" dxfId="1526" priority="182" bottom="1" rank="2"/>
    <cfRule type="top10" dxfId="1525" priority="181" bottom="1" rank="1"/>
  </conditionalFormatting>
  <conditionalFormatting sqref="D88 H88:I88 L88:M88">
    <cfRule type="top10" dxfId="1524" priority="171" bottom="1" rank="1"/>
    <cfRule type="top10" dxfId="1523" priority="172" bottom="1" rank="2"/>
  </conditionalFormatting>
  <conditionalFormatting sqref="D89 F89:G89">
    <cfRule type="top10" dxfId="1522" priority="173" bottom="1" rank="1"/>
    <cfRule type="top10" dxfId="1521" priority="174" bottom="1" rank="2"/>
  </conditionalFormatting>
  <conditionalFormatting sqref="D92 H92:J92 L92:M92">
    <cfRule type="top10" dxfId="1520" priority="167" bottom="1" rank="1"/>
    <cfRule type="top10" dxfId="1519" priority="168" bottom="1" rank="2"/>
  </conditionalFormatting>
  <conditionalFormatting sqref="D94 H94:I94 L94:M94">
    <cfRule type="top10" dxfId="1518" priority="157" bottom="1" rank="1"/>
    <cfRule type="top10" dxfId="1517" priority="158" bottom="1" rank="2"/>
  </conditionalFormatting>
  <conditionalFormatting sqref="D95 F95:G95">
    <cfRule type="top10" dxfId="1516" priority="159" bottom="1" rank="1"/>
    <cfRule type="top10" dxfId="1515" priority="160" bottom="1" rank="2"/>
  </conditionalFormatting>
  <conditionalFormatting sqref="D98 H98:J98 L98:M98">
    <cfRule type="top10" dxfId="1514" priority="153" bottom="1" rank="1"/>
    <cfRule type="top10" dxfId="1513" priority="154" bottom="1" rank="2"/>
  </conditionalFormatting>
  <conditionalFormatting sqref="D100 H100:I100 L100:M100">
    <cfRule type="top10" dxfId="1512" priority="144" bottom="1" rank="2"/>
    <cfRule type="top10" dxfId="1511" priority="143" bottom="1" rank="1"/>
  </conditionalFormatting>
  <conditionalFormatting sqref="D101 F101:G101">
    <cfRule type="top10" dxfId="1510" priority="146" bottom="1" rank="2"/>
    <cfRule type="top10" dxfId="1509" priority="145" bottom="1" rank="1"/>
  </conditionalFormatting>
  <conditionalFormatting sqref="D104 H104:J104 L104:M104">
    <cfRule type="top10" dxfId="1508" priority="139" bottom="1" rank="1"/>
    <cfRule type="top10" dxfId="1507" priority="140" bottom="1" rank="2"/>
  </conditionalFormatting>
  <conditionalFormatting sqref="D106 H106:I106 L106:M106">
    <cfRule type="top10" dxfId="1506" priority="129" bottom="1" rank="1"/>
    <cfRule type="top10" dxfId="1505" priority="130" bottom="1" rank="2"/>
  </conditionalFormatting>
  <conditionalFormatting sqref="D107 F107:G107">
    <cfRule type="top10" dxfId="1504" priority="132" bottom="1" rank="2"/>
    <cfRule type="top10" dxfId="1503" priority="131" bottom="1" rank="1"/>
  </conditionalFormatting>
  <conditionalFormatting sqref="D8:E8 H8:J8 M8">
    <cfRule type="top10" dxfId="1502" priority="1010" bottom="1" rank="2"/>
    <cfRule type="top10" dxfId="1501" priority="1009" bottom="1" rank="1"/>
  </conditionalFormatting>
  <conditionalFormatting sqref="D10:E10 H10:J10 L10:M10">
    <cfRule type="top10" dxfId="1500" priority="1006" bottom="1" rank="2"/>
    <cfRule type="top10" dxfId="1499" priority="1005" bottom="1" rank="1"/>
  </conditionalFormatting>
  <conditionalFormatting sqref="D14:E14 H14:J14 M14">
    <cfRule type="top10" dxfId="1498" priority="254" bottom="1" rank="2"/>
    <cfRule type="top10" dxfId="1497" priority="253" bottom="1" rank="1"/>
  </conditionalFormatting>
  <conditionalFormatting sqref="D16:E16 H16:J16 L16:M16">
    <cfRule type="top10" dxfId="1496" priority="249" bottom="1" rank="1"/>
    <cfRule type="top10" dxfId="1495" priority="250" bottom="1" rank="2"/>
  </conditionalFormatting>
  <conditionalFormatting sqref="D20:E20 H20:J20 M20">
    <cfRule type="top10" dxfId="1494" priority="240" bottom="1" rank="2"/>
    <cfRule type="top10" dxfId="1493" priority="239" bottom="1" rank="1"/>
  </conditionalFormatting>
  <conditionalFormatting sqref="D22:E22 H22:J22 L22:M22">
    <cfRule type="top10" dxfId="1492" priority="236" bottom="1" rank="2"/>
    <cfRule type="top10" dxfId="1491" priority="235" bottom="1" rank="1"/>
  </conditionalFormatting>
  <conditionalFormatting sqref="D26:E26 H26:J26 M26">
    <cfRule type="top10" dxfId="1490" priority="226" bottom="1" rank="2"/>
    <cfRule type="top10" dxfId="1489" priority="225" bottom="1" rank="1"/>
  </conditionalFormatting>
  <conditionalFormatting sqref="D28:E28 H28:J28 L28:M28">
    <cfRule type="top10" dxfId="1488" priority="221" bottom="1" rank="1"/>
    <cfRule type="top10" dxfId="1487" priority="222" bottom="1" rank="2"/>
  </conditionalFormatting>
  <conditionalFormatting sqref="D32:E32 H32:J32 M32">
    <cfRule type="top10" dxfId="1486" priority="212" bottom="1" rank="2"/>
    <cfRule type="top10" dxfId="1485" priority="211" bottom="1" rank="1"/>
  </conditionalFormatting>
  <conditionalFormatting sqref="D34:E34 H34:J34 L34:M34">
    <cfRule type="top10" dxfId="1484" priority="207" bottom="1" rank="1"/>
    <cfRule type="top10" dxfId="1483" priority="208" bottom="1" rank="2"/>
  </conditionalFormatting>
  <conditionalFormatting sqref="D79:E79 H79:J79 M79">
    <cfRule type="top10" dxfId="1482" priority="197" bottom="1" rank="1"/>
    <cfRule type="top10" dxfId="1481" priority="198" bottom="1" rank="2"/>
  </conditionalFormatting>
  <conditionalFormatting sqref="D81:E81 H81:J81 L81:M81">
    <cfRule type="top10" dxfId="1480" priority="194" bottom="1" rank="2"/>
    <cfRule type="top10" dxfId="1479" priority="193" bottom="1" rank="1"/>
  </conditionalFormatting>
  <conditionalFormatting sqref="D85:E85 H85:J85 M85">
    <cfRule type="top10" dxfId="1478" priority="183" bottom="1" rank="1"/>
    <cfRule type="top10" dxfId="1477" priority="184" bottom="1" rank="2"/>
  </conditionalFormatting>
  <conditionalFormatting sqref="D87:E87 H87:J87 L87:M87">
    <cfRule type="top10" dxfId="1476" priority="179" bottom="1" rank="1"/>
    <cfRule type="top10" dxfId="1475" priority="180" bottom="1" rank="2"/>
  </conditionalFormatting>
  <conditionalFormatting sqref="D91:E91 H91:J91 M91">
    <cfRule type="top10" dxfId="1474" priority="169" bottom="1" rank="1"/>
    <cfRule type="top10" dxfId="1473" priority="170" bottom="1" rank="2"/>
  </conditionalFormatting>
  <conditionalFormatting sqref="D93:E93 H93:J93 L93:M93">
    <cfRule type="top10" dxfId="1472" priority="165" bottom="1" rank="1"/>
    <cfRule type="top10" dxfId="1471" priority="166" bottom="1" rank="2"/>
  </conditionalFormatting>
  <conditionalFormatting sqref="D97:E97 H97:J97 M97">
    <cfRule type="top10" dxfId="1470" priority="156" bottom="1" rank="2"/>
    <cfRule type="top10" dxfId="1469" priority="155" bottom="1" rank="1"/>
  </conditionalFormatting>
  <conditionalFormatting sqref="D99:E99 H99:J99 L99:M99">
    <cfRule type="top10" dxfId="1468" priority="151" bottom="1" rank="1"/>
    <cfRule type="top10" dxfId="1467" priority="152" bottom="1" rank="2"/>
  </conditionalFormatting>
  <conditionalFormatting sqref="D103:E103 H103:J103 M103">
    <cfRule type="top10" dxfId="1466" priority="142" bottom="1" rank="2"/>
    <cfRule type="top10" dxfId="1465" priority="141" bottom="1" rank="1"/>
  </conditionalFormatting>
  <conditionalFormatting sqref="D105:E105 H105:J105 L105:M105">
    <cfRule type="top10" dxfId="1464" priority="137" bottom="1" rank="1"/>
    <cfRule type="top10" dxfId="1463" priority="138" bottom="1" rank="2"/>
  </conditionalFormatting>
  <conditionalFormatting sqref="E50">
    <cfRule type="top10" dxfId="1462" priority="6" bottom="1" rank="2"/>
    <cfRule type="top10" dxfId="1461" priority="5" bottom="1" rank="1"/>
  </conditionalFormatting>
  <conditionalFormatting sqref="F47:G47">
    <cfRule type="top10" dxfId="1460" priority="698" bottom="1" rank="2"/>
    <cfRule type="top10" dxfId="1459" priority="697" bottom="1" rank="1"/>
  </conditionalFormatting>
  <conditionalFormatting sqref="F48:G48">
    <cfRule type="top10" dxfId="1458" priority="695" bottom="1" rank="1"/>
    <cfRule type="top10" dxfId="1457" priority="696" bottom="1" rank="2"/>
  </conditionalFormatting>
  <conditionalFormatting sqref="F49:G50">
    <cfRule type="top10" dxfId="1456" priority="693" bottom="1" rank="1"/>
    <cfRule type="top10" dxfId="1455" priority="694" bottom="1" rank="2"/>
  </conditionalFormatting>
  <conditionalFormatting sqref="F118:G118">
    <cfRule type="top10" dxfId="1454" priority="65" bottom="1" rank="2"/>
    <cfRule type="top10" dxfId="1453" priority="65" bottom="1" rank="1"/>
  </conditionalFormatting>
  <conditionalFormatting sqref="F119:G119">
    <cfRule type="top10" dxfId="1452" priority="63" bottom="1" rank="1"/>
    <cfRule type="top10" dxfId="1451" priority="63" bottom="1" rank="2"/>
  </conditionalFormatting>
  <conditionalFormatting sqref="F120:G120">
    <cfRule type="top10" dxfId="1450" priority="61" bottom="1" rank="2"/>
    <cfRule type="top10" dxfId="1449" priority="61" bottom="1" rank="1"/>
  </conditionalFormatting>
  <conditionalFormatting sqref="H12:M12">
    <cfRule type="top10" dxfId="1448" priority="1001" bottom="1" rank="1"/>
    <cfRule type="top10" dxfId="1447" priority="1002" bottom="1" rank="2"/>
  </conditionalFormatting>
  <conditionalFormatting sqref="H18:M18">
    <cfRule type="top10" dxfId="1446" priority="247" bottom="1" rank="1"/>
    <cfRule type="top10" dxfId="1445" priority="248" bottom="1" rank="2"/>
  </conditionalFormatting>
  <conditionalFormatting sqref="H24:M24">
    <cfRule type="top10" dxfId="1444" priority="233" bottom="1" rank="1"/>
    <cfRule type="top10" dxfId="1443" priority="234" bottom="1" rank="2"/>
  </conditionalFormatting>
  <conditionalFormatting sqref="H30:M30">
    <cfRule type="top10" dxfId="1442" priority="220" bottom="1" rank="2"/>
    <cfRule type="top10" dxfId="1441" priority="219" bottom="1" rank="1"/>
  </conditionalFormatting>
  <conditionalFormatting sqref="H36:M36">
    <cfRule type="top10" dxfId="1440" priority="205" bottom="1" rank="1"/>
    <cfRule type="top10" dxfId="1439" priority="206" bottom="1" rank="2"/>
  </conditionalFormatting>
  <conditionalFormatting sqref="H83:M83">
    <cfRule type="top10" dxfId="1438" priority="191" bottom="1" rank="1"/>
    <cfRule type="top10" dxfId="1437" priority="192" bottom="1" rank="2"/>
  </conditionalFormatting>
  <conditionalFormatting sqref="H89:M89">
    <cfRule type="top10" dxfId="1436" priority="178" bottom="1" rank="2"/>
    <cfRule type="top10" dxfId="1435" priority="177" bottom="1" rank="1"/>
  </conditionalFormatting>
  <conditionalFormatting sqref="H95:M95">
    <cfRule type="top10" dxfId="1434" priority="163" bottom="1" rank="1"/>
    <cfRule type="top10" dxfId="1433" priority="164" bottom="1" rank="2"/>
  </conditionalFormatting>
  <conditionalFormatting sqref="H101:M101">
    <cfRule type="top10" dxfId="1432" priority="149" bottom="1" rank="1"/>
    <cfRule type="top10" dxfId="1431" priority="150" bottom="1" rank="2"/>
  </conditionalFormatting>
  <conditionalFormatting sqref="H107:M107">
    <cfRule type="top10" dxfId="1430" priority="135" bottom="1" rank="1"/>
    <cfRule type="top10" dxfId="1429" priority="136" bottom="1" rank="2"/>
  </conditionalFormatting>
  <conditionalFormatting sqref="I13 L13">
    <cfRule type="top10" dxfId="1428" priority="999" bottom="1" rank="1"/>
    <cfRule type="top10" dxfId="1427" priority="1000" bottom="1" rank="2"/>
  </conditionalFormatting>
  <conditionalFormatting sqref="I19 L19">
    <cfRule type="top10" dxfId="1426" priority="246" bottom="1" rank="2"/>
    <cfRule type="top10" dxfId="1425" priority="245" bottom="1" rank="1"/>
  </conditionalFormatting>
  <conditionalFormatting sqref="I25 L25">
    <cfRule type="top10" dxfId="1424" priority="232" bottom="1" rank="2"/>
    <cfRule type="top10" dxfId="1423" priority="231" bottom="1" rank="1"/>
  </conditionalFormatting>
  <conditionalFormatting sqref="I31 L31">
    <cfRule type="top10" dxfId="1422" priority="217" bottom="1" rank="1"/>
    <cfRule type="top10" dxfId="1421" priority="218" bottom="1" rank="2"/>
  </conditionalFormatting>
  <conditionalFormatting sqref="I37 L37">
    <cfRule type="top10" dxfId="1420" priority="204" bottom="1" rank="2"/>
    <cfRule type="top10" dxfId="1419" priority="203" bottom="1" rank="1"/>
  </conditionalFormatting>
  <conditionalFormatting sqref="I84 L84">
    <cfRule type="top10" dxfId="1418" priority="190" bottom="1" rank="2"/>
    <cfRule type="top10" dxfId="1417" priority="189" bottom="1" rank="1"/>
  </conditionalFormatting>
  <conditionalFormatting sqref="I90 L90">
    <cfRule type="top10" dxfId="1416" priority="175" bottom="1" rank="1"/>
    <cfRule type="top10" dxfId="1415" priority="176" bottom="1" rank="2"/>
  </conditionalFormatting>
  <conditionalFormatting sqref="I96 L96">
    <cfRule type="top10" dxfId="1414" priority="162" bottom="1" rank="2"/>
    <cfRule type="top10" dxfId="1413" priority="161" bottom="1" rank="1"/>
  </conditionalFormatting>
  <conditionalFormatting sqref="I102 L102">
    <cfRule type="top10" dxfId="1412" priority="147" bottom="1" rank="1"/>
    <cfRule type="top10" dxfId="1411" priority="148" bottom="1" rank="2"/>
  </conditionalFormatting>
  <conditionalFormatting sqref="I108 L108">
    <cfRule type="top10" dxfId="1410" priority="134" bottom="1" rank="2"/>
    <cfRule type="top10" dxfId="1409" priority="133" bottom="1" rank="1"/>
  </conditionalFormatting>
  <conditionalFormatting sqref="J50">
    <cfRule type="top10" dxfId="1408" priority="3" bottom="1" rank="1"/>
    <cfRule type="top10" dxfId="1407" priority="4" bottom="1" rank="2"/>
  </conditionalFormatting>
  <conditionalFormatting sqref="L42:L70 D41:M41">
    <cfRule type="top10" dxfId="1406" priority="73" bottom="1" rank="1"/>
    <cfRule type="top10" dxfId="1405" priority="74" bottom="1" rank="2"/>
  </conditionalFormatting>
  <conditionalFormatting sqref="L112:L141">
    <cfRule type="top10" dxfId="1404" priority="2" bottom="1" rank="2"/>
    <cfRule type="top10" dxfId="1403" priority="1" bottom="1" rank="1"/>
  </conditionalFormatting>
  <conditionalFormatting sqref="M42 D42:K42">
    <cfRule type="top10" dxfId="1402" priority="84" bottom="1" rank="2"/>
    <cfRule type="top10" dxfId="1401" priority="83" bottom="1" rank="1"/>
  </conditionalFormatting>
  <conditionalFormatting sqref="M43 D43:K43">
    <cfRule type="top10" dxfId="1400" priority="82" bottom="1" rank="2"/>
    <cfRule type="top10" dxfId="1399" priority="81" bottom="1" rank="1"/>
  </conditionalFormatting>
  <conditionalFormatting sqref="M44 D44:K44">
    <cfRule type="top10" dxfId="1398" priority="79" bottom="1" rank="1"/>
    <cfRule type="top10" dxfId="1397" priority="80" bottom="1" rank="2"/>
  </conditionalFormatting>
  <conditionalFormatting sqref="M45 D45:K45">
    <cfRule type="top10" dxfId="1396" priority="77" bottom="1" rank="1"/>
    <cfRule type="top10" dxfId="1395" priority="78" bottom="1" rank="2"/>
  </conditionalFormatting>
  <conditionalFormatting sqref="M46 D46:K46">
    <cfRule type="top10" dxfId="1394" priority="75" bottom="1" rank="1"/>
    <cfRule type="top10" dxfId="1393" priority="76" bottom="1" rank="2"/>
  </conditionalFormatting>
  <conditionalFormatting sqref="M47 H47:K47 D47:E47">
    <cfRule type="top10" dxfId="1392" priority="949" bottom="1" rank="1"/>
    <cfRule type="top10" dxfId="1391" priority="950" bottom="1" rank="2"/>
  </conditionalFormatting>
  <conditionalFormatting sqref="M48 H48:K48 D48:E48">
    <cfRule type="top10" dxfId="1390" priority="948" bottom="1" rank="2"/>
    <cfRule type="top10" dxfId="1389" priority="947" bottom="1" rank="1"/>
  </conditionalFormatting>
  <conditionalFormatting sqref="M49 H49:K49 D49:E49">
    <cfRule type="top10" dxfId="1388" priority="945" bottom="1" rank="1"/>
    <cfRule type="top10" dxfId="1387" priority="946" bottom="1" rank="2"/>
  </conditionalFormatting>
  <conditionalFormatting sqref="M51 D51:K51">
    <cfRule type="top10" dxfId="1386" priority="128" bottom="1" rank="2"/>
    <cfRule type="top10" dxfId="1385" priority="127" bottom="1" rank="1"/>
  </conditionalFormatting>
  <conditionalFormatting sqref="M52 D52:K52">
    <cfRule type="top10" dxfId="1384" priority="125" bottom="1" rank="1"/>
    <cfRule type="top10" dxfId="1383" priority="126" bottom="1" rank="2"/>
  </conditionalFormatting>
  <conditionalFormatting sqref="M53 D53:K53">
    <cfRule type="top10" dxfId="1382" priority="109" bottom="1" rank="1"/>
    <cfRule type="top10" dxfId="1381" priority="110" bottom="1" rank="2"/>
  </conditionalFormatting>
  <conditionalFormatting sqref="M54 D54:K54">
    <cfRule type="top10" dxfId="1380" priority="122" bottom="1" rank="2"/>
    <cfRule type="top10" dxfId="1379" priority="121" bottom="1" rank="1"/>
  </conditionalFormatting>
  <conditionalFormatting sqref="M55 D55:K55">
    <cfRule type="top10" dxfId="1378" priority="120" bottom="1" rank="2"/>
    <cfRule type="top10" dxfId="1377" priority="119" bottom="1" rank="1"/>
  </conditionalFormatting>
  <conditionalFormatting sqref="M56 D56:K56">
    <cfRule type="top10" dxfId="1376" priority="115" bottom="1" rank="1"/>
    <cfRule type="top10" dxfId="1375" priority="116" bottom="1" rank="2"/>
  </conditionalFormatting>
  <conditionalFormatting sqref="M57 D57:K57">
    <cfRule type="top10" dxfId="1374" priority="113" bottom="1" rank="1"/>
    <cfRule type="top10" dxfId="1373" priority="114" bottom="1" rank="2"/>
  </conditionalFormatting>
  <conditionalFormatting sqref="M58 D58:K58">
    <cfRule type="top10" dxfId="1372" priority="111" bottom="1" rank="1"/>
    <cfRule type="top10" dxfId="1371" priority="112" bottom="1" rank="2"/>
  </conditionalFormatting>
  <conditionalFormatting sqref="M59 D59:K59">
    <cfRule type="top10" dxfId="1370" priority="98" bottom="1" rank="2"/>
    <cfRule type="top10" dxfId="1369" priority="97" bottom="1" rank="1"/>
  </conditionalFormatting>
  <conditionalFormatting sqref="M60 D60:K60">
    <cfRule type="top10" dxfId="1368" priority="108" bottom="1" rank="2"/>
    <cfRule type="top10" dxfId="1367" priority="107" bottom="1" rank="1"/>
  </conditionalFormatting>
  <conditionalFormatting sqref="M61 D61:K61">
    <cfRule type="top10" dxfId="1366" priority="105" bottom="1" rank="1"/>
    <cfRule type="top10" dxfId="1365" priority="106" bottom="1" rank="2"/>
  </conditionalFormatting>
  <conditionalFormatting sqref="M62 D62:K62">
    <cfRule type="top10" dxfId="1364" priority="103" bottom="1" rank="1"/>
    <cfRule type="top10" dxfId="1363" priority="104" bottom="1" rank="2"/>
  </conditionalFormatting>
  <conditionalFormatting sqref="M63 D63:K63">
    <cfRule type="top10" dxfId="1362" priority="101" bottom="1" rank="1"/>
    <cfRule type="top10" dxfId="1361" priority="102" bottom="1" rank="2"/>
  </conditionalFormatting>
  <conditionalFormatting sqref="M64 D64:K64">
    <cfRule type="top10" dxfId="1360" priority="100" bottom="1" rank="2"/>
    <cfRule type="top10" dxfId="1359" priority="99" bottom="1" rank="1"/>
  </conditionalFormatting>
  <conditionalFormatting sqref="M65 D65:K65">
    <cfRule type="top10" dxfId="1358" priority="85" bottom="1" rank="1"/>
    <cfRule type="top10" dxfId="1357" priority="86" bottom="1" rank="2"/>
  </conditionalFormatting>
  <conditionalFormatting sqref="M66 D66:K66">
    <cfRule type="top10" dxfId="1356" priority="96" bottom="1" rank="2"/>
    <cfRule type="top10" dxfId="1355" priority="95" bottom="1" rank="1"/>
  </conditionalFormatting>
  <conditionalFormatting sqref="M67 D67:K67">
    <cfRule type="top10" dxfId="1354" priority="94" bottom="1" rank="2"/>
    <cfRule type="top10" dxfId="1353" priority="93" bottom="1" rank="1"/>
  </conditionalFormatting>
  <conditionalFormatting sqref="M68 D68:K68">
    <cfRule type="top10" dxfId="1352" priority="91" bottom="1" rank="1"/>
    <cfRule type="top10" dxfId="1351" priority="92" bottom="1" rank="2"/>
  </conditionalFormatting>
  <conditionalFormatting sqref="M69 D69:K69">
    <cfRule type="top10" dxfId="1350" priority="89" bottom="1" rank="1"/>
    <cfRule type="top10" dxfId="1349" priority="90" bottom="1" rank="2"/>
  </conditionalFormatting>
  <conditionalFormatting sqref="M70 D70:K70">
    <cfRule type="top10" dxfId="1348" priority="88" bottom="1" rank="2"/>
    <cfRule type="top10" dxfId="1347" priority="87" bottom="1" rank="1"/>
  </conditionalFormatting>
  <conditionalFormatting sqref="M112 D112:K112">
    <cfRule type="top10" dxfId="1346" priority="8" bottom="1" rank="2"/>
    <cfRule type="top10" dxfId="1345" priority="7" bottom="1" rank="1"/>
  </conditionalFormatting>
  <conditionalFormatting sqref="M113 D113:K113">
    <cfRule type="top10" dxfId="1344" priority="17" bottom="1" rank="1"/>
    <cfRule type="top10" dxfId="1343" priority="18" bottom="1" rank="2"/>
  </conditionalFormatting>
  <conditionalFormatting sqref="M114 D114:K114">
    <cfRule type="top10" dxfId="1342" priority="15" bottom="1" rank="1"/>
    <cfRule type="top10" dxfId="1341" priority="16" bottom="1" rank="2"/>
  </conditionalFormatting>
  <conditionalFormatting sqref="M115 D115:K115">
    <cfRule type="top10" dxfId="1340" priority="13" bottom="1" rank="1"/>
    <cfRule type="top10" dxfId="1339" priority="14" bottom="1" rank="2"/>
  </conditionalFormatting>
  <conditionalFormatting sqref="M116 D116:K116">
    <cfRule type="top10" dxfId="1338" priority="11" bottom="1" rank="1"/>
    <cfRule type="top10" dxfId="1337" priority="12" bottom="1" rank="2"/>
  </conditionalFormatting>
  <conditionalFormatting sqref="M117 D117:K117">
    <cfRule type="top10" dxfId="1336" priority="9" bottom="1" rank="1"/>
    <cfRule type="top10" dxfId="1335" priority="10" bottom="1" rank="2"/>
  </conditionalFormatting>
  <conditionalFormatting sqref="M118 H118:K118 D118:E118">
    <cfRule type="top10" dxfId="1334" priority="72" bottom="1" rank="2"/>
    <cfRule type="top10" dxfId="1333" priority="71" bottom="1" rank="1"/>
  </conditionalFormatting>
  <conditionalFormatting sqref="M119 H119:K119 D119:E119">
    <cfRule type="top10" dxfId="1332" priority="69" bottom="1" rank="1"/>
    <cfRule type="top10" dxfId="1331" priority="70" bottom="1" rank="2"/>
  </conditionalFormatting>
  <conditionalFormatting sqref="M120 H120:K120 D120:E120">
    <cfRule type="top10" dxfId="1330" priority="67" bottom="1" rank="1"/>
    <cfRule type="top10" dxfId="1329" priority="68" bottom="1" rank="2"/>
  </conditionalFormatting>
  <conditionalFormatting sqref="M121 D121:K121">
    <cfRule type="top10" dxfId="1328" priority="1690" bottom="1" rank="1"/>
    <cfRule type="top10" dxfId="1327" priority="66" bottom="1" rank="2"/>
  </conditionalFormatting>
  <conditionalFormatting sqref="M122 D122:K122">
    <cfRule type="top10" dxfId="1326" priority="57" bottom="1" rank="1"/>
    <cfRule type="top10" dxfId="1325" priority="58" bottom="1" rank="2"/>
  </conditionalFormatting>
  <conditionalFormatting sqref="M123 D123:K123">
    <cfRule type="top10" dxfId="1324" priority="56" bottom="1" rank="2"/>
    <cfRule type="top10" dxfId="1323" priority="55" bottom="1" rank="1"/>
  </conditionalFormatting>
  <conditionalFormatting sqref="M124 D124:K124">
    <cfRule type="top10" dxfId="1322" priority="43" bottom="1" rank="1"/>
    <cfRule type="top10" dxfId="1321" priority="44" bottom="1" rank="2"/>
  </conditionalFormatting>
  <conditionalFormatting sqref="M125 D125:K125">
    <cfRule type="top10" dxfId="1320" priority="54" bottom="1" rank="2"/>
    <cfRule type="top10" dxfId="1319" priority="53" bottom="1" rank="1"/>
  </conditionalFormatting>
  <conditionalFormatting sqref="M126 D126:K126">
    <cfRule type="top10" dxfId="1318" priority="52" bottom="1" rank="2"/>
    <cfRule type="top10" dxfId="1317" priority="51" bottom="1" rank="1"/>
  </conditionalFormatting>
  <conditionalFormatting sqref="M127 D127:K127">
    <cfRule type="top10" dxfId="1316" priority="50" bottom="1" rank="2"/>
    <cfRule type="top10" dxfId="1315" priority="49" bottom="1" rank="1"/>
  </conditionalFormatting>
  <conditionalFormatting sqref="M128 D128:K128">
    <cfRule type="top10" dxfId="1314" priority="47" bottom="1" rank="1"/>
    <cfRule type="top10" dxfId="1313" priority="48" bottom="1" rank="2"/>
  </conditionalFormatting>
  <conditionalFormatting sqref="M129 D129:K129">
    <cfRule type="top10" dxfId="1312" priority="45" bottom="1" rank="1"/>
    <cfRule type="top10" dxfId="1311" priority="46" bottom="1" rank="2"/>
  </conditionalFormatting>
  <conditionalFormatting sqref="M130 D130:K130">
    <cfRule type="top10" dxfId="1310" priority="32" bottom="1" rank="2"/>
    <cfRule type="top10" dxfId="1309" priority="31" bottom="1" rank="1"/>
  </conditionalFormatting>
  <conditionalFormatting sqref="M131 D131:K131">
    <cfRule type="top10" dxfId="1308" priority="42" bottom="1" rank="2"/>
    <cfRule type="top10" dxfId="1307" priority="41" bottom="1" rank="1"/>
  </conditionalFormatting>
  <conditionalFormatting sqref="M132 D132:K132">
    <cfRule type="top10" dxfId="1306" priority="39" bottom="1" rank="1"/>
    <cfRule type="top10" dxfId="1305" priority="40" bottom="1" rank="2"/>
  </conditionalFormatting>
  <conditionalFormatting sqref="M133 D133:K133">
    <cfRule type="top10" dxfId="1304" priority="37" bottom="1" rank="1"/>
    <cfRule type="top10" dxfId="1303" priority="38" bottom="1" rank="2"/>
  </conditionalFormatting>
  <conditionalFormatting sqref="M134 D134:K134">
    <cfRule type="top10" dxfId="1302" priority="36" bottom="1" rank="2"/>
    <cfRule type="top10" dxfId="1301" priority="35" bottom="1" rank="1"/>
  </conditionalFormatting>
  <conditionalFormatting sqref="M135 D135:K135">
    <cfRule type="top10" dxfId="1300" priority="33" bottom="1" rank="1"/>
    <cfRule type="top10" dxfId="1299" priority="34" bottom="1" rank="2"/>
  </conditionalFormatting>
  <conditionalFormatting sqref="M136 D136:K136">
    <cfRule type="top10" dxfId="1298" priority="20" bottom="1" rank="2"/>
    <cfRule type="top10" dxfId="1297" priority="19" bottom="1" rank="1"/>
  </conditionalFormatting>
  <conditionalFormatting sqref="M137 D137:K137">
    <cfRule type="top10" dxfId="1296" priority="30" bottom="1" rank="2"/>
    <cfRule type="top10" dxfId="1295" priority="29" bottom="1" rank="1"/>
  </conditionalFormatting>
  <conditionalFormatting sqref="M138 D138:K138">
    <cfRule type="top10" dxfId="1294" priority="27" bottom="1" rank="1"/>
    <cfRule type="top10" dxfId="1293" priority="28" bottom="1" rank="2"/>
  </conditionalFormatting>
  <conditionalFormatting sqref="M139 D139:K139">
    <cfRule type="top10" dxfId="1292" priority="25" bottom="1" rank="1"/>
    <cfRule type="top10" dxfId="1291" priority="26" bottom="1" rank="2"/>
  </conditionalFormatting>
  <conditionalFormatting sqref="M140 D140:K140">
    <cfRule type="top10" dxfId="1290" priority="24" bottom="1" rank="2"/>
    <cfRule type="top10" dxfId="1289" priority="23" bottom="1" rank="1"/>
  </conditionalFormatting>
  <conditionalFormatting sqref="M141 D141:K141">
    <cfRule type="top10" dxfId="1288" priority="22" bottom="1" rank="2"/>
    <cfRule type="top10" dxfId="1287" priority="21" bottom="1" rank="1"/>
  </conditionalFormatting>
  <conditionalFormatting sqref="N43">
    <cfRule type="top10" dxfId="1286" priority="1186" bottom="1" rank="2"/>
  </conditionalFormatting>
  <printOptions horizontalCentered="1" verticalCentered="1"/>
  <pageMargins left="0" right="0" top="0" bottom="0" header="0" footer="0"/>
  <pageSetup paperSize="8" scale="34" orientation="portrait" r:id="rId1"/>
  <headerFooter>
    <oddFooter>&amp;L_x000D_&amp;1#&amp;"Calibri"&amp;8&amp;K008000 Public</oddFooter>
  </headerFooter>
  <rowBreaks count="1" manualBreakCount="1">
    <brk id="70"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9</vt:i4>
      </vt:variant>
    </vt:vector>
  </HeadingPairs>
  <TitlesOfParts>
    <vt:vector size="26" baseType="lpstr">
      <vt:lpstr>Cover Page</vt:lpstr>
      <vt:lpstr>Disclaimers</vt:lpstr>
      <vt:lpstr>What we like</vt:lpstr>
      <vt:lpstr>Product Features</vt:lpstr>
      <vt:lpstr>Premium Discount Details</vt:lpstr>
      <vt:lpstr>SA 250K,500K</vt:lpstr>
      <vt:lpstr>SA500k</vt:lpstr>
      <vt:lpstr>SA500k (limited pay)</vt:lpstr>
      <vt:lpstr>SA800k</vt:lpstr>
      <vt:lpstr>SA1M</vt:lpstr>
      <vt:lpstr>SA1.5M</vt:lpstr>
      <vt:lpstr>SA1M (limited pay)</vt:lpstr>
      <vt:lpstr>SA2M</vt:lpstr>
      <vt:lpstr>SA5M </vt:lpstr>
      <vt:lpstr>SA10M</vt:lpstr>
      <vt:lpstr>Limited Pay - MNS SA1M</vt:lpstr>
      <vt:lpstr>Limited Pay - FNS SA1M</vt:lpstr>
      <vt:lpstr>'Cover Page'!Print_Area</vt:lpstr>
      <vt:lpstr>Disclaimers!Print_Area</vt:lpstr>
      <vt:lpstr>SA1.5M!Print_Area</vt:lpstr>
      <vt:lpstr>SA10M!Print_Area</vt:lpstr>
      <vt:lpstr>'SA1M (limited pay)'!Print_Area</vt:lpstr>
      <vt:lpstr>SA2M!Print_Area</vt:lpstr>
      <vt:lpstr>'SA500k (limited pay)'!Print_Area</vt:lpstr>
      <vt:lpstr>'SA5M '!Print_Area</vt:lpstr>
      <vt:lpstr>SA800k!Print_Area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Propel Product Management</dc:creator>
  <cp:lastModifiedBy>Cristtin Teow</cp:lastModifiedBy>
  <dcterms:created xsi:type="dcterms:W3CDTF">2015-06-05T18:17:20Z</dcterms:created>
  <dcterms:modified xsi:type="dcterms:W3CDTF">2025-04-21T08:06:11Z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2024-03-21T08:12:28Z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fc0dd6d9-34f9-4dc6-b672-50b563665a6a</vt:lpwstr>
  </property>
  <property fmtid="{D5CDD505-2E9C-101B-9397-08002B2CF9AE}" pid="8" name="MSIP_Label_b4736c2c-fcb1-4cac-97f3-89b84deb3f53_ContentBits">
    <vt:lpwstr>2</vt:lpwstr>
  </property>
</Properties>
</file>