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21B46048-34E0-47C4-BDD6-6AD58D0DCA85}" xr6:coauthVersionLast="47" xr6:coauthVersionMax="47" xr10:uidLastSave="{00000000-0000-0000-0000-000000000000}"/>
  <bookViews>
    <workbookView xWindow="0" yWindow="0" windowWidth="28800" windowHeight="15600" xr2:uid="{C526D0A4-6E8F-45C0-947D-9FA7BDBB98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4" i="1" l="1"/>
  <c r="B132" i="1"/>
  <c r="B131" i="1"/>
  <c r="B130" i="1"/>
  <c r="B129" i="1"/>
  <c r="B126" i="1" l="1"/>
  <c r="I84" i="1"/>
  <c r="I83" i="1"/>
  <c r="I82" i="1"/>
  <c r="I81" i="1"/>
  <c r="K76" i="1"/>
  <c r="K77" i="1"/>
  <c r="K78" i="1"/>
  <c r="K75" i="1"/>
  <c r="J76" i="1"/>
  <c r="J77" i="1"/>
  <c r="J78" i="1"/>
  <c r="J75" i="1"/>
  <c r="I80" i="1"/>
  <c r="I76" i="1"/>
  <c r="I77" i="1"/>
  <c r="I78" i="1"/>
  <c r="I75" i="1"/>
  <c r="B71" i="1" l="1"/>
  <c r="B70" i="1" a="1"/>
  <c r="B70" i="1" s="1"/>
  <c r="B68" i="1"/>
  <c r="B67" i="1"/>
  <c r="B65" i="1"/>
  <c r="B64" i="1"/>
  <c r="B63" i="1"/>
  <c r="B41" i="1"/>
  <c r="B40" i="1"/>
  <c r="B39" i="1"/>
  <c r="E20" i="1"/>
  <c r="E17" i="1"/>
  <c r="E18" i="1"/>
  <c r="E19" i="1"/>
  <c r="E16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<sst xmlns="http://schemas.openxmlformats.org/spreadsheetml/2006/main" count="45" uniqueCount="38">
  <si>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S=</t>
  </si>
  <si>
    <t>n=</t>
  </si>
  <si>
    <t>i=</t>
  </si>
  <si>
    <t>iэфф=</t>
  </si>
  <si>
    <t>tk</t>
  </si>
  <si>
    <t>Pk</t>
  </si>
  <si>
    <t>t=</t>
  </si>
  <si>
    <t>N=</t>
  </si>
  <si>
    <t>c=</t>
  </si>
  <si>
    <t>V=</t>
  </si>
  <si>
    <t>K=</t>
  </si>
  <si>
    <t>ro=</t>
  </si>
  <si>
    <t>x1=</t>
  </si>
  <si>
    <t>x2=</t>
  </si>
  <si>
    <t>x3=</t>
  </si>
  <si>
    <t>mu1=</t>
  </si>
  <si>
    <t>mu2=</t>
  </si>
  <si>
    <t>mu3=</t>
  </si>
  <si>
    <t>A=</t>
  </si>
  <si>
    <t>sigma^2=</t>
  </si>
  <si>
    <t>sigma=</t>
  </si>
  <si>
    <t>конец</t>
  </si>
  <si>
    <t>начало</t>
  </si>
  <si>
    <t>muf=</t>
  </si>
  <si>
    <t>r</t>
  </si>
  <si>
    <t>r_avg=</t>
  </si>
  <si>
    <t>(r-r_avg)^2</t>
  </si>
  <si>
    <t>1+r</t>
  </si>
  <si>
    <t>r_p=</t>
  </si>
  <si>
    <t>sigma_p=</t>
  </si>
  <si>
    <t>K(sharp ratio)=</t>
  </si>
  <si>
    <t>КОЛЛ</t>
  </si>
  <si>
    <t>T=</t>
  </si>
  <si>
    <t>r=</t>
  </si>
  <si>
    <t>d1=</t>
  </si>
  <si>
    <t>d2=</t>
  </si>
  <si>
    <t>Ф(d2)=</t>
  </si>
  <si>
    <t>Ф(d1)=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</si>
</sst>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0.00000%"/>
    <numFmt numFmtId="173" formatCode="0.0000000%"/>
    <numFmt numFmtId="177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73" fontId="0" fillId="0" borderId="0" xfId="0" applyNumberFormat="1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/>
    </xf>
    <xf numFmtId="177" fontId="0" fillId="0" borderId="0" xfId="0" applyNumberFormat="1"/>
    <xf numFmtId="9" fontId="0" fillId="0" borderId="0" xfId="1" applyFont="1"/>
    <xf numFmtId="171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381561</xdr:colOff>
      <xdr:row>2</xdr:row>
      <xdr:rowOff>130856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BB764F2-691F-47E5-8B48-04A8EAC5E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6118412" cy="511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5</xdr:col>
      <xdr:colOff>428625</xdr:colOff>
      <xdr:row>14</xdr:row>
      <xdr:rowOff>9525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3577D26-D1C0-4317-96AA-5B4DDA1D7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37719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314325</xdr:colOff>
      <xdr:row>34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8B54E8B-6479-4674-B50F-B49B14ABE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6576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5</xdr:col>
      <xdr:colOff>209550</xdr:colOff>
      <xdr:row>61</xdr:row>
      <xdr:rowOff>28575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E64FB41-19E5-40B4-A602-7212B53C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3552825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5</xdr:col>
      <xdr:colOff>161925</xdr:colOff>
      <xdr:row>101</xdr:row>
      <xdr:rowOff>114300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741A452-264D-4B98-907B-1391D404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3505200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8</xdr:col>
      <xdr:colOff>171450</xdr:colOff>
      <xdr:row>121</xdr:row>
      <xdr:rowOff>38100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65AA5D4-52E5-48FB-885B-326DAAC22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5343525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123</xdr:row>
      <xdr:rowOff>76200</xdr:rowOff>
    </xdr:from>
    <xdr:to>
      <xdr:col>15</xdr:col>
      <xdr:colOff>288055</xdr:colOff>
      <xdr:row>146</xdr:row>
      <xdr:rowOff>124443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EE96630-8E2A-4719-BF5A-79EFD0509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14675" y="23507700"/>
          <a:ext cx="6803155" cy="4429743"/>
        </a:xfrm>
        <a:prstGeom prst="rect">
          <a:avLst/>
        </a:prstGeom>
      </xdr:spPr>
    </xdr:pic>
    <xdr:clientData/>
  </xdr:twoCellAnchor>
  <xdr:twoCellAnchor editAs="oneCell">
    <xdr:from>
      <xdr:col>1</xdr:col>
      <xdr:colOff>625928</xdr:colOff>
      <xdr:row>58</xdr:row>
      <xdr:rowOff>0</xdr:rowOff>
    </xdr:from>
    <xdr:to>
      <xdr:col>3</xdr:col>
      <xdr:colOff>170214</xdr:colOff>
      <xdr:row>59</xdr:row>
      <xdr:rowOff>95290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0029BF4-AD76-4A5A-AEB0-92D71F33F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49" y="11049000"/>
          <a:ext cx="905001" cy="285790"/>
        </a:xfrm>
        <a:prstGeom prst="rect">
          <a:avLst/>
        </a:prstGeom>
      </xdr:spPr>
    </xdr:pic>
    <xdr:clientData/>
  </xdr:twoCellAnchor>
  <xdr:twoCellAnchor editAs="oneCell">
    <xdr:from>
      <xdr:col>3</xdr:col>
      <xdr:colOff>204107</xdr:colOff>
      <xdr:row>36</xdr:row>
      <xdr:rowOff>13607</xdr:rowOff>
    </xdr:from>
    <xdr:to>
      <xdr:col>6</xdr:col>
      <xdr:colOff>404439</xdr:colOff>
      <xdr:row>39</xdr:row>
      <xdr:rowOff>80371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185D07E-AD73-4842-AA27-1061B010B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7143" y="6871607"/>
          <a:ext cx="2200582" cy="638264"/>
        </a:xfrm>
        <a:prstGeom prst="rect">
          <a:avLst/>
        </a:prstGeom>
      </xdr:spPr>
    </xdr:pic>
    <xdr:clientData/>
  </xdr:twoCellAnchor>
  <xdr:twoCellAnchor editAs="oneCell">
    <xdr:from>
      <xdr:col>2</xdr:col>
      <xdr:colOff>68036</xdr:colOff>
      <xdr:row>36</xdr:row>
      <xdr:rowOff>136072</xdr:rowOff>
    </xdr:from>
    <xdr:to>
      <xdr:col>3</xdr:col>
      <xdr:colOff>255926</xdr:colOff>
      <xdr:row>39</xdr:row>
      <xdr:rowOff>136152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4CF2FF04-5995-4FCC-8F96-0C916FBB1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0" y="6994072"/>
          <a:ext cx="800212" cy="57158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11</xdr:row>
      <xdr:rowOff>68036</xdr:rowOff>
    </xdr:from>
    <xdr:to>
      <xdr:col>13</xdr:col>
      <xdr:colOff>324507</xdr:colOff>
      <xdr:row>14</xdr:row>
      <xdr:rowOff>125274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0DBFF55-CF26-4502-A67C-585CC2889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68536" y="2163536"/>
          <a:ext cx="4706007" cy="628738"/>
        </a:xfrm>
        <a:prstGeom prst="rect">
          <a:avLst/>
        </a:prstGeom>
      </xdr:spPr>
    </xdr:pic>
    <xdr:clientData/>
  </xdr:twoCellAnchor>
  <xdr:twoCellAnchor editAs="oneCell">
    <xdr:from>
      <xdr:col>3</xdr:col>
      <xdr:colOff>-1</xdr:colOff>
      <xdr:row>3</xdr:row>
      <xdr:rowOff>68036</xdr:rowOff>
    </xdr:from>
    <xdr:to>
      <xdr:col>5</xdr:col>
      <xdr:colOff>88446</xdr:colOff>
      <xdr:row>6</xdr:row>
      <xdr:rowOff>79860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82DEE8B-E00F-42F0-8778-03431EB0DBD1}"/>
            </a:ext>
            <a:ext uri="{147F2762-F138-4A5C-976F-8EAC2B608ADB}">
              <a16:predDERef xmlns:a16="http://schemas.microsoft.com/office/drawing/2014/main" pred="{19CB70E0-6692-4EBD-A0A5-8C5D2795A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73035" y="639536"/>
          <a:ext cx="1476375" cy="583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59EB-6A28-4D3E-A8CF-2EB4B11D8397}">
  <dimension ref="A4:K134"/>
  <sheetViews>
    <sheetView tabSelected="1" topLeftCell="A34" zoomScale="70" zoomScaleNormal="70" workbookViewId="0">
      <selection activeCell="J50" sqref="J50"/>
    </sheetView>
  </sheetViews>
  <sheetFormatPr defaultRowHeight="15" x14ac:dyDescent="0.25"/>
  <cols>
    <col min="2" max="2" width="11.140625" bestFit="1" customWidth="1"/>
    <col min="5" max="5" width="11.5703125" bestFit="1" customWidth="1"/>
    <col min="10" max="10" width="12" bestFit="1" customWidth="1"/>
  </cols>
  <sheetData>
    <row r="4" spans="1:5" x14ac:dyDescent="0.25">
      <c r="A4" t="s">
        <v>0</v>
      </c>
      <c r="B4">
        <v>150000</v>
      </c>
    </row>
    <row r="5" spans="1:5" x14ac:dyDescent="0.25">
      <c r="A5" t="s">
        <v>1</v>
      </c>
      <c r="B5">
        <v>8</v>
      </c>
    </row>
    <row r="6" spans="1:5" x14ac:dyDescent="0.25">
      <c r="A6" t="s">
        <v>2</v>
      </c>
      <c r="B6" s="1">
        <v>7.0000000000000007E-2</v>
      </c>
    </row>
    <row r="7" spans="1:5" x14ac:dyDescent="0.25">
      <c r="A7" t="s">
        <v>3</v>
      </c>
      <c r="B7" s="2">
        <f>EXP(B6)-1</f>
        <v>7.2508181254216542E-2</v>
      </c>
    </row>
    <row r="15" spans="1:5" x14ac:dyDescent="0.25">
      <c r="C15" t="s">
        <v>4</v>
      </c>
      <c r="D15" t="s">
        <v>5</v>
      </c>
    </row>
    <row r="16" spans="1:5" x14ac:dyDescent="0.25">
      <c r="A16" t="s">
        <v>2</v>
      </c>
      <c r="B16" s="4">
        <v>0.08</v>
      </c>
      <c r="C16">
        <v>0</v>
      </c>
      <c r="D16">
        <v>600</v>
      </c>
      <c r="E16">
        <f>D16*(1+$B$16)^($B$18-C16)</f>
        <v>648</v>
      </c>
    </row>
    <row r="17" spans="1:5" x14ac:dyDescent="0.25">
      <c r="C17">
        <v>1</v>
      </c>
      <c r="D17">
        <v>220</v>
      </c>
      <c r="E17">
        <f t="shared" ref="E17:E19" si="0">D17*(1+$B$16)^($B$18-C17)</f>
        <v>220</v>
      </c>
    </row>
    <row r="18" spans="1:5" x14ac:dyDescent="0.25">
      <c r="A18" t="s">
        <v>6</v>
      </c>
      <c r="B18" s="3">
        <v>1</v>
      </c>
      <c r="C18">
        <v>2</v>
      </c>
      <c r="D18">
        <v>310</v>
      </c>
      <c r="E18">
        <f t="shared" si="0"/>
        <v>287.03703703703701</v>
      </c>
    </row>
    <row r="19" spans="1:5" x14ac:dyDescent="0.25">
      <c r="C19">
        <v>3</v>
      </c>
      <c r="D19">
        <v>600</v>
      </c>
      <c r="E19">
        <f t="shared" si="0"/>
        <v>514.4032921810699</v>
      </c>
    </row>
    <row r="20" spans="1:5" x14ac:dyDescent="0.25">
      <c r="E20" s="5">
        <f>SUM(E16:E19)</f>
        <v>1669.4403292181069</v>
      </c>
    </row>
    <row r="36" spans="1:2" x14ac:dyDescent="0.25">
      <c r="A36" t="s">
        <v>1</v>
      </c>
      <c r="B36">
        <v>6</v>
      </c>
    </row>
    <row r="37" spans="1:2" x14ac:dyDescent="0.25">
      <c r="A37" t="s">
        <v>7</v>
      </c>
      <c r="B37">
        <v>3440</v>
      </c>
    </row>
    <row r="38" spans="1:2" x14ac:dyDescent="0.25">
      <c r="A38" t="s">
        <v>8</v>
      </c>
      <c r="B38" s="1">
        <v>0.08</v>
      </c>
    </row>
    <row r="39" spans="1:2" x14ac:dyDescent="0.25">
      <c r="A39" t="s">
        <v>9</v>
      </c>
      <c r="B39">
        <f>B37*(1-4%)</f>
        <v>3302.4</v>
      </c>
    </row>
    <row r="40" spans="1:2" x14ac:dyDescent="0.25">
      <c r="A40" t="s">
        <v>10</v>
      </c>
      <c r="B40">
        <f>B39/B37</f>
        <v>0.96000000000000008</v>
      </c>
    </row>
    <row r="41" spans="1:2" x14ac:dyDescent="0.25">
      <c r="A41" t="s">
        <v>11</v>
      </c>
      <c r="B41" s="7">
        <f>2*(B38*B36+1-B40)/(B40-1+B36*(1+B40))</f>
        <v>8.8737201365187687E-2</v>
      </c>
    </row>
    <row r="63" spans="1:7" x14ac:dyDescent="0.25">
      <c r="A63" t="s">
        <v>12</v>
      </c>
      <c r="B63">
        <f>4/19</f>
        <v>0.21052631578947367</v>
      </c>
      <c r="E63">
        <v>49</v>
      </c>
      <c r="F63">
        <v>-8</v>
      </c>
      <c r="G63">
        <v>7</v>
      </c>
    </row>
    <row r="64" spans="1:7" x14ac:dyDescent="0.25">
      <c r="A64" t="s">
        <v>13</v>
      </c>
      <c r="B64">
        <f>8/19</f>
        <v>0.42105263157894735</v>
      </c>
      <c r="D64" t="s">
        <v>18</v>
      </c>
      <c r="E64">
        <v>-8</v>
      </c>
      <c r="F64">
        <v>36</v>
      </c>
      <c r="G64">
        <v>6</v>
      </c>
    </row>
    <row r="65" spans="1:11" x14ac:dyDescent="0.25">
      <c r="A65" t="s">
        <v>14</v>
      </c>
      <c r="B65">
        <f>7/19</f>
        <v>0.36842105263157893</v>
      </c>
      <c r="E65">
        <v>7</v>
      </c>
      <c r="F65">
        <v>6</v>
      </c>
      <c r="G65">
        <v>16</v>
      </c>
    </row>
    <row r="66" spans="1:11" x14ac:dyDescent="0.25">
      <c r="A66" t="s">
        <v>15</v>
      </c>
      <c r="B66" s="1">
        <v>-0.1</v>
      </c>
    </row>
    <row r="67" spans="1:11" x14ac:dyDescent="0.25">
      <c r="A67" t="s">
        <v>16</v>
      </c>
      <c r="B67" s="6">
        <f>11%</f>
        <v>0.11</v>
      </c>
    </row>
    <row r="68" spans="1:11" x14ac:dyDescent="0.25">
      <c r="A68" t="s">
        <v>17</v>
      </c>
      <c r="B68" s="6">
        <f>13%</f>
        <v>0.13</v>
      </c>
    </row>
    <row r="70" spans="1:11" x14ac:dyDescent="0.25">
      <c r="A70" t="s">
        <v>19</v>
      </c>
      <c r="B70" cm="1">
        <f t="array" ref="B70">MMULT(TRANSPOSE(B63:B65),MMULT(E63:G65,B63:B65))</f>
        <v>12.254847645429361</v>
      </c>
    </row>
    <row r="71" spans="1:11" x14ac:dyDescent="0.25">
      <c r="A71" t="s">
        <v>20</v>
      </c>
      <c r="B71">
        <f>SQRT(B70)</f>
        <v>3.5006924522770295</v>
      </c>
    </row>
    <row r="72" spans="1:11" x14ac:dyDescent="0.25">
      <c r="G72" t="s">
        <v>23</v>
      </c>
      <c r="H72" s="1">
        <v>0.16</v>
      </c>
    </row>
    <row r="74" spans="1:11" x14ac:dyDescent="0.25">
      <c r="G74" t="s">
        <v>22</v>
      </c>
      <c r="H74" t="s">
        <v>21</v>
      </c>
      <c r="I74" t="s">
        <v>24</v>
      </c>
      <c r="J74" t="s">
        <v>26</v>
      </c>
      <c r="K74" t="s">
        <v>27</v>
      </c>
    </row>
    <row r="75" spans="1:11" x14ac:dyDescent="0.25">
      <c r="G75">
        <v>25</v>
      </c>
      <c r="H75">
        <v>26</v>
      </c>
      <c r="I75">
        <f>H75/G75-1</f>
        <v>4.0000000000000036E-2</v>
      </c>
      <c r="J75">
        <f>(I75-$I$80)^2</f>
        <v>9.7476321433879012E-6</v>
      </c>
      <c r="K75">
        <f>I75+1</f>
        <v>1.04</v>
      </c>
    </row>
    <row r="76" spans="1:11" x14ac:dyDescent="0.25">
      <c r="G76">
        <v>28</v>
      </c>
      <c r="H76">
        <v>29</v>
      </c>
      <c r="I76">
        <f t="shared" ref="I76:I78" si="1">H76/G76-1</f>
        <v>3.5714285714285809E-2</v>
      </c>
      <c r="J76">
        <f t="shared" ref="J76:J78" si="2">(I76-$I$80)^2</f>
        <v>5.4876006073604057E-5</v>
      </c>
      <c r="K76">
        <f t="shared" ref="K76:K78" si="3">I76+1</f>
        <v>1.0357142857142858</v>
      </c>
    </row>
    <row r="77" spans="1:11" x14ac:dyDescent="0.25">
      <c r="G77">
        <v>31</v>
      </c>
      <c r="H77">
        <v>32</v>
      </c>
      <c r="I77">
        <f t="shared" si="1"/>
        <v>3.2258064516129004E-2</v>
      </c>
      <c r="J77">
        <f t="shared" si="2"/>
        <v>1.1802769755144601E-4</v>
      </c>
      <c r="K77">
        <f t="shared" si="3"/>
        <v>1.032258064516129</v>
      </c>
    </row>
    <row r="78" spans="1:11" x14ac:dyDescent="0.25">
      <c r="G78">
        <v>31</v>
      </c>
      <c r="H78">
        <v>33</v>
      </c>
      <c r="I78">
        <f t="shared" si="1"/>
        <v>6.4516129032258007E-2</v>
      </c>
      <c r="J78">
        <f t="shared" si="2"/>
        <v>4.5770363035952901E-4</v>
      </c>
      <c r="K78">
        <f t="shared" si="3"/>
        <v>1.064516129032258</v>
      </c>
    </row>
    <row r="80" spans="1:11" x14ac:dyDescent="0.25">
      <c r="H80" t="s">
        <v>25</v>
      </c>
      <c r="I80">
        <f>AVERAGE(I75:I78)</f>
        <v>4.3122119815668214E-2</v>
      </c>
    </row>
    <row r="81" spans="7:9" x14ac:dyDescent="0.25">
      <c r="H81" t="s">
        <v>28</v>
      </c>
      <c r="I81">
        <f>PRODUCT(K75:K78)-1</f>
        <v>0.18362420098112064</v>
      </c>
    </row>
    <row r="82" spans="7:9" x14ac:dyDescent="0.25">
      <c r="H82" t="s">
        <v>20</v>
      </c>
      <c r="I82">
        <f>SQRT(AVERAGE(J75:J78))</f>
        <v>1.2652617971471034E-2</v>
      </c>
    </row>
    <row r="83" spans="7:9" x14ac:dyDescent="0.25">
      <c r="H83" t="s">
        <v>29</v>
      </c>
      <c r="I83">
        <f>I82*SQRT(4)</f>
        <v>2.5305235942942067E-2</v>
      </c>
    </row>
    <row r="84" spans="7:9" x14ac:dyDescent="0.25">
      <c r="G84" t="s">
        <v>30</v>
      </c>
      <c r="I84">
        <f>(I81-H72)/I83</f>
        <v>0.93356967840126825</v>
      </c>
    </row>
    <row r="123" spans="1:4" x14ac:dyDescent="0.25">
      <c r="A123" t="s">
        <v>0</v>
      </c>
      <c r="B123">
        <v>1500</v>
      </c>
      <c r="D123" t="s">
        <v>31</v>
      </c>
    </row>
    <row r="124" spans="1:4" x14ac:dyDescent="0.25">
      <c r="A124" t="s">
        <v>20</v>
      </c>
      <c r="B124">
        <v>0.2</v>
      </c>
    </row>
    <row r="125" spans="1:4" x14ac:dyDescent="0.25">
      <c r="A125" t="s">
        <v>10</v>
      </c>
      <c r="B125">
        <v>1400</v>
      </c>
    </row>
    <row r="126" spans="1:4" x14ac:dyDescent="0.25">
      <c r="A126" t="s">
        <v>32</v>
      </c>
      <c r="B126">
        <f>3/12</f>
        <v>0.25</v>
      </c>
    </row>
    <row r="127" spans="1:4" x14ac:dyDescent="0.25">
      <c r="A127" t="s">
        <v>33</v>
      </c>
      <c r="B127" s="1">
        <v>7.0000000000000007E-2</v>
      </c>
    </row>
    <row r="129" spans="1:2" x14ac:dyDescent="0.25">
      <c r="A129" t="s">
        <v>34</v>
      </c>
      <c r="B129">
        <f>(LN(B123/B125)+(B127+B124^2/2)*B126)/(B124*SQRT(B126))</f>
        <v>0.91492871486951421</v>
      </c>
    </row>
    <row r="130" spans="1:2" x14ac:dyDescent="0.25">
      <c r="A130" t="s">
        <v>35</v>
      </c>
      <c r="B130">
        <f>B129-B124*SQRT(B126)</f>
        <v>0.81492871486951424</v>
      </c>
    </row>
    <row r="131" spans="1:2" x14ac:dyDescent="0.25">
      <c r="A131" t="s">
        <v>37</v>
      </c>
      <c r="B131">
        <f>_xlfn.NORM.S.DIST(B129,1)</f>
        <v>0.81988547285593261</v>
      </c>
    </row>
    <row r="132" spans="1:2" x14ac:dyDescent="0.25">
      <c r="A132" t="s">
        <v>36</v>
      </c>
      <c r="B132">
        <f>_xlfn.NORM.S.DIST(B130,1)</f>
        <v>0.79244344228866881</v>
      </c>
    </row>
    <row r="134" spans="1:2" x14ac:dyDescent="0.25">
      <c r="A134" t="s">
        <v>8</v>
      </c>
      <c r="B134">
        <f>B123*B131-B125*EXP(-B127*B126)*B132</f>
        <v>139.65336099957744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2023-01-31T09:03:04Z</dcterms:created>
  <dcterms:modified xsi:type="dcterms:W3CDTF">2023-01-31T09:52:16Z</dcterms:modified>
</cp:coreProperties>
</file>