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kita\Desktop\ShaRinGan\FinMath\"/>
    </mc:Choice>
  </mc:AlternateContent>
  <xr:revisionPtr revIDLastSave="0" documentId="8_{7DADE002-27F8-422E-B0CC-3022BA6F0730}" xr6:coauthVersionLast="47" xr6:coauthVersionMax="47" xr10:uidLastSave="{00000000-0000-0000-0000-000000000000}"/>
  <bookViews>
    <workbookView xWindow="-120" yWindow="-120" windowWidth="29040" windowHeight="15840" xr2:uid="{FC35329D-C5F6-473E-A75B-4ED6939DADC2}"/>
  </bookViews>
  <sheets>
    <sheet name="Лист2" sheetId="2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05" i="2" l="1"/>
  <c r="E125" i="2"/>
  <c r="F125" i="2"/>
  <c r="G125" i="2"/>
  <c r="D125" i="2"/>
  <c r="E124" i="2"/>
  <c r="F124" i="2"/>
  <c r="G124" i="2"/>
  <c r="D124" i="2"/>
  <c r="D123" i="2"/>
  <c r="B306" i="2"/>
  <c r="B307" i="2"/>
  <c r="B310" i="2"/>
  <c r="B313" i="2" s="1"/>
  <c r="C316" i="2" s="1"/>
  <c r="B309" i="2"/>
  <c r="B312" i="2" s="1"/>
  <c r="C315" i="2" s="1"/>
  <c r="B285" i="2"/>
  <c r="B287" i="2" s="1"/>
  <c r="B284" i="2"/>
  <c r="B265" i="2"/>
  <c r="B266" i="2"/>
  <c r="B268" i="2" s="1"/>
  <c r="B269" i="2" s="1"/>
  <c r="B272" i="2" s="1"/>
  <c r="E251" i="2"/>
  <c r="C247" i="2"/>
  <c r="D251" i="2" s="1"/>
  <c r="C246" i="2"/>
  <c r="C250" i="2" s="1"/>
  <c r="B251" i="2"/>
  <c r="B252" i="2"/>
  <c r="B253" i="2"/>
  <c r="B250" i="2"/>
  <c r="C245" i="2"/>
  <c r="E252" i="2" s="1"/>
  <c r="C244" i="2"/>
  <c r="C213" i="2"/>
  <c r="C215" i="2" s="1"/>
  <c r="C219" i="2" s="1"/>
  <c r="C227" i="2" s="1"/>
  <c r="C212" i="2"/>
  <c r="C214" i="2"/>
  <c r="C216" i="2"/>
  <c r="C197" i="2"/>
  <c r="C196" i="2"/>
  <c r="C194" i="2"/>
  <c r="C193" i="2"/>
  <c r="C192" i="2"/>
  <c r="D174" i="2"/>
  <c r="D173" i="2"/>
  <c r="E155" i="2"/>
  <c r="G155" i="2"/>
  <c r="F155" i="2"/>
  <c r="H155" i="2"/>
  <c r="D155" i="2"/>
  <c r="D153" i="2"/>
  <c r="H153" i="2"/>
  <c r="D152" i="2"/>
  <c r="E153" i="2"/>
  <c r="F153" i="2"/>
  <c r="G153" i="2"/>
  <c r="C98" i="2"/>
  <c r="C99" i="2"/>
  <c r="G81" i="2"/>
  <c r="F81" i="2"/>
  <c r="E81" i="2"/>
  <c r="D81" i="2"/>
  <c r="C81" i="2"/>
  <c r="C80" i="2"/>
  <c r="D63" i="2"/>
  <c r="E63" i="2"/>
  <c r="F63" i="2"/>
  <c r="C63" i="2"/>
  <c r="C62" i="2"/>
  <c r="C46" i="2"/>
  <c r="C45" i="2"/>
  <c r="C34" i="2"/>
  <c r="C33" i="2"/>
  <c r="C22" i="2"/>
  <c r="C21" i="2"/>
  <c r="C10" i="2"/>
  <c r="C9" i="2"/>
  <c r="B318" i="2" l="1"/>
  <c r="C252" i="2"/>
  <c r="C251" i="2"/>
  <c r="H251" i="2" s="1"/>
  <c r="E250" i="2"/>
  <c r="D250" i="2"/>
  <c r="H250" i="2" s="1"/>
  <c r="D253" i="2"/>
  <c r="C253" i="2"/>
  <c r="D252" i="2"/>
  <c r="E253" i="2"/>
  <c r="B290" i="2"/>
  <c r="B288" i="2"/>
  <c r="B291" i="2" s="1"/>
  <c r="B293" i="2" s="1"/>
  <c r="B271" i="2"/>
  <c r="B274" i="2" s="1"/>
  <c r="F225" i="2"/>
  <c r="C220" i="2"/>
  <c r="C226" i="2" s="1"/>
  <c r="F227" i="2" s="1"/>
  <c r="C218" i="2"/>
  <c r="C225" i="2" s="1"/>
  <c r="C222" i="2"/>
  <c r="H156" i="2"/>
  <c r="C82" i="2"/>
  <c r="D175" i="2"/>
  <c r="G154" i="2"/>
  <c r="F82" i="2"/>
  <c r="C47" i="2"/>
  <c r="G82" i="2"/>
  <c r="C199" i="2"/>
  <c r="H154" i="2"/>
  <c r="C64" i="2"/>
  <c r="D154" i="2"/>
  <c r="F64" i="2"/>
  <c r="D156" i="2"/>
  <c r="D64" i="2"/>
  <c r="F156" i="2"/>
  <c r="E64" i="2"/>
  <c r="D82" i="2"/>
  <c r="G156" i="2"/>
  <c r="E156" i="2"/>
  <c r="C23" i="2"/>
  <c r="E82" i="2"/>
  <c r="C11" i="2"/>
  <c r="E154" i="2"/>
  <c r="F154" i="2"/>
  <c r="C100" i="2"/>
  <c r="C35" i="2"/>
  <c r="H253" i="2" l="1"/>
  <c r="H252" i="2"/>
  <c r="H254" i="2" s="1"/>
  <c r="C255" i="2" s="1"/>
  <c r="F226" i="2"/>
  <c r="F229" i="2" s="1"/>
  <c r="C223" i="2"/>
  <c r="C229" i="2" s="1"/>
</calcChain>
</file>

<file path=xl/sharedStrings.xml><?xml version="1.0" encoding="utf-8"?>
<sst xmlns="http://schemas.openxmlformats.org/spreadsheetml/2006/main" count="165" uniqueCount="61">
  <si>
    <t>K=</t>
  </si>
  <si>
    <t>c=</t>
  </si>
  <si>
    <t>T=</t>
  </si>
  <si>
    <t>mu_f=</t>
  </si>
  <si>
    <t>FV( c)=</t>
  </si>
  <si>
    <t>C_T=max(0;S_T-K)=</t>
  </si>
  <si>
    <t>S_T=</t>
  </si>
  <si>
    <t>R=C_T-FV( c)=</t>
  </si>
  <si>
    <t>p=</t>
  </si>
  <si>
    <t>FV( p)=</t>
  </si>
  <si>
    <t>P_T=max(0;K-S_T)=</t>
  </si>
  <si>
    <t>R=P_T-FV( p)=</t>
  </si>
  <si>
    <t>R=FV( p)-P_T=</t>
  </si>
  <si>
    <t>S0=</t>
  </si>
  <si>
    <t>r=</t>
  </si>
  <si>
    <t>t=</t>
  </si>
  <si>
    <t>S=</t>
  </si>
  <si>
    <t>uS=</t>
  </si>
  <si>
    <t>dS=</t>
  </si>
  <si>
    <t>r1=r/12=</t>
  </si>
  <si>
    <t>d=(1-l/100)=dS/S=</t>
  </si>
  <si>
    <t>u=(1+g/100)=uS/S=</t>
  </si>
  <si>
    <t>cu=max(0;uS-K)=</t>
  </si>
  <si>
    <t>cd=max(0;dS-K)=</t>
  </si>
  <si>
    <t>g=</t>
  </si>
  <si>
    <t>l=</t>
  </si>
  <si>
    <t>знам=</t>
  </si>
  <si>
    <t>sigma=</t>
  </si>
  <si>
    <t>d1=</t>
  </si>
  <si>
    <t>d2=</t>
  </si>
  <si>
    <t>Ф(d1)=</t>
  </si>
  <si>
    <t>Ф(d2)=</t>
  </si>
  <si>
    <t>R=min(S_T;K) - FV(S0-p)=</t>
  </si>
  <si>
    <t>max(S_T;K)=</t>
  </si>
  <si>
    <t>FV(s0+p)=</t>
  </si>
  <si>
    <t>K=600</t>
  </si>
  <si>
    <t>K=400</t>
  </si>
  <si>
    <t>R=max(S_T;K) - FV(S0+p)=</t>
  </si>
  <si>
    <t>u=</t>
  </si>
  <si>
    <t>d=</t>
  </si>
  <si>
    <t>q_u=</t>
  </si>
  <si>
    <t>q_d=</t>
  </si>
  <si>
    <t>uuS=</t>
  </si>
  <si>
    <t>ddS=</t>
  </si>
  <si>
    <t>udS=</t>
  </si>
  <si>
    <t>cuu=max(0;uuS-K)=</t>
  </si>
  <si>
    <t>cud=max(0;udS-K)=</t>
  </si>
  <si>
    <t>cdd=max(0;ddS-K)=</t>
  </si>
  <si>
    <t>cu=</t>
  </si>
  <si>
    <t>cd=</t>
  </si>
  <si>
    <t>способ 2</t>
  </si>
  <si>
    <t>i</t>
  </si>
  <si>
    <t>C(i,n)</t>
  </si>
  <si>
    <t>q_u^i</t>
  </si>
  <si>
    <t>q_d^(n-i)</t>
  </si>
  <si>
    <t>max(u^I*d^(n-i)S-K,0)</t>
  </si>
  <si>
    <t>произв</t>
  </si>
  <si>
    <t>сумм</t>
  </si>
  <si>
    <t>с=</t>
  </si>
  <si>
    <t>8,12,13,16</t>
  </si>
  <si>
    <t>R=FV(S0+p) - max(S_T;K)=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</si>
</sst>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5" formatCode="0.00000"/>
    <numFmt numFmtId="167" formatCode="0.0000"/>
    <numFmt numFmtId="169" formatCode="0.0"/>
  </numFmts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9" fontId="0" fillId="0" borderId="0" xfId="0" applyNumberFormat="1"/>
    <xf numFmtId="0" fontId="0" fillId="2" borderId="0" xfId="0" applyFill="1"/>
    <xf numFmtId="169" fontId="0" fillId="2" borderId="0" xfId="0" applyNumberFormat="1" applyFill="1"/>
    <xf numFmtId="2" fontId="0" fillId="2" borderId="0" xfId="0" applyNumberFormat="1" applyFill="1"/>
    <xf numFmtId="167" fontId="0" fillId="2" borderId="0" xfId="0" applyNumberFormat="1" applyFill="1"/>
    <xf numFmtId="165" fontId="0" fillId="2" borderId="0" xfId="0" applyNumberForma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124710</xdr:colOff>
      <xdr:row>4</xdr:row>
      <xdr:rowOff>143001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9BCC83BD-2D64-4255-9B75-65D221C605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344535" cy="90500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10</xdr:col>
      <xdr:colOff>10394</xdr:colOff>
      <xdr:row>16</xdr:row>
      <xdr:rowOff>162054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142DB396-048E-4E1C-AFF4-7246417861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286000"/>
          <a:ext cx="6230219" cy="92405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10</xdr:col>
      <xdr:colOff>86605</xdr:colOff>
      <xdr:row>28</xdr:row>
      <xdr:rowOff>104896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4776D5A3-B8B0-40FD-84BB-2BB9185CDD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4572000"/>
          <a:ext cx="6306430" cy="86689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36</xdr:row>
      <xdr:rowOff>0</xdr:rowOff>
    </xdr:from>
    <xdr:to>
      <xdr:col>9</xdr:col>
      <xdr:colOff>600942</xdr:colOff>
      <xdr:row>40</xdr:row>
      <xdr:rowOff>104896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57964EF5-DA50-43F7-8628-4C65C38D3D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6858000"/>
          <a:ext cx="6211167" cy="86689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48</xdr:row>
      <xdr:rowOff>0</xdr:rowOff>
    </xdr:from>
    <xdr:to>
      <xdr:col>10</xdr:col>
      <xdr:colOff>58026</xdr:colOff>
      <xdr:row>52</xdr:row>
      <xdr:rowOff>143001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3874A610-EF74-4C7C-A66E-AA3F8D70DF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9144000"/>
          <a:ext cx="6277851" cy="90500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53</xdr:row>
      <xdr:rowOff>0</xdr:rowOff>
    </xdr:from>
    <xdr:to>
      <xdr:col>10</xdr:col>
      <xdr:colOff>115184</xdr:colOff>
      <xdr:row>55</xdr:row>
      <xdr:rowOff>114369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698F5B3F-0F04-4FD9-9C02-8881DC6F08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10096500"/>
          <a:ext cx="6335009" cy="49536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65</xdr:row>
      <xdr:rowOff>0</xdr:rowOff>
    </xdr:from>
    <xdr:to>
      <xdr:col>10</xdr:col>
      <xdr:colOff>48500</xdr:colOff>
      <xdr:row>73</xdr:row>
      <xdr:rowOff>95476</xdr:rowOff>
    </xdr:to>
    <xdr:pic>
      <xdr:nvPicPr>
        <xdr:cNvPr id="8" name="Рисунок 7">
          <a:extLst>
            <a:ext uri="{FF2B5EF4-FFF2-40B4-BE49-F238E27FC236}">
              <a16:creationId xmlns:a16="http://schemas.microsoft.com/office/drawing/2014/main" id="{9AD65E02-44AC-4660-A93B-B65EBC8DBC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12382500"/>
          <a:ext cx="6268325" cy="161947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84</xdr:row>
      <xdr:rowOff>0</xdr:rowOff>
    </xdr:from>
    <xdr:to>
      <xdr:col>10</xdr:col>
      <xdr:colOff>29447</xdr:colOff>
      <xdr:row>91</xdr:row>
      <xdr:rowOff>19239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5235569A-A994-4F26-A6D3-21997D892E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16002000"/>
          <a:ext cx="6249272" cy="135273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101</xdr:row>
      <xdr:rowOff>0</xdr:rowOff>
    </xdr:from>
    <xdr:to>
      <xdr:col>10</xdr:col>
      <xdr:colOff>38973</xdr:colOff>
      <xdr:row>115</xdr:row>
      <xdr:rowOff>19425</xdr:rowOff>
    </xdr:to>
    <xdr:pic>
      <xdr:nvPicPr>
        <xdr:cNvPr id="10" name="Рисунок 9">
          <a:extLst>
            <a:ext uri="{FF2B5EF4-FFF2-40B4-BE49-F238E27FC236}">
              <a16:creationId xmlns:a16="http://schemas.microsoft.com/office/drawing/2014/main" id="{1792D1E0-8CBB-49CA-ACE6-2728E98B8B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19240500"/>
          <a:ext cx="6258798" cy="26864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132</xdr:row>
      <xdr:rowOff>0</xdr:rowOff>
    </xdr:from>
    <xdr:to>
      <xdr:col>10</xdr:col>
      <xdr:colOff>58026</xdr:colOff>
      <xdr:row>143</xdr:row>
      <xdr:rowOff>181293</xdr:rowOff>
    </xdr:to>
    <xdr:pic>
      <xdr:nvPicPr>
        <xdr:cNvPr id="11" name="Рисунок 10">
          <a:extLst>
            <a:ext uri="{FF2B5EF4-FFF2-40B4-BE49-F238E27FC236}">
              <a16:creationId xmlns:a16="http://schemas.microsoft.com/office/drawing/2014/main" id="{85B8A497-BD2E-450B-B9A4-DAFBB7EBFC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24193500"/>
          <a:ext cx="6277851" cy="227679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158</xdr:row>
      <xdr:rowOff>0</xdr:rowOff>
    </xdr:from>
    <xdr:to>
      <xdr:col>10</xdr:col>
      <xdr:colOff>48500</xdr:colOff>
      <xdr:row>162</xdr:row>
      <xdr:rowOff>162054</xdr:rowOff>
    </xdr:to>
    <xdr:pic>
      <xdr:nvPicPr>
        <xdr:cNvPr id="12" name="Рисунок 11">
          <a:extLst>
            <a:ext uri="{FF2B5EF4-FFF2-40B4-BE49-F238E27FC236}">
              <a16:creationId xmlns:a16="http://schemas.microsoft.com/office/drawing/2014/main" id="{55F92CB2-337C-48E1-9041-67BFB9831F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30099000"/>
          <a:ext cx="6268325" cy="92405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163</xdr:row>
      <xdr:rowOff>0</xdr:rowOff>
    </xdr:from>
    <xdr:to>
      <xdr:col>10</xdr:col>
      <xdr:colOff>29447</xdr:colOff>
      <xdr:row>165</xdr:row>
      <xdr:rowOff>114369</xdr:rowOff>
    </xdr:to>
    <xdr:pic>
      <xdr:nvPicPr>
        <xdr:cNvPr id="13" name="Рисунок 12">
          <a:extLst>
            <a:ext uri="{FF2B5EF4-FFF2-40B4-BE49-F238E27FC236}">
              <a16:creationId xmlns:a16="http://schemas.microsoft.com/office/drawing/2014/main" id="{89F3F597-4A72-4EFD-81F4-36272E9CF6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0" y="31051500"/>
          <a:ext cx="6249272" cy="49536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176</xdr:row>
      <xdr:rowOff>0</xdr:rowOff>
    </xdr:from>
    <xdr:to>
      <xdr:col>10</xdr:col>
      <xdr:colOff>48500</xdr:colOff>
      <xdr:row>182</xdr:row>
      <xdr:rowOff>162107</xdr:rowOff>
    </xdr:to>
    <xdr:pic>
      <xdr:nvPicPr>
        <xdr:cNvPr id="14" name="Рисунок 13">
          <a:extLst>
            <a:ext uri="{FF2B5EF4-FFF2-40B4-BE49-F238E27FC236}">
              <a16:creationId xmlns:a16="http://schemas.microsoft.com/office/drawing/2014/main" id="{A6A20C04-D1B2-4EB5-8E3E-83E9F80D93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0" y="33528000"/>
          <a:ext cx="6268325" cy="130510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200</xdr:row>
      <xdr:rowOff>0</xdr:rowOff>
    </xdr:from>
    <xdr:to>
      <xdr:col>9</xdr:col>
      <xdr:colOff>600942</xdr:colOff>
      <xdr:row>205</xdr:row>
      <xdr:rowOff>123975</xdr:rowOff>
    </xdr:to>
    <xdr:pic>
      <xdr:nvPicPr>
        <xdr:cNvPr id="15" name="Рисунок 14">
          <a:extLst>
            <a:ext uri="{FF2B5EF4-FFF2-40B4-BE49-F238E27FC236}">
              <a16:creationId xmlns:a16="http://schemas.microsoft.com/office/drawing/2014/main" id="{A372FFFD-7948-4806-B473-F1C86B9338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0" y="38100000"/>
          <a:ext cx="6211167" cy="10764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229</xdr:row>
      <xdr:rowOff>95250</xdr:rowOff>
    </xdr:from>
    <xdr:to>
      <xdr:col>14</xdr:col>
      <xdr:colOff>220314</xdr:colOff>
      <xdr:row>235</xdr:row>
      <xdr:rowOff>162094</xdr:rowOff>
    </xdr:to>
    <xdr:pic>
      <xdr:nvPicPr>
        <xdr:cNvPr id="16" name="Рисунок 15">
          <a:extLst>
            <a:ext uri="{FF2B5EF4-FFF2-40B4-BE49-F238E27FC236}">
              <a16:creationId xmlns:a16="http://schemas.microsoft.com/office/drawing/2014/main" id="{AF998FD5-F221-4188-AEB1-2F384F3E0F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0" y="43719750"/>
          <a:ext cx="8878539" cy="120984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256</xdr:row>
      <xdr:rowOff>0</xdr:rowOff>
    </xdr:from>
    <xdr:to>
      <xdr:col>9</xdr:col>
      <xdr:colOff>515205</xdr:colOff>
      <xdr:row>260</xdr:row>
      <xdr:rowOff>66791</xdr:rowOff>
    </xdr:to>
    <xdr:pic>
      <xdr:nvPicPr>
        <xdr:cNvPr id="17" name="Рисунок 16">
          <a:extLst>
            <a:ext uri="{FF2B5EF4-FFF2-40B4-BE49-F238E27FC236}">
              <a16:creationId xmlns:a16="http://schemas.microsoft.com/office/drawing/2014/main" id="{3B7F2C49-0A27-4C99-9988-EB3AC08513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0" y="48768000"/>
          <a:ext cx="6125430" cy="828791"/>
        </a:xfrm>
        <a:prstGeom prst="rect">
          <a:avLst/>
        </a:prstGeom>
      </xdr:spPr>
    </xdr:pic>
    <xdr:clientData/>
  </xdr:twoCellAnchor>
  <xdr:twoCellAnchor editAs="oneCell">
    <xdr:from>
      <xdr:col>11</xdr:col>
      <xdr:colOff>28575</xdr:colOff>
      <xdr:row>254</xdr:row>
      <xdr:rowOff>142875</xdr:rowOff>
    </xdr:from>
    <xdr:to>
      <xdr:col>22</xdr:col>
      <xdr:colOff>96195</xdr:colOff>
      <xdr:row>278</xdr:row>
      <xdr:rowOff>618</xdr:rowOff>
    </xdr:to>
    <xdr:pic>
      <xdr:nvPicPr>
        <xdr:cNvPr id="18" name="Рисунок 17">
          <a:extLst>
            <a:ext uri="{FF2B5EF4-FFF2-40B4-BE49-F238E27FC236}">
              <a16:creationId xmlns:a16="http://schemas.microsoft.com/office/drawing/2014/main" id="{73BF396E-38BB-45D0-A81B-E4320FD1A0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6858000" y="48529875"/>
          <a:ext cx="6773220" cy="442974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275</xdr:row>
      <xdr:rowOff>0</xdr:rowOff>
    </xdr:from>
    <xdr:to>
      <xdr:col>10</xdr:col>
      <xdr:colOff>448606</xdr:colOff>
      <xdr:row>278</xdr:row>
      <xdr:rowOff>114396</xdr:rowOff>
    </xdr:to>
    <xdr:pic>
      <xdr:nvPicPr>
        <xdr:cNvPr id="19" name="Рисунок 18">
          <a:extLst>
            <a:ext uri="{FF2B5EF4-FFF2-40B4-BE49-F238E27FC236}">
              <a16:creationId xmlns:a16="http://schemas.microsoft.com/office/drawing/2014/main" id="{2B2E49F4-2676-4C09-BCF8-6244796948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0" y="52387500"/>
          <a:ext cx="6668431" cy="685896"/>
        </a:xfrm>
        <a:prstGeom prst="rect">
          <a:avLst/>
        </a:prstGeom>
      </xdr:spPr>
    </xdr:pic>
    <xdr:clientData/>
  </xdr:twoCellAnchor>
  <xdr:twoCellAnchor editAs="oneCell">
    <xdr:from>
      <xdr:col>5</xdr:col>
      <xdr:colOff>371475</xdr:colOff>
      <xdr:row>278</xdr:row>
      <xdr:rowOff>152400</xdr:rowOff>
    </xdr:from>
    <xdr:to>
      <xdr:col>13</xdr:col>
      <xdr:colOff>238791</xdr:colOff>
      <xdr:row>293</xdr:row>
      <xdr:rowOff>133746</xdr:rowOff>
    </xdr:to>
    <xdr:pic>
      <xdr:nvPicPr>
        <xdr:cNvPr id="20" name="Рисунок 19">
          <a:extLst>
            <a:ext uri="{FF2B5EF4-FFF2-40B4-BE49-F238E27FC236}">
              <a16:creationId xmlns:a16="http://schemas.microsoft.com/office/drawing/2014/main" id="{3048AA4B-2E80-4098-A205-1BFD340C64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3514725" y="53111400"/>
          <a:ext cx="4772691" cy="283884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295</xdr:row>
      <xdr:rowOff>0</xdr:rowOff>
    </xdr:from>
    <xdr:to>
      <xdr:col>10</xdr:col>
      <xdr:colOff>391448</xdr:colOff>
      <xdr:row>301</xdr:row>
      <xdr:rowOff>66844</xdr:rowOff>
    </xdr:to>
    <xdr:pic>
      <xdr:nvPicPr>
        <xdr:cNvPr id="21" name="Рисунок 20">
          <a:extLst>
            <a:ext uri="{FF2B5EF4-FFF2-40B4-BE49-F238E27FC236}">
              <a16:creationId xmlns:a16="http://schemas.microsoft.com/office/drawing/2014/main" id="{8B4162AE-6DD0-4357-ABF4-D866AF6395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0" y="56197500"/>
          <a:ext cx="6611273" cy="120984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4E86C-249F-4D08-982F-A9A83A49E017}">
  <dimension ref="A2:M318"/>
  <sheetViews>
    <sheetView tabSelected="1" workbookViewId="0">
      <selection activeCell="F314" sqref="F314"/>
    </sheetView>
  </sheetViews>
  <sheetFormatPr defaultRowHeight="15" x14ac:dyDescent="0.25"/>
  <cols>
    <col min="3" max="3" width="10.5703125" bestFit="1" customWidth="1"/>
    <col min="6" max="6" width="9.5703125" bestFit="1" customWidth="1"/>
  </cols>
  <sheetData>
    <row r="2" spans="1:13" x14ac:dyDescent="0.25">
      <c r="M2" t="s">
        <v>59</v>
      </c>
    </row>
    <row r="6" spans="1:13" x14ac:dyDescent="0.25">
      <c r="A6" t="s">
        <v>0</v>
      </c>
      <c r="C6">
        <v>143</v>
      </c>
    </row>
    <row r="7" spans="1:13" x14ac:dyDescent="0.25">
      <c r="A7" t="s">
        <v>1</v>
      </c>
      <c r="C7">
        <v>4</v>
      </c>
    </row>
    <row r="8" spans="1:13" x14ac:dyDescent="0.25">
      <c r="A8" t="s">
        <v>6</v>
      </c>
      <c r="C8">
        <v>150</v>
      </c>
    </row>
    <row r="9" spans="1:13" x14ac:dyDescent="0.25">
      <c r="A9" t="s">
        <v>4</v>
      </c>
      <c r="C9">
        <f>C7</f>
        <v>4</v>
      </c>
    </row>
    <row r="10" spans="1:13" x14ac:dyDescent="0.25">
      <c r="A10" t="s">
        <v>5</v>
      </c>
      <c r="C10">
        <f>MAX(0,C8-C6)</f>
        <v>7</v>
      </c>
    </row>
    <row r="11" spans="1:13" x14ac:dyDescent="0.25">
      <c r="A11" t="s">
        <v>7</v>
      </c>
      <c r="C11" s="2">
        <f>C10-C9</f>
        <v>3</v>
      </c>
    </row>
    <row r="18" spans="1:3" x14ac:dyDescent="0.25">
      <c r="A18" t="s">
        <v>0</v>
      </c>
      <c r="C18">
        <v>78</v>
      </c>
    </row>
    <row r="19" spans="1:3" x14ac:dyDescent="0.25">
      <c r="A19" t="s">
        <v>1</v>
      </c>
      <c r="C19">
        <v>10</v>
      </c>
    </row>
    <row r="20" spans="1:3" x14ac:dyDescent="0.25">
      <c r="A20" t="s">
        <v>6</v>
      </c>
      <c r="C20">
        <v>62</v>
      </c>
    </row>
    <row r="21" spans="1:3" x14ac:dyDescent="0.25">
      <c r="A21" t="s">
        <v>4</v>
      </c>
      <c r="C21">
        <f>C19</f>
        <v>10</v>
      </c>
    </row>
    <row r="22" spans="1:3" x14ac:dyDescent="0.25">
      <c r="A22" t="s">
        <v>5</v>
      </c>
      <c r="C22">
        <f>MAX(0,C20-C18)</f>
        <v>0</v>
      </c>
    </row>
    <row r="23" spans="1:3" x14ac:dyDescent="0.25">
      <c r="A23" t="s">
        <v>7</v>
      </c>
      <c r="C23" s="2">
        <f>C22-C21</f>
        <v>-10</v>
      </c>
    </row>
    <row r="30" spans="1:3" x14ac:dyDescent="0.25">
      <c r="A30" t="s">
        <v>0</v>
      </c>
      <c r="C30">
        <v>127</v>
      </c>
    </row>
    <row r="31" spans="1:3" x14ac:dyDescent="0.25">
      <c r="A31" t="s">
        <v>8</v>
      </c>
      <c r="C31">
        <v>28</v>
      </c>
    </row>
    <row r="32" spans="1:3" x14ac:dyDescent="0.25">
      <c r="A32" t="s">
        <v>6</v>
      </c>
      <c r="C32">
        <v>82</v>
      </c>
    </row>
    <row r="33" spans="1:3" x14ac:dyDescent="0.25">
      <c r="A33" t="s">
        <v>9</v>
      </c>
      <c r="C33">
        <f>C31</f>
        <v>28</v>
      </c>
    </row>
    <row r="34" spans="1:3" x14ac:dyDescent="0.25">
      <c r="A34" t="s">
        <v>10</v>
      </c>
      <c r="C34">
        <f>MAX(0,C30-C32)</f>
        <v>45</v>
      </c>
    </row>
    <row r="35" spans="1:3" x14ac:dyDescent="0.25">
      <c r="A35" t="s">
        <v>11</v>
      </c>
      <c r="C35" s="2">
        <f>C34-C33</f>
        <v>17</v>
      </c>
    </row>
    <row r="42" spans="1:3" x14ac:dyDescent="0.25">
      <c r="A42" t="s">
        <v>0</v>
      </c>
      <c r="C42">
        <v>164</v>
      </c>
    </row>
    <row r="43" spans="1:3" x14ac:dyDescent="0.25">
      <c r="A43" t="s">
        <v>8</v>
      </c>
      <c r="C43">
        <v>15</v>
      </c>
    </row>
    <row r="44" spans="1:3" x14ac:dyDescent="0.25">
      <c r="A44" t="s">
        <v>6</v>
      </c>
      <c r="C44">
        <v>176</v>
      </c>
    </row>
    <row r="45" spans="1:3" x14ac:dyDescent="0.25">
      <c r="A45" t="s">
        <v>9</v>
      </c>
      <c r="C45">
        <f>C43</f>
        <v>15</v>
      </c>
    </row>
    <row r="46" spans="1:3" x14ac:dyDescent="0.25">
      <c r="A46" t="s">
        <v>10</v>
      </c>
      <c r="C46">
        <f>MAX(0,C42-C44)</f>
        <v>0</v>
      </c>
    </row>
    <row r="47" spans="1:3" x14ac:dyDescent="0.25">
      <c r="A47" t="s">
        <v>12</v>
      </c>
      <c r="C47" s="2">
        <f>C45-C46</f>
        <v>15</v>
      </c>
    </row>
    <row r="57" spans="1:6" x14ac:dyDescent="0.25">
      <c r="A57" t="s">
        <v>0</v>
      </c>
      <c r="C57">
        <v>218</v>
      </c>
    </row>
    <row r="58" spans="1:6" x14ac:dyDescent="0.25">
      <c r="A58" t="s">
        <v>1</v>
      </c>
      <c r="C58">
        <v>7</v>
      </c>
    </row>
    <row r="59" spans="1:6" x14ac:dyDescent="0.25">
      <c r="A59" t="s">
        <v>2</v>
      </c>
      <c r="C59">
        <v>3</v>
      </c>
    </row>
    <row r="60" spans="1:6" x14ac:dyDescent="0.25">
      <c r="A60" t="s">
        <v>3</v>
      </c>
      <c r="C60" s="1">
        <v>0.06</v>
      </c>
    </row>
    <row r="61" spans="1:6" x14ac:dyDescent="0.25">
      <c r="A61" t="s">
        <v>6</v>
      </c>
      <c r="C61">
        <v>197</v>
      </c>
      <c r="D61">
        <v>230</v>
      </c>
      <c r="E61">
        <v>220</v>
      </c>
      <c r="F61">
        <v>218</v>
      </c>
    </row>
    <row r="62" spans="1:6" x14ac:dyDescent="0.25">
      <c r="A62" t="s">
        <v>4</v>
      </c>
      <c r="C62">
        <f>C58*(1+C60*C59/12)</f>
        <v>7.1049999999999995</v>
      </c>
    </row>
    <row r="63" spans="1:6" x14ac:dyDescent="0.25">
      <c r="A63" t="s">
        <v>5</v>
      </c>
      <c r="C63">
        <f>MAX(0,C61-$C57)</f>
        <v>0</v>
      </c>
      <c r="D63">
        <f t="shared" ref="D63:F63" si="0">MAX(0,D61-$C57)</f>
        <v>12</v>
      </c>
      <c r="E63">
        <f t="shared" si="0"/>
        <v>2</v>
      </c>
      <c r="F63">
        <f t="shared" si="0"/>
        <v>0</v>
      </c>
    </row>
    <row r="64" spans="1:6" x14ac:dyDescent="0.25">
      <c r="A64" t="s">
        <v>7</v>
      </c>
      <c r="C64" s="3">
        <f>C63-$C62</f>
        <v>-7.1049999999999995</v>
      </c>
      <c r="D64" s="3">
        <f t="shared" ref="D64:F64" si="1">D63-$C62</f>
        <v>4.8950000000000005</v>
      </c>
      <c r="E64" s="3">
        <f t="shared" si="1"/>
        <v>-5.1049999999999995</v>
      </c>
      <c r="F64" s="3">
        <f t="shared" si="1"/>
        <v>-7.1049999999999995</v>
      </c>
    </row>
    <row r="75" spans="1:7" x14ac:dyDescent="0.25">
      <c r="A75" t="s">
        <v>0</v>
      </c>
      <c r="C75">
        <v>183</v>
      </c>
    </row>
    <row r="76" spans="1:7" x14ac:dyDescent="0.25">
      <c r="A76" t="s">
        <v>1</v>
      </c>
      <c r="C76">
        <v>9</v>
      </c>
    </row>
    <row r="77" spans="1:7" x14ac:dyDescent="0.25">
      <c r="A77" t="s">
        <v>2</v>
      </c>
      <c r="C77">
        <v>7</v>
      </c>
    </row>
    <row r="78" spans="1:7" x14ac:dyDescent="0.25">
      <c r="A78" t="s">
        <v>3</v>
      </c>
      <c r="C78" s="1">
        <v>0.05</v>
      </c>
    </row>
    <row r="79" spans="1:7" x14ac:dyDescent="0.25">
      <c r="A79" t="s">
        <v>6</v>
      </c>
      <c r="C79">
        <v>190</v>
      </c>
      <c r="D79">
        <v>205</v>
      </c>
      <c r="E79">
        <v>185</v>
      </c>
      <c r="F79">
        <v>183</v>
      </c>
      <c r="G79">
        <v>181.5</v>
      </c>
    </row>
    <row r="80" spans="1:7" x14ac:dyDescent="0.25">
      <c r="A80" t="s">
        <v>4</v>
      </c>
      <c r="C80">
        <f>C76*(1+C78*C77/12)</f>
        <v>9.2624999999999993</v>
      </c>
    </row>
    <row r="81" spans="1:7" x14ac:dyDescent="0.25">
      <c r="A81" t="s">
        <v>5</v>
      </c>
      <c r="C81">
        <f>MAX(0,C79-$C75)</f>
        <v>7</v>
      </c>
      <c r="D81">
        <f t="shared" ref="D81:F81" si="2">MAX(0,D79-$C75)</f>
        <v>22</v>
      </c>
      <c r="E81">
        <f t="shared" si="2"/>
        <v>2</v>
      </c>
      <c r="F81">
        <f t="shared" si="2"/>
        <v>0</v>
      </c>
      <c r="G81">
        <f t="shared" ref="G81" si="3">MAX(0,G79-$C75)</f>
        <v>0</v>
      </c>
    </row>
    <row r="82" spans="1:7" x14ac:dyDescent="0.25">
      <c r="A82" t="s">
        <v>7</v>
      </c>
      <c r="C82" s="4">
        <f>$C80-C81</f>
        <v>2.2624999999999993</v>
      </c>
      <c r="D82" s="4">
        <f t="shared" ref="D82:G82" si="4">$C80-D81</f>
        <v>-12.737500000000001</v>
      </c>
      <c r="E82" s="4">
        <f t="shared" si="4"/>
        <v>7.2624999999999993</v>
      </c>
      <c r="F82" s="4">
        <f t="shared" si="4"/>
        <v>9.2624999999999993</v>
      </c>
      <c r="G82" s="4">
        <f t="shared" si="4"/>
        <v>9.2624999999999993</v>
      </c>
    </row>
    <row r="93" spans="1:7" x14ac:dyDescent="0.25">
      <c r="A93" t="s">
        <v>0</v>
      </c>
      <c r="C93">
        <v>510000</v>
      </c>
    </row>
    <row r="94" spans="1:7" x14ac:dyDescent="0.25">
      <c r="A94" t="s">
        <v>8</v>
      </c>
      <c r="C94">
        <v>50000</v>
      </c>
    </row>
    <row r="95" spans="1:7" x14ac:dyDescent="0.25">
      <c r="A95" t="s">
        <v>2</v>
      </c>
      <c r="C95">
        <v>3</v>
      </c>
    </row>
    <row r="96" spans="1:7" x14ac:dyDescent="0.25">
      <c r="A96" t="s">
        <v>3</v>
      </c>
      <c r="C96" s="1">
        <v>0.06</v>
      </c>
    </row>
    <row r="97" spans="1:3" x14ac:dyDescent="0.25">
      <c r="A97" t="s">
        <v>6</v>
      </c>
      <c r="C97">
        <v>430000</v>
      </c>
    </row>
    <row r="98" spans="1:3" x14ac:dyDescent="0.25">
      <c r="A98" t="s">
        <v>9</v>
      </c>
      <c r="C98">
        <f>C94*EXP(C96*C95/12)</f>
        <v>50755.653230785945</v>
      </c>
    </row>
    <row r="99" spans="1:3" x14ac:dyDescent="0.25">
      <c r="A99" t="s">
        <v>10</v>
      </c>
      <c r="C99">
        <f>MAX(0,C93-C97)</f>
        <v>80000</v>
      </c>
    </row>
    <row r="100" spans="1:3" x14ac:dyDescent="0.25">
      <c r="A100" t="s">
        <v>11</v>
      </c>
      <c r="C100" s="5">
        <f>C99-C98</f>
        <v>29244.346769214055</v>
      </c>
    </row>
    <row r="117" spans="1:7" x14ac:dyDescent="0.25">
      <c r="A117" t="s">
        <v>13</v>
      </c>
      <c r="D117">
        <v>110</v>
      </c>
    </row>
    <row r="118" spans="1:7" x14ac:dyDescent="0.25">
      <c r="A118" t="s">
        <v>0</v>
      </c>
      <c r="D118">
        <v>105</v>
      </c>
    </row>
    <row r="119" spans="1:7" x14ac:dyDescent="0.25">
      <c r="A119" t="s">
        <v>8</v>
      </c>
      <c r="D119">
        <v>3</v>
      </c>
    </row>
    <row r="120" spans="1:7" x14ac:dyDescent="0.25">
      <c r="A120" t="s">
        <v>3</v>
      </c>
      <c r="D120" s="1">
        <v>0.05</v>
      </c>
    </row>
    <row r="121" spans="1:7" x14ac:dyDescent="0.25">
      <c r="A121" t="s">
        <v>2</v>
      </c>
      <c r="D121">
        <v>3</v>
      </c>
    </row>
    <row r="122" spans="1:7" x14ac:dyDescent="0.25">
      <c r="A122" t="s">
        <v>6</v>
      </c>
      <c r="D122">
        <v>115.43</v>
      </c>
      <c r="E122">
        <v>110</v>
      </c>
      <c r="F122">
        <v>105</v>
      </c>
      <c r="G122">
        <v>100</v>
      </c>
    </row>
    <row r="123" spans="1:7" x14ac:dyDescent="0.25">
      <c r="A123" t="s">
        <v>34</v>
      </c>
      <c r="D123">
        <f>(D117+D119)*(1+D120*D121/12)</f>
        <v>114.41249999999999</v>
      </c>
    </row>
    <row r="124" spans="1:7" x14ac:dyDescent="0.25">
      <c r="A124" t="s">
        <v>33</v>
      </c>
      <c r="D124">
        <f>MAX(D122,$D118)</f>
        <v>115.43</v>
      </c>
      <c r="E124">
        <f t="shared" ref="E124:G124" si="5">MAX(E122,$D118)</f>
        <v>110</v>
      </c>
      <c r="F124">
        <f t="shared" si="5"/>
        <v>105</v>
      </c>
      <c r="G124">
        <f t="shared" si="5"/>
        <v>105</v>
      </c>
    </row>
    <row r="125" spans="1:7" x14ac:dyDescent="0.25">
      <c r="A125" t="s">
        <v>60</v>
      </c>
      <c r="D125">
        <f>$D123-D124</f>
        <v>-1.0175000000000125</v>
      </c>
      <c r="E125">
        <f t="shared" ref="E125:G125" si="6">$D123-E124</f>
        <v>4.4124999999999943</v>
      </c>
      <c r="F125">
        <f t="shared" si="6"/>
        <v>9.4124999999999943</v>
      </c>
      <c r="G125">
        <f t="shared" si="6"/>
        <v>9.4124999999999943</v>
      </c>
    </row>
    <row r="146" spans="1:10" x14ac:dyDescent="0.25">
      <c r="A146" t="s">
        <v>13</v>
      </c>
      <c r="D146">
        <v>500</v>
      </c>
    </row>
    <row r="147" spans="1:10" x14ac:dyDescent="0.25">
      <c r="A147" t="s">
        <v>0</v>
      </c>
      <c r="D147">
        <v>600</v>
      </c>
      <c r="E147">
        <v>400</v>
      </c>
    </row>
    <row r="148" spans="1:10" x14ac:dyDescent="0.25">
      <c r="A148" t="s">
        <v>8</v>
      </c>
      <c r="D148">
        <v>50</v>
      </c>
    </row>
    <row r="149" spans="1:10" x14ac:dyDescent="0.25">
      <c r="A149" t="s">
        <v>3</v>
      </c>
      <c r="D149" s="1">
        <v>0.09</v>
      </c>
    </row>
    <row r="150" spans="1:10" x14ac:dyDescent="0.25">
      <c r="A150" t="s">
        <v>2</v>
      </c>
      <c r="D150">
        <v>4</v>
      </c>
    </row>
    <row r="151" spans="1:10" x14ac:dyDescent="0.25">
      <c r="A151" t="s">
        <v>6</v>
      </c>
      <c r="D151">
        <v>440</v>
      </c>
      <c r="E151">
        <v>560</v>
      </c>
      <c r="F151">
        <v>700</v>
      </c>
      <c r="G151">
        <v>300</v>
      </c>
      <c r="H151">
        <v>650</v>
      </c>
    </row>
    <row r="152" spans="1:10" x14ac:dyDescent="0.25">
      <c r="A152" t="s">
        <v>34</v>
      </c>
      <c r="D152">
        <f>(D146+D148)*(1+D149*D150/12)</f>
        <v>566.5</v>
      </c>
    </row>
    <row r="153" spans="1:10" x14ac:dyDescent="0.25">
      <c r="A153" t="s">
        <v>33</v>
      </c>
      <c r="D153">
        <f>MAX(D151,$D147)</f>
        <v>600</v>
      </c>
      <c r="E153">
        <f t="shared" ref="E153:G153" si="7">MAX(E151,$D147)</f>
        <v>600</v>
      </c>
      <c r="F153">
        <f t="shared" si="7"/>
        <v>700</v>
      </c>
      <c r="G153">
        <f t="shared" si="7"/>
        <v>600</v>
      </c>
      <c r="H153">
        <f t="shared" ref="H153" si="8">MAX(H151,$D147)</f>
        <v>650</v>
      </c>
    </row>
    <row r="154" spans="1:10" x14ac:dyDescent="0.25">
      <c r="A154" t="s">
        <v>37</v>
      </c>
      <c r="D154" s="2">
        <f>D153-$D152</f>
        <v>33.5</v>
      </c>
      <c r="E154" s="2">
        <f t="shared" ref="E154" si="9">E153-$D152</f>
        <v>33.5</v>
      </c>
      <c r="F154" s="2">
        <f t="shared" ref="F154" si="10">F153-$D152</f>
        <v>133.5</v>
      </c>
      <c r="G154" s="2">
        <f t="shared" ref="G154:H154" si="11">G153-$D152</f>
        <v>33.5</v>
      </c>
      <c r="H154" s="2">
        <f t="shared" si="11"/>
        <v>83.5</v>
      </c>
      <c r="J154" t="s">
        <v>35</v>
      </c>
    </row>
    <row r="155" spans="1:10" x14ac:dyDescent="0.25">
      <c r="A155" t="s">
        <v>33</v>
      </c>
      <c r="D155">
        <f>MAX(D151,$E147)</f>
        <v>440</v>
      </c>
      <c r="E155">
        <f>MAX(E151,$E147)</f>
        <v>560</v>
      </c>
      <c r="F155">
        <f t="shared" ref="F155:H155" si="12">MAX(F151,$E147)</f>
        <v>700</v>
      </c>
      <c r="G155">
        <f>MAX(G151,$E147)</f>
        <v>400</v>
      </c>
      <c r="H155">
        <f t="shared" si="12"/>
        <v>650</v>
      </c>
    </row>
    <row r="156" spans="1:10" x14ac:dyDescent="0.25">
      <c r="A156" t="s">
        <v>37</v>
      </c>
      <c r="D156" s="2">
        <f>D155-$D152</f>
        <v>-126.5</v>
      </c>
      <c r="E156" s="2">
        <f t="shared" ref="E156:H156" si="13">E155-$D152</f>
        <v>-6.5</v>
      </c>
      <c r="F156" s="2">
        <f t="shared" si="13"/>
        <v>133.5</v>
      </c>
      <c r="G156" s="2">
        <f t="shared" si="13"/>
        <v>-166.5</v>
      </c>
      <c r="H156" s="2">
        <f t="shared" si="13"/>
        <v>83.5</v>
      </c>
      <c r="J156" t="s">
        <v>36</v>
      </c>
    </row>
    <row r="167" spans="1:4" x14ac:dyDescent="0.25">
      <c r="A167" t="s">
        <v>13</v>
      </c>
      <c r="D167">
        <v>150</v>
      </c>
    </row>
    <row r="168" spans="1:4" x14ac:dyDescent="0.25">
      <c r="A168" t="s">
        <v>0</v>
      </c>
      <c r="D168">
        <v>167</v>
      </c>
    </row>
    <row r="169" spans="1:4" x14ac:dyDescent="0.25">
      <c r="A169" t="s">
        <v>8</v>
      </c>
      <c r="D169">
        <v>14</v>
      </c>
    </row>
    <row r="170" spans="1:4" x14ac:dyDescent="0.25">
      <c r="A170" t="s">
        <v>3</v>
      </c>
      <c r="D170" s="1">
        <v>0.08</v>
      </c>
    </row>
    <row r="171" spans="1:4" x14ac:dyDescent="0.25">
      <c r="A171" t="s">
        <v>2</v>
      </c>
      <c r="D171">
        <v>6</v>
      </c>
    </row>
    <row r="172" spans="1:4" x14ac:dyDescent="0.25">
      <c r="A172" t="s">
        <v>6</v>
      </c>
      <c r="D172">
        <v>160</v>
      </c>
    </row>
    <row r="173" spans="1:4" x14ac:dyDescent="0.25">
      <c r="A173" t="s">
        <v>34</v>
      </c>
      <c r="D173">
        <f>(D167+D169)*(1+D170*D171/12)</f>
        <v>170.56</v>
      </c>
    </row>
    <row r="174" spans="1:4" x14ac:dyDescent="0.25">
      <c r="A174" t="s">
        <v>33</v>
      </c>
      <c r="D174">
        <f>MAX(D172,$D168)</f>
        <v>167</v>
      </c>
    </row>
    <row r="175" spans="1:4" x14ac:dyDescent="0.25">
      <c r="A175" t="s">
        <v>32</v>
      </c>
      <c r="D175" s="2">
        <f>$D173-D174</f>
        <v>3.5600000000000023</v>
      </c>
    </row>
    <row r="185" spans="1:3" x14ac:dyDescent="0.25">
      <c r="A185" t="s">
        <v>0</v>
      </c>
      <c r="C185">
        <v>820</v>
      </c>
    </row>
    <row r="186" spans="1:3" x14ac:dyDescent="0.25">
      <c r="A186" t="s">
        <v>14</v>
      </c>
      <c r="C186" s="1">
        <v>0.08</v>
      </c>
    </row>
    <row r="187" spans="1:3" x14ac:dyDescent="0.25">
      <c r="A187" t="s">
        <v>15</v>
      </c>
      <c r="C187">
        <v>1</v>
      </c>
    </row>
    <row r="188" spans="1:3" x14ac:dyDescent="0.25">
      <c r="A188" t="s">
        <v>16</v>
      </c>
      <c r="C188">
        <v>800</v>
      </c>
    </row>
    <row r="189" spans="1:3" x14ac:dyDescent="0.25">
      <c r="A189" t="s">
        <v>17</v>
      </c>
      <c r="C189">
        <v>840</v>
      </c>
    </row>
    <row r="190" spans="1:3" x14ac:dyDescent="0.25">
      <c r="A190" t="s">
        <v>18</v>
      </c>
      <c r="C190">
        <v>760</v>
      </c>
    </row>
    <row r="192" spans="1:3" x14ac:dyDescent="0.25">
      <c r="A192" t="s">
        <v>19</v>
      </c>
      <c r="C192">
        <f>C186/12</f>
        <v>6.6666666666666671E-3</v>
      </c>
    </row>
    <row r="193" spans="1:3" x14ac:dyDescent="0.25">
      <c r="A193" t="s">
        <v>20</v>
      </c>
      <c r="C193">
        <f>C190/C188</f>
        <v>0.95</v>
      </c>
    </row>
    <row r="194" spans="1:3" x14ac:dyDescent="0.25">
      <c r="A194" t="s">
        <v>21</v>
      </c>
      <c r="C194">
        <f>C189/C188</f>
        <v>1.05</v>
      </c>
    </row>
    <row r="196" spans="1:3" x14ac:dyDescent="0.25">
      <c r="A196" t="s">
        <v>22</v>
      </c>
      <c r="C196">
        <f>MAX(0,C189-C185)</f>
        <v>20</v>
      </c>
    </row>
    <row r="197" spans="1:3" x14ac:dyDescent="0.25">
      <c r="A197" t="s">
        <v>23</v>
      </c>
      <c r="C197">
        <f>MAX(0,C190-C185)</f>
        <v>0</v>
      </c>
    </row>
    <row r="199" spans="1:3" x14ac:dyDescent="0.25">
      <c r="A199" t="s">
        <v>1</v>
      </c>
      <c r="C199" s="4">
        <f>((1+C192-C193)*C196+(C194-1-C192)*C197)/((1+C192)*(C194-C193))</f>
        <v>11.25827814569535</v>
      </c>
    </row>
    <row r="208" spans="1:3" x14ac:dyDescent="0.25">
      <c r="A208" t="s">
        <v>0</v>
      </c>
      <c r="C208">
        <v>5200</v>
      </c>
    </row>
    <row r="209" spans="1:5" x14ac:dyDescent="0.25">
      <c r="A209" t="s">
        <v>14</v>
      </c>
      <c r="C209" s="1">
        <v>0.1</v>
      </c>
    </row>
    <row r="210" spans="1:5" x14ac:dyDescent="0.25">
      <c r="A210" t="s">
        <v>15</v>
      </c>
      <c r="C210">
        <v>2</v>
      </c>
    </row>
    <row r="211" spans="1:5" x14ac:dyDescent="0.25">
      <c r="A211" t="s">
        <v>16</v>
      </c>
      <c r="C211">
        <v>5000</v>
      </c>
    </row>
    <row r="212" spans="1:5" x14ac:dyDescent="0.25">
      <c r="A212" t="s">
        <v>24</v>
      </c>
      <c r="C212" s="1">
        <f>15%/2</f>
        <v>7.4999999999999997E-2</v>
      </c>
    </row>
    <row r="213" spans="1:5" x14ac:dyDescent="0.25">
      <c r="A213" t="s">
        <v>25</v>
      </c>
      <c r="C213" s="1">
        <f>10%/2</f>
        <v>0.05</v>
      </c>
    </row>
    <row r="214" spans="1:5" x14ac:dyDescent="0.25">
      <c r="A214" t="s">
        <v>19</v>
      </c>
      <c r="C214" s="1">
        <f>C209/2</f>
        <v>0.05</v>
      </c>
    </row>
    <row r="215" spans="1:5" x14ac:dyDescent="0.25">
      <c r="A215" t="s">
        <v>20</v>
      </c>
      <c r="C215" s="1">
        <f>1-C213</f>
        <v>0.95</v>
      </c>
    </row>
    <row r="216" spans="1:5" x14ac:dyDescent="0.25">
      <c r="A216" t="s">
        <v>21</v>
      </c>
      <c r="C216" s="1">
        <f>1+C212</f>
        <v>1.075</v>
      </c>
    </row>
    <row r="218" spans="1:5" x14ac:dyDescent="0.25">
      <c r="A218" t="s">
        <v>42</v>
      </c>
      <c r="C218">
        <f>C211*C216^2</f>
        <v>5778.1249999999991</v>
      </c>
    </row>
    <row r="219" spans="1:5" x14ac:dyDescent="0.25">
      <c r="A219" t="s">
        <v>43</v>
      </c>
      <c r="C219">
        <f>C211*C215^2</f>
        <v>4512.5</v>
      </c>
    </row>
    <row r="220" spans="1:5" x14ac:dyDescent="0.25">
      <c r="A220" t="s">
        <v>44</v>
      </c>
      <c r="C220">
        <f>C211*C215*C216</f>
        <v>5106.25</v>
      </c>
    </row>
    <row r="222" spans="1:5" x14ac:dyDescent="0.25">
      <c r="A222" t="s">
        <v>40</v>
      </c>
      <c r="C222" s="1">
        <f>(1+C214-C215)/(C216-C215)</f>
        <v>0.80000000000000071</v>
      </c>
    </row>
    <row r="223" spans="1:5" x14ac:dyDescent="0.25">
      <c r="A223" t="s">
        <v>41</v>
      </c>
      <c r="C223" s="1">
        <f>1-C222</f>
        <v>0.19999999999999929</v>
      </c>
      <c r="E223" t="s">
        <v>50</v>
      </c>
    </row>
    <row r="225" spans="1:6" x14ac:dyDescent="0.25">
      <c r="A225" t="s">
        <v>45</v>
      </c>
      <c r="C225">
        <f>MAX(0,C218-C208)</f>
        <v>578.12499999999909</v>
      </c>
      <c r="E225" t="s">
        <v>26</v>
      </c>
      <c r="F225">
        <f>((1+C214)*(C216-C215))</f>
        <v>0.13125000000000001</v>
      </c>
    </row>
    <row r="226" spans="1:6" x14ac:dyDescent="0.25">
      <c r="A226" t="s">
        <v>46</v>
      </c>
      <c r="C226">
        <f>MAX(0,C220-C208)</f>
        <v>0</v>
      </c>
      <c r="E226" t="s">
        <v>48</v>
      </c>
      <c r="F226">
        <f>((1+C214-C215)*C225+(C216-(1+C214))*C226)/F225</f>
        <v>440.47619047619014</v>
      </c>
    </row>
    <row r="227" spans="1:6" x14ac:dyDescent="0.25">
      <c r="A227" t="s">
        <v>47</v>
      </c>
      <c r="C227">
        <f>MAX(0,C219-C208)</f>
        <v>0</v>
      </c>
      <c r="E227" t="s">
        <v>49</v>
      </c>
      <c r="F227">
        <f>((1+C214-C215)*C226+(C216-(1+C214))*C227)/F225</f>
        <v>0</v>
      </c>
    </row>
    <row r="229" spans="1:6" x14ac:dyDescent="0.25">
      <c r="A229" t="s">
        <v>1</v>
      </c>
      <c r="C229" s="2">
        <f>1/(1+C214)^2*(C222^2*C225+2*C222*C223*C226+C223^2*C227)</f>
        <v>335.60090702947849</v>
      </c>
      <c r="E229" t="s">
        <v>1</v>
      </c>
      <c r="F229" s="6">
        <f>((1+C214-C215)*F226+(C216-(1+C214))*F227)/F225</f>
        <v>335.60090702947849</v>
      </c>
    </row>
    <row r="238" spans="1:6" x14ac:dyDescent="0.25">
      <c r="A238" t="s">
        <v>0</v>
      </c>
      <c r="C238">
        <v>220</v>
      </c>
    </row>
    <row r="239" spans="1:6" x14ac:dyDescent="0.25">
      <c r="A239" t="s">
        <v>16</v>
      </c>
      <c r="C239">
        <v>200</v>
      </c>
    </row>
    <row r="240" spans="1:6" x14ac:dyDescent="0.25">
      <c r="A240" t="s">
        <v>14</v>
      </c>
      <c r="C240" s="1">
        <v>0.06</v>
      </c>
    </row>
    <row r="241" spans="1:8" x14ac:dyDescent="0.25">
      <c r="A241" t="s">
        <v>15</v>
      </c>
      <c r="C241">
        <v>3</v>
      </c>
    </row>
    <row r="242" spans="1:8" x14ac:dyDescent="0.25">
      <c r="A242" t="s">
        <v>24</v>
      </c>
      <c r="C242" s="1">
        <v>0.12</v>
      </c>
    </row>
    <row r="243" spans="1:8" x14ac:dyDescent="0.25">
      <c r="A243" t="s">
        <v>25</v>
      </c>
      <c r="C243" s="1">
        <v>0.09</v>
      </c>
    </row>
    <row r="244" spans="1:8" x14ac:dyDescent="0.25">
      <c r="A244" t="s">
        <v>39</v>
      </c>
      <c r="C244" s="1">
        <f>1+C243</f>
        <v>1.0900000000000001</v>
      </c>
    </row>
    <row r="245" spans="1:8" x14ac:dyDescent="0.25">
      <c r="A245" t="s">
        <v>38</v>
      </c>
      <c r="C245" s="1">
        <f>1+C242</f>
        <v>1.1200000000000001</v>
      </c>
    </row>
    <row r="246" spans="1:8" x14ac:dyDescent="0.25">
      <c r="A246" t="s">
        <v>40</v>
      </c>
      <c r="C246" s="1">
        <f>(1+C240-C244)/(C245-C244)</f>
        <v>-1</v>
      </c>
    </row>
    <row r="247" spans="1:8" x14ac:dyDescent="0.25">
      <c r="A247" t="s">
        <v>41</v>
      </c>
      <c r="C247" s="1">
        <f>(C245-(1+C240))/(C245-C244)</f>
        <v>2</v>
      </c>
    </row>
    <row r="249" spans="1:8" x14ac:dyDescent="0.25">
      <c r="A249" t="s">
        <v>51</v>
      </c>
      <c r="B249" t="s">
        <v>52</v>
      </c>
      <c r="C249" t="s">
        <v>53</v>
      </c>
      <c r="D249" t="s">
        <v>54</v>
      </c>
      <c r="E249" t="s">
        <v>55</v>
      </c>
      <c r="H249" t="s">
        <v>56</v>
      </c>
    </row>
    <row r="250" spans="1:8" x14ac:dyDescent="0.25">
      <c r="A250">
        <v>0</v>
      </c>
      <c r="B250">
        <f>COMBIN($C$241,A250)</f>
        <v>1</v>
      </c>
      <c r="C250">
        <f>$C$246^A250</f>
        <v>1</v>
      </c>
      <c r="D250">
        <f>$C$247^($C$241-A250)</f>
        <v>8</v>
      </c>
      <c r="E250">
        <f>MAX($C$245^A250*$C$244^($C$241-A250)*$C$239-$C$238,0)</f>
        <v>39.005800000000022</v>
      </c>
      <c r="H250">
        <f>PRODUCT(B250:E250)</f>
        <v>312.04640000000018</v>
      </c>
    </row>
    <row r="251" spans="1:8" x14ac:dyDescent="0.25">
      <c r="A251">
        <v>1</v>
      </c>
      <c r="B251">
        <f t="shared" ref="B251:B253" si="14">COMBIN($C$241,A251)</f>
        <v>3</v>
      </c>
      <c r="C251">
        <f t="shared" ref="C251:C253" si="15">$C$246^A251</f>
        <v>-1</v>
      </c>
      <c r="D251">
        <f t="shared" ref="D251:D253" si="16">$C$247^($C$241-A251)</f>
        <v>4</v>
      </c>
      <c r="E251">
        <f t="shared" ref="E251:E253" si="17">MAX($C$245^A251*$C$244^($C$241-A251)*$C$239-$C$238,0)</f>
        <v>46.134400000000085</v>
      </c>
      <c r="H251">
        <f t="shared" ref="H251:H253" si="18">PRODUCT(B251:E251)</f>
        <v>-553.61280000000102</v>
      </c>
    </row>
    <row r="252" spans="1:8" x14ac:dyDescent="0.25">
      <c r="A252">
        <v>2</v>
      </c>
      <c r="B252">
        <f t="shared" si="14"/>
        <v>3</v>
      </c>
      <c r="C252">
        <f t="shared" si="15"/>
        <v>1</v>
      </c>
      <c r="D252">
        <f t="shared" si="16"/>
        <v>2</v>
      </c>
      <c r="E252">
        <f t="shared" si="17"/>
        <v>53.459200000000067</v>
      </c>
      <c r="H252">
        <f t="shared" si="18"/>
        <v>320.7552000000004</v>
      </c>
    </row>
    <row r="253" spans="1:8" x14ac:dyDescent="0.25">
      <c r="A253">
        <v>3</v>
      </c>
      <c r="B253">
        <f t="shared" si="14"/>
        <v>1</v>
      </c>
      <c r="C253">
        <f t="shared" si="15"/>
        <v>-1</v>
      </c>
      <c r="D253">
        <f t="shared" si="16"/>
        <v>1</v>
      </c>
      <c r="E253">
        <f t="shared" si="17"/>
        <v>60.98560000000009</v>
      </c>
      <c r="H253">
        <f t="shared" si="18"/>
        <v>-60.98560000000009</v>
      </c>
    </row>
    <row r="254" spans="1:8" x14ac:dyDescent="0.25">
      <c r="G254" t="s">
        <v>57</v>
      </c>
      <c r="H254">
        <f>SUM(H250:H253)</f>
        <v>18.20319999999947</v>
      </c>
    </row>
    <row r="255" spans="1:8" x14ac:dyDescent="0.25">
      <c r="B255" t="s">
        <v>1</v>
      </c>
      <c r="C255" s="2">
        <f>1/(1+C240)^C241*H254</f>
        <v>15.283757732893147</v>
      </c>
    </row>
    <row r="262" spans="1:2" x14ac:dyDescent="0.25">
      <c r="A262" t="s">
        <v>16</v>
      </c>
      <c r="B262">
        <v>1000</v>
      </c>
    </row>
    <row r="263" spans="1:2" x14ac:dyDescent="0.25">
      <c r="A263" t="s">
        <v>27</v>
      </c>
      <c r="B263">
        <v>0.4</v>
      </c>
    </row>
    <row r="264" spans="1:2" x14ac:dyDescent="0.25">
      <c r="A264" t="s">
        <v>0</v>
      </c>
      <c r="B264">
        <v>900</v>
      </c>
    </row>
    <row r="265" spans="1:2" x14ac:dyDescent="0.25">
      <c r="A265" t="s">
        <v>2</v>
      </c>
      <c r="B265">
        <f>6/12</f>
        <v>0.5</v>
      </c>
    </row>
    <row r="266" spans="1:2" x14ac:dyDescent="0.25">
      <c r="A266" t="s">
        <v>14</v>
      </c>
      <c r="B266">
        <f>0.08</f>
        <v>0.08</v>
      </c>
    </row>
    <row r="268" spans="1:2" x14ac:dyDescent="0.25">
      <c r="A268" t="s">
        <v>28</v>
      </c>
      <c r="B268">
        <f>(LN(B262/B264)+(B266+B263^2/2)*B265)/(B263*SQRT(B265))</f>
        <v>0.65534838792942107</v>
      </c>
    </row>
    <row r="269" spans="1:2" x14ac:dyDescent="0.25">
      <c r="A269" t="s">
        <v>29</v>
      </c>
      <c r="B269">
        <f>B268-B263*SQRT(B265)</f>
        <v>0.37250567545480201</v>
      </c>
    </row>
    <row r="271" spans="1:2" x14ac:dyDescent="0.25">
      <c r="A271" t="s">
        <v>30</v>
      </c>
      <c r="B271">
        <f>_xlfn.NORM.S.DIST(B268,1)</f>
        <v>0.7438782633471368</v>
      </c>
    </row>
    <row r="272" spans="1:2" x14ac:dyDescent="0.25">
      <c r="A272" t="s">
        <v>30</v>
      </c>
      <c r="B272">
        <f>_xlfn.NORM.S.DIST(B269,1)</f>
        <v>0.64524180642062023</v>
      </c>
    </row>
    <row r="274" spans="1:2" x14ac:dyDescent="0.25">
      <c r="A274" t="s">
        <v>58</v>
      </c>
      <c r="B274" s="2">
        <f>B262*B271-B264*EXP(-B266*B265)*B272</f>
        <v>185.93090136948717</v>
      </c>
    </row>
    <row r="281" spans="1:2" x14ac:dyDescent="0.25">
      <c r="A281" t="s">
        <v>16</v>
      </c>
      <c r="B281">
        <v>1000</v>
      </c>
    </row>
    <row r="282" spans="1:2" x14ac:dyDescent="0.25">
      <c r="A282" t="s">
        <v>27</v>
      </c>
      <c r="B282">
        <v>0.4</v>
      </c>
    </row>
    <row r="283" spans="1:2" x14ac:dyDescent="0.25">
      <c r="A283" t="s">
        <v>0</v>
      </c>
      <c r="B283">
        <v>900</v>
      </c>
    </row>
    <row r="284" spans="1:2" x14ac:dyDescent="0.25">
      <c r="A284" t="s">
        <v>2</v>
      </c>
      <c r="B284">
        <f>6/12</f>
        <v>0.5</v>
      </c>
    </row>
    <row r="285" spans="1:2" x14ac:dyDescent="0.25">
      <c r="A285" t="s">
        <v>14</v>
      </c>
      <c r="B285">
        <f>0.08</f>
        <v>0.08</v>
      </c>
    </row>
    <row r="287" spans="1:2" x14ac:dyDescent="0.25">
      <c r="A287" t="s">
        <v>28</v>
      </c>
      <c r="B287">
        <f>(LN(B281/B283)+(B285+B282^2/2)*B284)/(B282*SQRT(B284))</f>
        <v>0.65534838792942107</v>
      </c>
    </row>
    <row r="288" spans="1:2" x14ac:dyDescent="0.25">
      <c r="A288" t="s">
        <v>29</v>
      </c>
      <c r="B288">
        <f>B287-B282*SQRT(B284)</f>
        <v>0.37250567545480201</v>
      </c>
    </row>
    <row r="290" spans="1:2" x14ac:dyDescent="0.25">
      <c r="A290" t="s">
        <v>30</v>
      </c>
      <c r="B290">
        <f>_xlfn.NORM.S.DIST(B287,1)</f>
        <v>0.7438782633471368</v>
      </c>
    </row>
    <row r="291" spans="1:2" x14ac:dyDescent="0.25">
      <c r="A291" t="s">
        <v>31</v>
      </c>
      <c r="B291">
        <f>_xlfn.NORM.S.DIST(B288,1)</f>
        <v>0.64524180642062023</v>
      </c>
    </row>
    <row r="293" spans="1:2" x14ac:dyDescent="0.25">
      <c r="A293" t="s">
        <v>8</v>
      </c>
      <c r="B293" s="2">
        <f>B283*EXP(-B285*B284)*(1-B291)-B281*(1-B290)</f>
        <v>50.641396606578041</v>
      </c>
    </row>
    <row r="303" spans="1:2" x14ac:dyDescent="0.25">
      <c r="A303" t="s">
        <v>16</v>
      </c>
      <c r="B303">
        <v>6000</v>
      </c>
    </row>
    <row r="304" spans="1:2" x14ac:dyDescent="0.25">
      <c r="A304" t="s">
        <v>0</v>
      </c>
      <c r="B304">
        <v>5900</v>
      </c>
    </row>
    <row r="305" spans="1:3" x14ac:dyDescent="0.25">
      <c r="A305" t="s">
        <v>14</v>
      </c>
      <c r="B305" s="1">
        <f>8%</f>
        <v>0.08</v>
      </c>
    </row>
    <row r="306" spans="1:3" x14ac:dyDescent="0.25">
      <c r="A306" t="s">
        <v>2</v>
      </c>
      <c r="B306">
        <f>1/4</f>
        <v>0.25</v>
      </c>
    </row>
    <row r="307" spans="1:3" x14ac:dyDescent="0.25">
      <c r="A307" t="s">
        <v>27</v>
      </c>
      <c r="B307" s="1">
        <f>25%</f>
        <v>0.25</v>
      </c>
    </row>
    <row r="309" spans="1:3" x14ac:dyDescent="0.25">
      <c r="A309" t="s">
        <v>38</v>
      </c>
      <c r="B309">
        <f>EXP(B307*SQRT(B306))</f>
        <v>1.1331484530668263</v>
      </c>
    </row>
    <row r="310" spans="1:3" x14ac:dyDescent="0.25">
      <c r="A310" t="s">
        <v>39</v>
      </c>
      <c r="B310">
        <f>EXP(-B307*SQRT(B306))</f>
        <v>0.88249690258459546</v>
      </c>
    </row>
    <row r="312" spans="1:3" x14ac:dyDescent="0.25">
      <c r="A312" t="s">
        <v>17</v>
      </c>
      <c r="B312">
        <f>B303*B309</f>
        <v>6798.8907184009577</v>
      </c>
    </row>
    <row r="313" spans="1:3" x14ac:dyDescent="0.25">
      <c r="A313" t="s">
        <v>18</v>
      </c>
      <c r="B313">
        <f>B303*B310</f>
        <v>5294.9814155075728</v>
      </c>
    </row>
    <row r="315" spans="1:3" x14ac:dyDescent="0.25">
      <c r="A315" t="s">
        <v>22</v>
      </c>
      <c r="C315">
        <f>MAX(0,B312-B304)</f>
        <v>898.89071840095767</v>
      </c>
    </row>
    <row r="316" spans="1:3" x14ac:dyDescent="0.25">
      <c r="A316" t="s">
        <v>23</v>
      </c>
      <c r="C316">
        <f>MAX(0,B313-B304)</f>
        <v>0</v>
      </c>
    </row>
    <row r="318" spans="1:3" x14ac:dyDescent="0.25">
      <c r="A318" t="s">
        <v>58</v>
      </c>
      <c r="B318">
        <f>(1+B305-B310)*C315/((1+B305)*(B309-B310))</f>
        <v>655.82301916075448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Шамраева Виктория Викторовна</dc:creator>
  <cp:lastModifiedBy>Nikita</cp:lastModifiedBy>
  <dcterms:created xsi:type="dcterms:W3CDTF">2022-12-20T07:10:25Z</dcterms:created>
  <dcterms:modified xsi:type="dcterms:W3CDTF">2022-12-20T13:17:58Z</dcterms:modified>
</cp:coreProperties>
</file>