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ShaRinGan\FinMath\"/>
    </mc:Choice>
  </mc:AlternateContent>
  <xr:revisionPtr revIDLastSave="0" documentId="13_ncr:1_{152BD76B-7311-4FBA-B772-4C3790ABD4D7}" xr6:coauthVersionLast="47" xr6:coauthVersionMax="47" xr10:uidLastSave="{00000000-0000-0000-0000-000000000000}"/>
  <bookViews>
    <workbookView xWindow="-120" yWindow="-120" windowWidth="29040" windowHeight="15840" xr2:uid="{2C130398-8675-416B-B18F-C8451CC835FD}"/>
  </bookViews>
  <sheets>
    <sheet name="Лист2" sheetId="2" r:id="rId1"/>
  </sheet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8" i="2" l="1"/>
  <c r="E412" i="2"/>
  <c r="G413" i="2"/>
  <c r="G412" i="2"/>
  <c r="E413" i="2"/>
  <c r="E414" i="2"/>
  <c r="C414" i="2"/>
  <c r="C415" i="2"/>
  <c r="E415" i="2" s="1"/>
  <c r="G415" i="2" s="1"/>
  <c r="C413" i="2"/>
  <c r="C412" i="2"/>
  <c r="G394" i="2"/>
  <c r="C394" i="2"/>
  <c r="C382" i="2"/>
  <c r="B372" i="2"/>
  <c r="H367" i="2" a="1"/>
  <c r="H367" i="2" s="1"/>
  <c r="H359" i="2" a="1"/>
  <c r="H359" i="2" s="1"/>
  <c r="B370" i="2"/>
  <c r="B369" i="2"/>
  <c r="B368" i="2"/>
  <c r="B358" i="2"/>
  <c r="B361" i="2"/>
  <c r="B364" i="2"/>
  <c r="E365" i="2"/>
  <c r="E366" i="2"/>
  <c r="E364" i="2"/>
  <c r="C365" i="2"/>
  <c r="D365" i="2"/>
  <c r="C366" i="2"/>
  <c r="D366" i="2"/>
  <c r="D364" i="2"/>
  <c r="C364" i="2"/>
  <c r="D362" i="2"/>
  <c r="D363" i="2"/>
  <c r="D361" i="2"/>
  <c r="C362" i="2"/>
  <c r="E362" i="2"/>
  <c r="C363" i="2"/>
  <c r="E363" i="2"/>
  <c r="E361" i="2"/>
  <c r="C361" i="2"/>
  <c r="D359" i="2"/>
  <c r="E359" i="2"/>
  <c r="D360" i="2"/>
  <c r="E360" i="2"/>
  <c r="D358" i="2"/>
  <c r="E358" i="2"/>
  <c r="B355" i="2"/>
  <c r="E104" i="2"/>
  <c r="E102" i="2"/>
  <c r="E101" i="2"/>
  <c r="B107" i="2"/>
  <c r="B108" i="2" s="1"/>
  <c r="D332" i="2"/>
  <c r="C332" i="2"/>
  <c r="D331" i="2"/>
  <c r="C331" i="2"/>
  <c r="D330" i="2"/>
  <c r="D329" i="2"/>
  <c r="B329" i="2" s="1"/>
  <c r="B327" i="2"/>
  <c r="B314" i="2"/>
  <c r="B313" i="2"/>
  <c r="B310" i="2"/>
  <c r="C286" i="2"/>
  <c r="C285" i="2"/>
  <c r="D286" i="2"/>
  <c r="D285" i="2"/>
  <c r="B285" i="2" s="1"/>
  <c r="D284" i="2"/>
  <c r="D283" i="2"/>
  <c r="B281" i="2"/>
  <c r="C278" i="2"/>
  <c r="C277" i="2"/>
  <c r="F272" i="2"/>
  <c r="F271" i="2"/>
  <c r="F270" i="2"/>
  <c r="F249" i="2"/>
  <c r="B255" i="2"/>
  <c r="B251" i="2"/>
  <c r="B253" i="2"/>
  <c r="B245" i="2"/>
  <c r="B232" i="2"/>
  <c r="B233" i="2"/>
  <c r="B231" i="2"/>
  <c r="B213" i="2"/>
  <c r="B212" i="2"/>
  <c r="F199" i="2" a="1"/>
  <c r="F199" i="2" s="1"/>
  <c r="A193" i="2" a="1"/>
  <c r="B193" i="2" s="1"/>
  <c r="E191" i="2" a="1"/>
  <c r="E192" i="2" s="1"/>
  <c r="I168" i="2" a="1"/>
  <c r="I168" i="2" s="1"/>
  <c r="B154" i="2"/>
  <c r="B157" i="2" s="1"/>
  <c r="I137" i="2" a="1"/>
  <c r="I137" i="2" s="1"/>
  <c r="I119" i="2" a="1"/>
  <c r="I119" i="2" s="1"/>
  <c r="B124" i="2" s="1" a="1"/>
  <c r="B124" i="2" s="1"/>
  <c r="G414" i="2" l="1"/>
  <c r="J413" i="2" s="1"/>
  <c r="J412" i="2"/>
  <c r="B333" i="2"/>
  <c r="B331" i="2"/>
  <c r="B334" i="2" s="1"/>
  <c r="B214" i="2"/>
  <c r="B292" i="2"/>
  <c r="B234" i="2"/>
  <c r="B257" i="2"/>
  <c r="C258" i="2"/>
  <c r="B283" i="2"/>
  <c r="B287" i="2" s="1"/>
  <c r="C295" i="2" s="1"/>
  <c r="B298" i="2" s="1"/>
  <c r="C288" i="2"/>
  <c r="B259" i="2"/>
  <c r="A260" i="2" s="1"/>
  <c r="F192" i="2"/>
  <c r="G192" i="2"/>
  <c r="E191" i="2"/>
  <c r="C193" i="2"/>
  <c r="E193" i="2"/>
  <c r="F193" i="2"/>
  <c r="G193" i="2"/>
  <c r="A193" i="2"/>
  <c r="F191" i="2"/>
  <c r="G191" i="2"/>
  <c r="B173" i="2" a="1"/>
  <c r="B173" i="2" s="1"/>
  <c r="B172" i="2" a="1"/>
  <c r="B172" i="2" s="1"/>
  <c r="B174" i="2" a="1"/>
  <c r="B174" i="2" s="1"/>
  <c r="B125" i="2" a="1"/>
  <c r="B125" i="2" s="1"/>
  <c r="B123" i="2" a="1"/>
  <c r="B123" i="2" s="1"/>
  <c r="B141" i="2" a="1"/>
  <c r="B141" i="2" s="1"/>
  <c r="B143" i="2" a="1"/>
  <c r="B143" i="2" s="1"/>
  <c r="B142" i="2" a="1"/>
  <c r="B142" i="2" s="1"/>
  <c r="I84" i="2" a="1"/>
  <c r="J84" i="2" s="1"/>
  <c r="I65" i="2" a="1"/>
  <c r="I65" i="2" s="1"/>
  <c r="A48" i="2" a="1"/>
  <c r="A48" i="2" s="1"/>
  <c r="E46" i="2" a="1"/>
  <c r="E46" i="2" s="1"/>
  <c r="D29" i="2"/>
  <c r="D28" i="2"/>
  <c r="I9" i="2" a="1"/>
  <c r="I9" i="2" s="1"/>
  <c r="F412" i="2" l="1"/>
  <c r="F413" i="2"/>
  <c r="F415" i="2"/>
  <c r="F414" i="2"/>
  <c r="B31" i="2"/>
  <c r="B176" i="2"/>
  <c r="E174" i="2" s="1" a="1"/>
  <c r="B175" i="2"/>
  <c r="J194" i="2" a="1"/>
  <c r="J194" i="2" s="1"/>
  <c r="B289" i="2"/>
  <c r="J196" i="2" a="1"/>
  <c r="J196" i="2" s="1"/>
  <c r="J195" i="2" a="1"/>
  <c r="J195" i="2" s="1"/>
  <c r="B146" i="2"/>
  <c r="B33" i="2"/>
  <c r="B177" i="2"/>
  <c r="E47" i="2"/>
  <c r="J66" i="2"/>
  <c r="I66" i="2"/>
  <c r="J65" i="2"/>
  <c r="G46" i="2"/>
  <c r="B126" i="2"/>
  <c r="B127" i="2"/>
  <c r="B145" i="2"/>
  <c r="B147" i="2" s="1"/>
  <c r="B144" i="2"/>
  <c r="I85" i="2"/>
  <c r="I84" i="2"/>
  <c r="J85" i="2"/>
  <c r="E31" i="2" a="1"/>
  <c r="E31" i="2" s="1"/>
  <c r="C48" i="2"/>
  <c r="B48" i="2"/>
  <c r="F48" i="2"/>
  <c r="G47" i="2"/>
  <c r="G48" i="2"/>
  <c r="E48" i="2"/>
  <c r="F47" i="2"/>
  <c r="F46" i="2"/>
  <c r="J10" i="2"/>
  <c r="I10" i="2"/>
  <c r="J9" i="2"/>
  <c r="E15" i="2" s="1" a="1"/>
  <c r="E15" i="2" s="1"/>
  <c r="E16" i="2" s="1" a="1"/>
  <c r="E16" i="2" s="1"/>
  <c r="J414" i="2" l="1"/>
  <c r="J415" i="2" s="1"/>
  <c r="J416" i="2" s="1"/>
  <c r="C417" i="2" s="1"/>
  <c r="B69" i="2" a="1"/>
  <c r="B69" i="2" s="1"/>
  <c r="J197" i="2"/>
  <c r="J198" i="2" s="1"/>
  <c r="J199" i="2"/>
  <c r="J51" i="2" a="1"/>
  <c r="J51" i="2" s="1"/>
  <c r="E174" i="2"/>
  <c r="E175" i="2"/>
  <c r="E125" i="2" a="1"/>
  <c r="E125" i="2" s="1"/>
  <c r="H124" i="2"/>
  <c r="J50" i="2" a="1"/>
  <c r="J50" i="2" s="1"/>
  <c r="E17" i="2"/>
  <c r="J49" i="2" a="1"/>
  <c r="J49" i="2" s="1"/>
  <c r="B71" i="2" a="1"/>
  <c r="B71" i="2" s="1"/>
  <c r="B70" i="2" a="1"/>
  <c r="B70" i="2" s="1"/>
  <c r="B73" i="2" s="1"/>
  <c r="E143" i="2" a="1"/>
  <c r="B89" i="2" a="1"/>
  <c r="B89" i="2" s="1"/>
  <c r="B90" i="2" a="1"/>
  <c r="B90" i="2" s="1"/>
  <c r="B88" i="2" a="1"/>
  <c r="B88" i="2" s="1"/>
  <c r="B32" i="2"/>
  <c r="E32" i="2"/>
  <c r="B195" i="2" l="1" a="1"/>
  <c r="B195" i="2" s="1"/>
  <c r="E126" i="2"/>
  <c r="E124" i="2" s="1" a="1"/>
  <c r="E124" i="2" s="1"/>
  <c r="B72" i="2"/>
  <c r="B74" i="2" s="1"/>
  <c r="E173" i="2" a="1"/>
  <c r="E173" i="2" s="1"/>
  <c r="E143" i="2"/>
  <c r="E144" i="2"/>
  <c r="B75" i="2"/>
  <c r="J52" i="2"/>
  <c r="J53" i="2" s="1"/>
  <c r="B91" i="2"/>
  <c r="B92" i="2" s="1"/>
  <c r="B93" i="2" s="1"/>
  <c r="E142" i="2" l="1" a="1"/>
  <c r="E142" i="2" s="1"/>
  <c r="B197" i="2"/>
  <c r="B196" i="2"/>
  <c r="E70" i="2" a="1"/>
  <c r="E71" i="2" s="1"/>
  <c r="E72" i="2"/>
  <c r="E73" i="2" s="1"/>
  <c r="B199" i="2" a="1"/>
  <c r="B199" i="2" s="1"/>
  <c r="B200" i="2" s="1" a="1"/>
  <c r="B200" i="2" s="1"/>
  <c r="B198" i="2" a="1"/>
  <c r="B198" i="2" s="1"/>
  <c r="J54" i="2"/>
  <c r="B94" i="2"/>
  <c r="E90" i="2" s="1" a="1"/>
  <c r="B50" i="2" a="1"/>
  <c r="E70" i="2" l="1"/>
  <c r="E91" i="2"/>
  <c r="E90" i="2"/>
  <c r="B50" i="2"/>
  <c r="B52" i="2"/>
  <c r="B51" i="2"/>
  <c r="B54" i="2" l="1" a="1"/>
  <c r="B54" i="2" s="1"/>
  <c r="B5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<sst xmlns="http://schemas.openxmlformats.org/spreadsheetml/2006/main" count="290" uniqueCount="140">
  <si>
    <t>mu1=</t>
  </si>
  <si>
    <t>mu2=</t>
  </si>
  <si>
    <t>A=</t>
  </si>
  <si>
    <t>sigma1^2=</t>
  </si>
  <si>
    <t>sigma2^2=</t>
  </si>
  <si>
    <t>cov(R1,R2)=</t>
  </si>
  <si>
    <t>x1=</t>
  </si>
  <si>
    <t>x2=</t>
  </si>
  <si>
    <t>sigma^2=</t>
  </si>
  <si>
    <t>sigma=</t>
  </si>
  <si>
    <t>mu=</t>
  </si>
  <si>
    <t>I=</t>
  </si>
  <si>
    <t>I^T=</t>
  </si>
  <si>
    <t>alpha=</t>
  </si>
  <si>
    <t>X=</t>
  </si>
  <si>
    <t>mu0=</t>
  </si>
  <si>
    <t>mu3=</t>
  </si>
  <si>
    <t>gamma=</t>
  </si>
  <si>
    <t>delta=</t>
  </si>
  <si>
    <t>lambda=</t>
  </si>
  <si>
    <t>nu=</t>
  </si>
  <si>
    <t>muf=</t>
  </si>
  <si>
    <t>mu_p=</t>
  </si>
  <si>
    <t>sigma1=</t>
  </si>
  <si>
    <t>sigma_p=</t>
  </si>
  <si>
    <t>mu_f=</t>
  </si>
  <si>
    <t>mu_m1=</t>
  </si>
  <si>
    <t>mu_m2=</t>
  </si>
  <si>
    <t>mu_A=</t>
  </si>
  <si>
    <t>mu_m=</t>
  </si>
  <si>
    <t>mu_B=</t>
  </si>
  <si>
    <t>mu_C=</t>
  </si>
  <si>
    <t>mu_A(факт)=</t>
  </si>
  <si>
    <t>mu_B(факт)=</t>
  </si>
  <si>
    <t>mu_C(факт)=</t>
  </si>
  <si>
    <t>alpha_A=</t>
  </si>
  <si>
    <t>alpha_B=</t>
  </si>
  <si>
    <t>alpha_C=mu_C(факт)-mu_C(CAPM)</t>
  </si>
  <si>
    <t>mu_C(CAPM)=</t>
  </si>
  <si>
    <t>mu_C(CAPM)=mu_f+beta_C*(mu_m-mu_f)</t>
  </si>
  <si>
    <t>mu_A(CAPM)=mu_f+beta_A*(mu_m-mu_f)</t>
  </si>
  <si>
    <t>mu_B(CAPM)=mu_f+beta_B*(mu_m-mu_f)</t>
  </si>
  <si>
    <t>delta1=</t>
  </si>
  <si>
    <t>delta2=</t>
  </si>
  <si>
    <t>mu_m-mu_f=</t>
  </si>
  <si>
    <t>1=beta_A*x_A+beta_B*x_B+beta_C*x_C</t>
  </si>
  <si>
    <t>A^-1=</t>
  </si>
  <si>
    <t>x1</t>
  </si>
  <si>
    <t>x2</t>
  </si>
  <si>
    <t>lambda</t>
  </si>
  <si>
    <t>0,4x1^2+0,4x1x2+0,3x2^2+lambda(1-x1-x2)</t>
  </si>
  <si>
    <t>X1=0,2L</t>
  </si>
  <si>
    <t>x2=0,4L</t>
  </si>
  <si>
    <t>x1/x2=1/2</t>
  </si>
  <si>
    <t>x1=1/3</t>
  </si>
  <si>
    <t>x2=2/3</t>
  </si>
  <si>
    <t>ручной способ</t>
  </si>
  <si>
    <t>I^t=</t>
  </si>
  <si>
    <t>betta=</t>
  </si>
  <si>
    <t>I^T</t>
  </si>
  <si>
    <t>mu^T</t>
  </si>
  <si>
    <t>mu0&gt;=</t>
  </si>
  <si>
    <t>mu^T@X=mu0</t>
  </si>
  <si>
    <t>&lt;mu0</t>
  </si>
  <si>
    <t>mu*=</t>
  </si>
  <si>
    <t>sigma&lt;=</t>
  </si>
  <si>
    <t>X*=</t>
  </si>
  <si>
    <t>sigma2=</t>
  </si>
  <si>
    <t>A23=</t>
  </si>
  <si>
    <t>d^2=</t>
  </si>
  <si>
    <t>Xf=</t>
  </si>
  <si>
    <t>muT=</t>
  </si>
  <si>
    <t>sigmaT=</t>
  </si>
  <si>
    <t>sigma0=</t>
  </si>
  <si>
    <t>X0=</t>
  </si>
  <si>
    <t>X из ответов</t>
  </si>
  <si>
    <t>mu=(проверка)</t>
  </si>
  <si>
    <t>ну не сходится же</t>
  </si>
  <si>
    <t>betta_A=</t>
  </si>
  <si>
    <t>ответ</t>
  </si>
  <si>
    <t>betta_B=</t>
  </si>
  <si>
    <t>betta_C=</t>
  </si>
  <si>
    <t>xA</t>
  </si>
  <si>
    <t>xB</t>
  </si>
  <si>
    <t>xC</t>
  </si>
  <si>
    <t>5%=mu_f+0,4*(mu_m-mu_f)</t>
  </si>
  <si>
    <t>19%=mu_f+3,2(mu_m-mu_f)</t>
  </si>
  <si>
    <t>delta_1=</t>
  </si>
  <si>
    <t>dekta_2=</t>
  </si>
  <si>
    <t>mu_A(факт)=mu_A(САРМ)</t>
  </si>
  <si>
    <t>mu_B(CAPM)=mu_B(факт) - alpha_B</t>
  </si>
  <si>
    <t>mu_B(CAPM)=</t>
  </si>
  <si>
    <t>xA=</t>
  </si>
  <si>
    <t>xB=</t>
  </si>
  <si>
    <t>xC=</t>
  </si>
  <si>
    <t>mu_A(CAPM)=</t>
  </si>
  <si>
    <t>delta_2=</t>
  </si>
  <si>
    <t>mu_m - mu_f=</t>
  </si>
  <si>
    <t>alpha_C=</t>
  </si>
  <si>
    <t>недооценены</t>
  </si>
  <si>
    <t>betta_X=</t>
  </si>
  <si>
    <t>betta_Y=</t>
  </si>
  <si>
    <t>mu_X=</t>
  </si>
  <si>
    <t>mu_Y=</t>
  </si>
  <si>
    <t>больше 8,6%</t>
  </si>
  <si>
    <t>больше 17,9%</t>
  </si>
  <si>
    <t>15=lambda0+0,8lambda1</t>
  </si>
  <si>
    <t>25=lambda0+1,2lambda1</t>
  </si>
  <si>
    <t>lambda1=</t>
  </si>
  <si>
    <t>lambda2=</t>
  </si>
  <si>
    <t>mu_i=-5+25*betta_i</t>
  </si>
  <si>
    <t>28x+9(1-x)=22</t>
  </si>
  <si>
    <t>19=lambda0+0,2lambda1+1,1lambda2</t>
  </si>
  <si>
    <t>13=lambda0+0,8lambda1+1,4lambda2</t>
  </si>
  <si>
    <t>20=lambda0+1,1lambda1+0,7lambda2</t>
  </si>
  <si>
    <t>delta</t>
  </si>
  <si>
    <t>delta3=</t>
  </si>
  <si>
    <t>lambda0=</t>
  </si>
  <si>
    <t>B=</t>
  </si>
  <si>
    <t>mu_Г=</t>
  </si>
  <si>
    <t>betta_Г=</t>
  </si>
  <si>
    <t>Акция Г переоцена</t>
  </si>
  <si>
    <t>K(sharp ratio)=</t>
  </si>
  <si>
    <t>mu_p_A=</t>
  </si>
  <si>
    <t>sigma_p_A=</t>
  </si>
  <si>
    <t>mu_p_B=</t>
  </si>
  <si>
    <t>sigma_p_B=</t>
  </si>
  <si>
    <t>Портфель А управлялся эффективнее</t>
  </si>
  <si>
    <t>квартал</t>
  </si>
  <si>
    <t>нач</t>
  </si>
  <si>
    <t>конец</t>
  </si>
  <si>
    <t>увелич</t>
  </si>
  <si>
    <t>r</t>
  </si>
  <si>
    <t>1+r</t>
  </si>
  <si>
    <t>r_p=</t>
  </si>
  <si>
    <t>(r-r_avg)^2</t>
  </si>
  <si>
    <t>r_avg</t>
  </si>
  <si>
    <t>alpha/delta=</t>
  </si>
  <si>
    <t>betta/delta=</t>
  </si>
  <si>
    <t>gamma/delta=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</si>
</sst>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6" formatCode="0.000%"/>
    <numFmt numFmtId="167" formatCode="0.000"/>
    <numFmt numFmtId="175" formatCode="0.0000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9" fontId="0" fillId="0" borderId="0" xfId="0" applyNumberFormat="1"/>
    <xf numFmtId="10" fontId="0" fillId="0" borderId="0" xfId="0" applyNumberFormat="1"/>
    <xf numFmtId="0" fontId="0" fillId="2" borderId="0" xfId="0" applyFill="1"/>
    <xf numFmtId="9" fontId="0" fillId="0" borderId="0" xfId="1" applyFont="1"/>
    <xf numFmtId="164" fontId="0" fillId="2" borderId="0" xfId="1" applyNumberFormat="1" applyFont="1" applyFill="1"/>
    <xf numFmtId="0" fontId="3" fillId="0" borderId="0" xfId="2"/>
    <xf numFmtId="10" fontId="0" fillId="0" borderId="0" xfId="1" applyNumberFormat="1" applyFont="1"/>
    <xf numFmtId="10" fontId="0" fillId="2" borderId="0" xfId="1" applyNumberFormat="1" applyFont="1" applyFill="1"/>
    <xf numFmtId="2" fontId="0" fillId="0" borderId="0" xfId="0" applyNumberFormat="1"/>
    <xf numFmtId="2" fontId="0" fillId="2" borderId="0" xfId="0" applyNumberFormat="1" applyFill="1"/>
    <xf numFmtId="166" fontId="0" fillId="2" borderId="0" xfId="1" applyNumberFormat="1" applyFont="1" applyFill="1"/>
    <xf numFmtId="167" fontId="0" fillId="2" borderId="0" xfId="0" applyNumberFormat="1" applyFill="1"/>
    <xf numFmtId="0" fontId="0" fillId="0" borderId="0" xfId="0" applyNumberFormat="1"/>
    <xf numFmtId="10" fontId="0" fillId="2" borderId="0" xfId="0" applyNumberFormat="1" applyFill="1"/>
    <xf numFmtId="166" fontId="0" fillId="2" borderId="0" xfId="0" applyNumberFormat="1" applyFill="1"/>
    <xf numFmtId="0" fontId="0" fillId="2" borderId="0" xfId="1" applyNumberFormat="1" applyFont="1" applyFill="1"/>
    <xf numFmtId="175" fontId="0" fillId="2" borderId="0" xfId="0" applyNumberFormat="1" applyFill="1"/>
  </cellXfs>
  <cellStyles count="3">
    <cellStyle name="Гиперссылка" xfId="2" builtinId="8"/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458111</xdr:colOff>
      <xdr:row>5</xdr:row>
      <xdr:rowOff>114449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CE96598-8B40-4B9C-AF3D-74E7F487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25536" cy="1066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114300</xdr:rowOff>
    </xdr:from>
    <xdr:to>
      <xdr:col>9</xdr:col>
      <xdr:colOff>277110</xdr:colOff>
      <xdr:row>40</xdr:row>
      <xdr:rowOff>85907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95394F1-94A2-4DF2-92E1-C091882DA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6344535" cy="1305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28575</xdr:rowOff>
    </xdr:from>
    <xdr:to>
      <xdr:col>9</xdr:col>
      <xdr:colOff>248531</xdr:colOff>
      <xdr:row>81</xdr:row>
      <xdr:rowOff>171603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F527984-CBAC-4CA2-820B-4FD0EBE8A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06575"/>
          <a:ext cx="6315956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152400</xdr:rowOff>
    </xdr:from>
    <xdr:to>
      <xdr:col>9</xdr:col>
      <xdr:colOff>229479</xdr:colOff>
      <xdr:row>99</xdr:row>
      <xdr:rowOff>85849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1C09B148-9139-4DB4-A9A6-D20A20DF0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59400"/>
          <a:ext cx="6296904" cy="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180975</xdr:rowOff>
    </xdr:from>
    <xdr:to>
      <xdr:col>9</xdr:col>
      <xdr:colOff>239005</xdr:colOff>
      <xdr:row>116</xdr:row>
      <xdr:rowOff>152582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4A23CB3-F6FE-4972-B265-B601180A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754975"/>
          <a:ext cx="6306430" cy="1305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9</xdr:col>
      <xdr:colOff>305689</xdr:colOff>
      <xdr:row>135</xdr:row>
      <xdr:rowOff>38291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48CAAE3-A045-4E39-B885-A9C54E90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193500"/>
          <a:ext cx="6373114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9</xdr:col>
      <xdr:colOff>200900</xdr:colOff>
      <xdr:row>151</xdr:row>
      <xdr:rowOff>142975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6348C4DA-DAA5-4B74-B54B-4C34D5D3C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03500"/>
          <a:ext cx="6268325" cy="7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9</xdr:col>
      <xdr:colOff>267584</xdr:colOff>
      <xdr:row>166</xdr:row>
      <xdr:rowOff>152581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A172E6D-010B-4C1C-92C8-A565C7BAC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289500"/>
          <a:ext cx="6335009" cy="1295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9</xdr:col>
      <xdr:colOff>229479</xdr:colOff>
      <xdr:row>185</xdr:row>
      <xdr:rowOff>181186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06D7B7C-12E7-4F3B-BCD5-48FF8B6C0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718500"/>
          <a:ext cx="6296904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9</xdr:col>
      <xdr:colOff>248531</xdr:colOff>
      <xdr:row>205</xdr:row>
      <xdr:rowOff>114422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8C51F92-1FB4-4ED2-AF6F-4397E2A33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100000"/>
          <a:ext cx="6315956" cy="876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9</xdr:col>
      <xdr:colOff>239005</xdr:colOff>
      <xdr:row>224</xdr:row>
      <xdr:rowOff>152661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4E28594F-4356-4980-AF94-E66863F6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0767000"/>
          <a:ext cx="6306430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9</xdr:col>
      <xdr:colOff>343795</xdr:colOff>
      <xdr:row>240</xdr:row>
      <xdr:rowOff>152554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2A1565F-3BF9-4B2D-A452-E6B3D31BF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577000"/>
          <a:ext cx="6411220" cy="1105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9</xdr:col>
      <xdr:colOff>181847</xdr:colOff>
      <xdr:row>268</xdr:row>
      <xdr:rowOff>133555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389DAF7-3694-4E03-8720-F1280AE34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530000"/>
          <a:ext cx="6249272" cy="1467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9</xdr:col>
      <xdr:colOff>162794</xdr:colOff>
      <xdr:row>302</xdr:row>
      <xdr:rowOff>123922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6CF237D-869F-4331-A2A8-38CACB594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6769000"/>
          <a:ext cx="6230219" cy="695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9</xdr:col>
      <xdr:colOff>277110</xdr:colOff>
      <xdr:row>306</xdr:row>
      <xdr:rowOff>133448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A1AE10AC-2D9F-4EB1-9AE7-26A3A01A8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531000"/>
          <a:ext cx="6344535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9</xdr:col>
      <xdr:colOff>296163</xdr:colOff>
      <xdr:row>323</xdr:row>
      <xdr:rowOff>76450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7E74A9A1-168E-4E74-903F-BB4103D7B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9626500"/>
          <a:ext cx="6363588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8</xdr:col>
      <xdr:colOff>209550</xdr:colOff>
      <xdr:row>62</xdr:row>
      <xdr:rowOff>28575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FAF00B2-4879-41A6-A3B8-BCFD3429D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5667375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533400</xdr:colOff>
      <xdr:row>101</xdr:row>
      <xdr:rowOff>28575</xdr:rowOff>
    </xdr:from>
    <xdr:to>
      <xdr:col>16</xdr:col>
      <xdr:colOff>161925</xdr:colOff>
      <xdr:row>106</xdr:row>
      <xdr:rowOff>38100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E6C18385-AC7B-4C67-9FFE-BC71DDE67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19269075"/>
          <a:ext cx="389572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9</xdr:col>
      <xdr:colOff>286637</xdr:colOff>
      <xdr:row>349</xdr:row>
      <xdr:rowOff>9872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FF1C8D5F-6EDC-43CE-A945-D67C199B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817500"/>
          <a:ext cx="6354062" cy="24863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95</xdr:row>
      <xdr:rowOff>76200</xdr:rowOff>
    </xdr:from>
    <xdr:to>
      <xdr:col>13</xdr:col>
      <xdr:colOff>447973</xdr:colOff>
      <xdr:row>96</xdr:row>
      <xdr:rowOff>133385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D7463B8-4354-482E-A6F1-7D7ADF08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67450" y="18173700"/>
          <a:ext cx="2133898" cy="24768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97</xdr:row>
      <xdr:rowOff>38100</xdr:rowOff>
    </xdr:from>
    <xdr:to>
      <xdr:col>13</xdr:col>
      <xdr:colOff>495595</xdr:colOff>
      <xdr:row>100</xdr:row>
      <xdr:rowOff>47706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78DA6701-32A5-42A3-BA7F-57CD127C2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34125" y="18516600"/>
          <a:ext cx="2114845" cy="58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9</xdr:col>
      <xdr:colOff>153268</xdr:colOff>
      <xdr:row>377</xdr:row>
      <xdr:rowOff>152501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DE602A89-BAC1-4523-BE9B-4A949A418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247000"/>
          <a:ext cx="6220693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9</xdr:col>
      <xdr:colOff>305689</xdr:colOff>
      <xdr:row>389</xdr:row>
      <xdr:rowOff>38265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6D5E7CD6-7A3C-400D-877D-0D27423C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2961500"/>
          <a:ext cx="6373114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114300</xdr:rowOff>
    </xdr:from>
    <xdr:to>
      <xdr:col>9</xdr:col>
      <xdr:colOff>210426</xdr:colOff>
      <xdr:row>408</xdr:row>
      <xdr:rowOff>124172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1F63A30-3192-48F0-AA04-5152EB32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5361800"/>
          <a:ext cx="6277851" cy="2486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mu%5ET@X=mu0" TargetMode="External"/><Relationship Id="rId1" Type="http://schemas.openxmlformats.org/officeDocument/2006/relationships/hyperlink" Target="mailto:mu%5ET@X=mu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BED16-02A1-47BA-8B34-688EEF7A67A4}">
  <dimension ref="A9:J417"/>
  <sheetViews>
    <sheetView tabSelected="1" topLeftCell="A346" workbookViewId="0">
      <selection activeCell="R363" sqref="R363"/>
    </sheetView>
  </sheetViews>
  <sheetFormatPr defaultRowHeight="15" x14ac:dyDescent="0.25"/>
  <cols>
    <col min="1" max="1" width="14.42578125" customWidth="1"/>
    <col min="3" max="3" width="8.5703125" customWidth="1"/>
    <col min="5" max="5" width="11" customWidth="1"/>
    <col min="6" max="6" width="11.28515625" customWidth="1"/>
  </cols>
  <sheetData>
    <row r="9" spans="1:10" x14ac:dyDescent="0.25">
      <c r="A9" s="1" t="s">
        <v>0</v>
      </c>
      <c r="B9" s="2">
        <v>0.2</v>
      </c>
      <c r="D9" t="s">
        <v>2</v>
      </c>
      <c r="E9">
        <v>0.4</v>
      </c>
      <c r="F9">
        <v>0.2</v>
      </c>
      <c r="H9" t="s">
        <v>46</v>
      </c>
      <c r="I9">
        <f t="array" ref="I9:J10">MINVERSE(E9:F10)</f>
        <v>3.75</v>
      </c>
      <c r="J9">
        <v>-2.5</v>
      </c>
    </row>
    <row r="10" spans="1:10" x14ac:dyDescent="0.25">
      <c r="A10" t="s">
        <v>1</v>
      </c>
      <c r="B10" s="2">
        <v>0.1</v>
      </c>
      <c r="E10">
        <v>0.2</v>
      </c>
      <c r="F10">
        <v>0.3</v>
      </c>
      <c r="I10">
        <v>-2.5</v>
      </c>
      <c r="J10">
        <v>5</v>
      </c>
    </row>
    <row r="12" spans="1:10" x14ac:dyDescent="0.25">
      <c r="D12" t="s">
        <v>11</v>
      </c>
      <c r="E12">
        <v>1</v>
      </c>
      <c r="G12" t="s">
        <v>57</v>
      </c>
      <c r="H12">
        <v>1</v>
      </c>
      <c r="I12">
        <v>1</v>
      </c>
    </row>
    <row r="13" spans="1:10" x14ac:dyDescent="0.25">
      <c r="E13">
        <v>1</v>
      </c>
    </row>
    <row r="15" spans="1:10" x14ac:dyDescent="0.25">
      <c r="A15" t="s">
        <v>3</v>
      </c>
      <c r="B15">
        <v>0.4</v>
      </c>
      <c r="D15" t="s">
        <v>13</v>
      </c>
      <c r="E15">
        <f t="array" ref="E15">MMULT(H12:I12,MMULT(I9:J10,E12:E13))</f>
        <v>3.75</v>
      </c>
    </row>
    <row r="16" spans="1:10" x14ac:dyDescent="0.25">
      <c r="A16" t="s">
        <v>4</v>
      </c>
      <c r="B16">
        <v>0.4</v>
      </c>
      <c r="D16" t="s">
        <v>14</v>
      </c>
      <c r="E16" s="4">
        <f t="array" ref="E16:E17">1/E15*MMULT(I9:J10,E12:E13)</f>
        <v>0.33333333333333331</v>
      </c>
    </row>
    <row r="17" spans="1:5" x14ac:dyDescent="0.25">
      <c r="A17" t="s">
        <v>5</v>
      </c>
      <c r="B17">
        <v>0.2</v>
      </c>
      <c r="E17" s="4">
        <v>0.66666666666666663</v>
      </c>
    </row>
    <row r="19" spans="1:5" x14ac:dyDescent="0.25">
      <c r="A19" t="s">
        <v>56</v>
      </c>
    </row>
    <row r="20" spans="1:5" x14ac:dyDescent="0.25">
      <c r="A20" t="s">
        <v>50</v>
      </c>
    </row>
    <row r="22" spans="1:5" x14ac:dyDescent="0.25">
      <c r="A22" t="s">
        <v>47</v>
      </c>
      <c r="B22" t="s">
        <v>48</v>
      </c>
      <c r="C22" t="s">
        <v>49</v>
      </c>
    </row>
    <row r="23" spans="1:5" x14ac:dyDescent="0.25">
      <c r="A23">
        <v>0.8</v>
      </c>
      <c r="B23">
        <v>0.4</v>
      </c>
      <c r="C23">
        <v>1</v>
      </c>
    </row>
    <row r="24" spans="1:5" x14ac:dyDescent="0.25">
      <c r="A24">
        <v>0.4</v>
      </c>
      <c r="B24">
        <v>0.6</v>
      </c>
      <c r="C24">
        <v>1</v>
      </c>
    </row>
    <row r="25" spans="1:5" x14ac:dyDescent="0.25">
      <c r="A25" t="s">
        <v>51</v>
      </c>
    </row>
    <row r="26" spans="1:5" x14ac:dyDescent="0.25">
      <c r="A26" t="s">
        <v>52</v>
      </c>
    </row>
    <row r="27" spans="1:5" x14ac:dyDescent="0.25">
      <c r="A27" t="s">
        <v>53</v>
      </c>
    </row>
    <row r="28" spans="1:5" x14ac:dyDescent="0.25">
      <c r="A28" t="s">
        <v>54</v>
      </c>
      <c r="C28" t="s">
        <v>14</v>
      </c>
      <c r="D28" s="4">
        <f>1/3</f>
        <v>0.33333333333333331</v>
      </c>
    </row>
    <row r="29" spans="1:5" x14ac:dyDescent="0.25">
      <c r="A29" t="s">
        <v>55</v>
      </c>
      <c r="D29" s="4">
        <f>2/3</f>
        <v>0.66666666666666663</v>
      </c>
    </row>
    <row r="31" spans="1:5" x14ac:dyDescent="0.25">
      <c r="A31" t="s">
        <v>8</v>
      </c>
      <c r="B31" s="4">
        <f>0.4*D28^2+0.4*D28*D29+0.3*D29^2</f>
        <v>0.26666666666666666</v>
      </c>
      <c r="D31" t="s">
        <v>58</v>
      </c>
      <c r="E31">
        <f t="array" ref="E31">MMULT(TRANSPOSE(B9:B10),MMULT(I9:J10,E12:E13))</f>
        <v>0.5</v>
      </c>
    </row>
    <row r="32" spans="1:5" x14ac:dyDescent="0.25">
      <c r="A32" t="s">
        <v>8</v>
      </c>
      <c r="B32" s="4">
        <f>1/E15</f>
        <v>0.26666666666666666</v>
      </c>
      <c r="D32" t="s">
        <v>10</v>
      </c>
      <c r="E32" s="4">
        <f>E31/E15</f>
        <v>0.13333333333333333</v>
      </c>
    </row>
    <row r="33" spans="1:10" x14ac:dyDescent="0.25">
      <c r="A33" t="s">
        <v>10</v>
      </c>
      <c r="B33" s="4">
        <f>SUMPRODUCT(B9:B10,D28:D29)</f>
        <v>0.13333333333333333</v>
      </c>
    </row>
    <row r="43" spans="1:10" x14ac:dyDescent="0.25">
      <c r="A43" t="s">
        <v>0</v>
      </c>
      <c r="B43" s="2">
        <v>0.1</v>
      </c>
      <c r="E43">
        <v>4</v>
      </c>
      <c r="F43">
        <v>-3</v>
      </c>
      <c r="G43">
        <v>2</v>
      </c>
      <c r="I43" t="s">
        <v>11</v>
      </c>
      <c r="J43">
        <v>1</v>
      </c>
    </row>
    <row r="44" spans="1:10" x14ac:dyDescent="0.25">
      <c r="A44" t="s">
        <v>1</v>
      </c>
      <c r="B44" s="2">
        <v>0.2</v>
      </c>
      <c r="D44" t="s">
        <v>2</v>
      </c>
      <c r="E44">
        <v>-3</v>
      </c>
      <c r="F44">
        <v>5</v>
      </c>
      <c r="G44">
        <v>0</v>
      </c>
      <c r="J44">
        <v>1</v>
      </c>
    </row>
    <row r="45" spans="1:10" x14ac:dyDescent="0.25">
      <c r="A45" t="s">
        <v>16</v>
      </c>
      <c r="B45" s="2">
        <v>0.3</v>
      </c>
      <c r="E45">
        <v>2</v>
      </c>
      <c r="F45">
        <v>0</v>
      </c>
      <c r="G45">
        <v>2</v>
      </c>
      <c r="J45">
        <v>1</v>
      </c>
    </row>
    <row r="46" spans="1:10" x14ac:dyDescent="0.25">
      <c r="A46" t="s">
        <v>10</v>
      </c>
      <c r="B46" s="2">
        <v>0.25</v>
      </c>
      <c r="E46">
        <f t="array" ref="E46:G48">MINVERSE(E43:G45)</f>
        <v>4.9999999999999982</v>
      </c>
      <c r="F46">
        <v>2.9999999999999991</v>
      </c>
      <c r="G46">
        <v>-4.9999999999999982</v>
      </c>
      <c r="I46" t="s">
        <v>59</v>
      </c>
    </row>
    <row r="47" spans="1:10" x14ac:dyDescent="0.25">
      <c r="A47" t="s">
        <v>60</v>
      </c>
      <c r="D47" t="s">
        <v>46</v>
      </c>
      <c r="E47">
        <v>2.9999999999999987</v>
      </c>
      <c r="F47">
        <v>1.9999999999999993</v>
      </c>
      <c r="G47">
        <v>-2.9999999999999987</v>
      </c>
      <c r="H47">
        <v>1</v>
      </c>
      <c r="I47">
        <v>1</v>
      </c>
      <c r="J47">
        <v>1</v>
      </c>
    </row>
    <row r="48" spans="1:10" x14ac:dyDescent="0.25">
      <c r="A48">
        <f t="array" ref="A48:C48">TRANSPOSE(B43:B45)</f>
        <v>0.1</v>
      </c>
      <c r="B48">
        <v>0.2</v>
      </c>
      <c r="C48">
        <v>0.3</v>
      </c>
      <c r="E48">
        <v>-4.9999999999999982</v>
      </c>
      <c r="F48">
        <v>-2.9999999999999987</v>
      </c>
      <c r="G48">
        <v>5.4999999999999982</v>
      </c>
    </row>
    <row r="49" spans="1:10" x14ac:dyDescent="0.25">
      <c r="A49" s="7" t="s">
        <v>62</v>
      </c>
      <c r="I49" t="s">
        <v>13</v>
      </c>
      <c r="J49">
        <f t="array" ref="J49">MMULT(H47:J47,MMULT(E46:G48,J43:J45))</f>
        <v>2.5</v>
      </c>
    </row>
    <row r="50" spans="1:10" x14ac:dyDescent="0.25">
      <c r="A50" t="s">
        <v>14</v>
      </c>
      <c r="B50" s="4">
        <f t="array" ref="B50:B52">MMULT(E46:G48,J53*J43:J45+J54*B43:B45)</f>
        <v>0.10714285714285765</v>
      </c>
      <c r="I50" t="s">
        <v>58</v>
      </c>
      <c r="J50">
        <f t="array" ref="J50">MMULT(A48:C48,MMULT(E46:G48,J43:J45))</f>
        <v>-4.99999999999996E-2</v>
      </c>
    </row>
    <row r="51" spans="1:10" x14ac:dyDescent="0.25">
      <c r="B51" s="4">
        <v>0.28571428571428559</v>
      </c>
      <c r="I51" t="s">
        <v>17</v>
      </c>
      <c r="J51">
        <f t="array" ref="J51">MMULT(A48:C48,MMULT(E46:G48,B43:B45))</f>
        <v>8.5000000000000006E-2</v>
      </c>
    </row>
    <row r="52" spans="1:10" x14ac:dyDescent="0.25">
      <c r="B52" s="4">
        <v>0.60714285714285676</v>
      </c>
      <c r="I52" t="s">
        <v>18</v>
      </c>
      <c r="J52">
        <f>J49*J51-J50^2</f>
        <v>0.21000000000000008</v>
      </c>
    </row>
    <row r="53" spans="1:10" x14ac:dyDescent="0.25">
      <c r="I53" t="s">
        <v>19</v>
      </c>
      <c r="J53">
        <f>(J51-J50*B46)/J52</f>
        <v>0.46428571428571369</v>
      </c>
    </row>
    <row r="54" spans="1:10" x14ac:dyDescent="0.25">
      <c r="A54" t="s">
        <v>8</v>
      </c>
      <c r="B54" s="5">
        <f t="array" ref="B54">MMULT(TRANSPOSE(B50:B52),MMULT(E43:G45,B50:B52))</f>
        <v>1.2678571428571423</v>
      </c>
      <c r="I54" t="s">
        <v>20</v>
      </c>
      <c r="J54">
        <f>(J49*B46-J50)/J52</f>
        <v>3.2142857142857113</v>
      </c>
    </row>
    <row r="55" spans="1:10" x14ac:dyDescent="0.25">
      <c r="A55" t="s">
        <v>9</v>
      </c>
      <c r="B55" s="6">
        <f>SQRT(B54)</f>
        <v>1.125991626459603</v>
      </c>
    </row>
    <row r="65" spans="1:10" x14ac:dyDescent="0.25">
      <c r="A65" t="s">
        <v>0</v>
      </c>
      <c r="B65" s="2">
        <v>0.25</v>
      </c>
      <c r="D65" t="s">
        <v>2</v>
      </c>
      <c r="E65">
        <v>10</v>
      </c>
      <c r="F65">
        <v>-6</v>
      </c>
      <c r="H65" t="s">
        <v>46</v>
      </c>
      <c r="I65">
        <f t="array" ref="I65:J66">MINVERSE(E65:F66)</f>
        <v>-0.12500000000000006</v>
      </c>
      <c r="J65">
        <v>-0.37500000000000011</v>
      </c>
    </row>
    <row r="66" spans="1:10" x14ac:dyDescent="0.25">
      <c r="A66" t="s">
        <v>1</v>
      </c>
      <c r="B66" s="2">
        <v>0.12</v>
      </c>
      <c r="E66">
        <v>-6</v>
      </c>
      <c r="F66">
        <v>2</v>
      </c>
      <c r="I66">
        <v>-0.37500000000000006</v>
      </c>
      <c r="J66">
        <v>-0.62500000000000011</v>
      </c>
    </row>
    <row r="67" spans="1:10" x14ac:dyDescent="0.25">
      <c r="A67" t="s">
        <v>61</v>
      </c>
      <c r="B67" s="2">
        <v>0.23</v>
      </c>
    </row>
    <row r="68" spans="1:10" x14ac:dyDescent="0.25">
      <c r="B68" s="2"/>
      <c r="D68" t="s">
        <v>11</v>
      </c>
      <c r="E68">
        <v>1</v>
      </c>
      <c r="G68" t="s">
        <v>12</v>
      </c>
      <c r="H68">
        <v>1</v>
      </c>
      <c r="I68">
        <v>1</v>
      </c>
    </row>
    <row r="69" spans="1:10" x14ac:dyDescent="0.25">
      <c r="A69" t="s">
        <v>13</v>
      </c>
      <c r="B69" cm="1">
        <f t="array" ref="B69">MMULT(H68:I68,MMULT(I65:J66,E68:E69))</f>
        <v>-1.5000000000000004</v>
      </c>
      <c r="E69">
        <v>1</v>
      </c>
    </row>
    <row r="70" spans="1:10" x14ac:dyDescent="0.25">
      <c r="A70" t="s">
        <v>58</v>
      </c>
      <c r="B70">
        <f t="array" ref="B70">MMULT(TRANSPOSE(B65:B66),MMULT(I65:J66,E68:E69))</f>
        <v>-0.24500000000000008</v>
      </c>
      <c r="D70" t="s">
        <v>14</v>
      </c>
      <c r="E70" s="4">
        <f t="array" ref="E70:E71">MMULT(I65:J66,((B71-B70*B67)/B72)*E68:E69+((B69*B67-B70)/B72)*B65:B66)</f>
        <v>0.84615384615384115</v>
      </c>
    </row>
    <row r="71" spans="1:10" x14ac:dyDescent="0.25">
      <c r="A71" t="s">
        <v>17</v>
      </c>
      <c r="B71">
        <f t="array" ref="B71">MMULT(TRANSPOSE(B65:B66),MMULT(I65:J66,B65:B66))</f>
        <v>-3.9312500000000007E-2</v>
      </c>
      <c r="E71" s="4">
        <v>0.15384615384615552</v>
      </c>
    </row>
    <row r="72" spans="1:10" x14ac:dyDescent="0.25">
      <c r="A72" t="s">
        <v>18</v>
      </c>
      <c r="B72">
        <f>B69*B71-B70^2</f>
        <v>-1.0562500000000086E-3</v>
      </c>
      <c r="D72" t="s">
        <v>8</v>
      </c>
      <c r="E72">
        <f>(B69*B67^2-2*B70*B67+B71)/B72</f>
        <v>5.6449704142011399</v>
      </c>
    </row>
    <row r="73" spans="1:10" x14ac:dyDescent="0.25">
      <c r="A73" t="s">
        <v>64</v>
      </c>
      <c r="B73" s="8">
        <f>B70/B69</f>
        <v>0.16333333333333333</v>
      </c>
      <c r="C73" t="s">
        <v>63</v>
      </c>
      <c r="D73" t="s">
        <v>9</v>
      </c>
      <c r="E73" s="9">
        <f>SQRT(E72)</f>
        <v>2.3759146479200677</v>
      </c>
    </row>
    <row r="74" spans="1:10" x14ac:dyDescent="0.25">
      <c r="A74" t="s">
        <v>19</v>
      </c>
      <c r="B74">
        <f>(B71-B70*B67)/B72</f>
        <v>-16.130177514792781</v>
      </c>
    </row>
    <row r="75" spans="1:10" x14ac:dyDescent="0.25">
      <c r="A75" t="s">
        <v>20</v>
      </c>
      <c r="B75">
        <f>(B69*B67-B70)/B72</f>
        <v>94.674556213017041</v>
      </c>
    </row>
    <row r="84" spans="1:10" x14ac:dyDescent="0.25">
      <c r="A84" t="s">
        <v>0</v>
      </c>
      <c r="B84" s="2">
        <v>0.15</v>
      </c>
      <c r="D84" t="s">
        <v>2</v>
      </c>
      <c r="E84">
        <v>4</v>
      </c>
      <c r="F84">
        <v>-3</v>
      </c>
      <c r="H84" t="s">
        <v>46</v>
      </c>
      <c r="I84">
        <f t="array" ref="I84:J85">MINVERSE(E84:F85)</f>
        <v>-2</v>
      </c>
      <c r="J84">
        <v>-3</v>
      </c>
    </row>
    <row r="85" spans="1:10" x14ac:dyDescent="0.25">
      <c r="A85" t="s">
        <v>1</v>
      </c>
      <c r="B85" s="2">
        <v>0.32</v>
      </c>
      <c r="E85">
        <v>-3</v>
      </c>
      <c r="F85">
        <v>2</v>
      </c>
      <c r="I85">
        <v>-3</v>
      </c>
      <c r="J85">
        <v>-4</v>
      </c>
    </row>
    <row r="86" spans="1:10" x14ac:dyDescent="0.25">
      <c r="A86" t="s">
        <v>65</v>
      </c>
      <c r="B86" s="2">
        <v>0.45</v>
      </c>
    </row>
    <row r="87" spans="1:10" x14ac:dyDescent="0.25">
      <c r="B87" s="2"/>
      <c r="D87" t="s">
        <v>11</v>
      </c>
      <c r="E87">
        <v>1</v>
      </c>
      <c r="G87" t="s">
        <v>12</v>
      </c>
      <c r="H87">
        <v>1</v>
      </c>
      <c r="I87">
        <v>1</v>
      </c>
    </row>
    <row r="88" spans="1:10" x14ac:dyDescent="0.25">
      <c r="A88" t="s">
        <v>13</v>
      </c>
      <c r="B88" cm="1">
        <f t="array" ref="B88">MMULT(H87:I87,MMULT(I84:J85,E87:E88))</f>
        <v>-12</v>
      </c>
      <c r="E88">
        <v>1</v>
      </c>
    </row>
    <row r="89" spans="1:10" x14ac:dyDescent="0.25">
      <c r="A89" t="s">
        <v>58</v>
      </c>
      <c r="B89">
        <f t="array" ref="B89">MMULT(TRANSPOSE(B84:B85),MMULT(I84:J85,E87:E88))</f>
        <v>-2.99</v>
      </c>
    </row>
    <row r="90" spans="1:10" x14ac:dyDescent="0.25">
      <c r="A90" t="s">
        <v>17</v>
      </c>
      <c r="B90">
        <f t="array" ref="B90">MMULT(TRANSPOSE(B84:B85),MMULT(I84:J85,B84:B85))</f>
        <v>-0.74259999999999993</v>
      </c>
      <c r="D90" t="s">
        <v>66</v>
      </c>
      <c r="E90" s="4">
        <f t="array" ref="E90:E91">MMULT(I84:J85,B93*E87:E88+B94*B84:B85)</f>
        <v>0.26233117352123925</v>
      </c>
    </row>
    <row r="91" spans="1:10" x14ac:dyDescent="0.25">
      <c r="A91" t="s">
        <v>18</v>
      </c>
      <c r="B91">
        <f>B88*B90-B89^2</f>
        <v>-2.8900000000001924E-2</v>
      </c>
      <c r="E91" s="4">
        <v>0.73766882647876519</v>
      </c>
    </row>
    <row r="92" spans="1:10" x14ac:dyDescent="0.25">
      <c r="A92" t="s">
        <v>15</v>
      </c>
      <c r="B92" s="9">
        <f>B89/B88+SQRT((B86^2-1/B88)*B91/B88)</f>
        <v>0.2754037005013914</v>
      </c>
    </row>
    <row r="93" spans="1:10" x14ac:dyDescent="0.25">
      <c r="A93" t="s">
        <v>19</v>
      </c>
      <c r="B93">
        <f>(B90-B89*B92)/B91</f>
        <v>-2.7978223010088246</v>
      </c>
    </row>
    <row r="94" spans="1:10" x14ac:dyDescent="0.25">
      <c r="A94" t="s">
        <v>20</v>
      </c>
      <c r="B94">
        <f>(B88*B92-B89)/B91</f>
        <v>10.89427010438324</v>
      </c>
    </row>
    <row r="101" spans="1:5" x14ac:dyDescent="0.25">
      <c r="A101" t="s">
        <v>0</v>
      </c>
      <c r="B101">
        <v>0.09</v>
      </c>
      <c r="D101" t="s">
        <v>14</v>
      </c>
      <c r="E101" s="4">
        <f>B108</f>
        <v>0.31578947368421051</v>
      </c>
    </row>
    <row r="102" spans="1:5" x14ac:dyDescent="0.25">
      <c r="A102" t="s">
        <v>1</v>
      </c>
      <c r="B102">
        <v>0.28000000000000003</v>
      </c>
      <c r="E102" s="4">
        <f>B107</f>
        <v>0.68421052631578949</v>
      </c>
    </row>
    <row r="103" spans="1:5" x14ac:dyDescent="0.25">
      <c r="A103" t="s">
        <v>23</v>
      </c>
      <c r="B103">
        <v>0</v>
      </c>
      <c r="E103" s="4"/>
    </row>
    <row r="104" spans="1:5" x14ac:dyDescent="0.25">
      <c r="A104" t="s">
        <v>67</v>
      </c>
      <c r="B104">
        <v>0.49</v>
      </c>
      <c r="D104" t="s">
        <v>9</v>
      </c>
      <c r="E104" s="11">
        <f>SQRT(B108^2*B103^2+B107^2*B104^2)</f>
        <v>0.33526315789473682</v>
      </c>
    </row>
    <row r="105" spans="1:5" x14ac:dyDescent="0.25">
      <c r="A105" t="s">
        <v>10</v>
      </c>
      <c r="B105">
        <v>0.22</v>
      </c>
    </row>
    <row r="106" spans="1:5" x14ac:dyDescent="0.25">
      <c r="A106" t="s">
        <v>111</v>
      </c>
    </row>
    <row r="107" spans="1:5" x14ac:dyDescent="0.25">
      <c r="A107" t="s">
        <v>7</v>
      </c>
      <c r="B107">
        <f>13/19</f>
        <v>0.68421052631578949</v>
      </c>
    </row>
    <row r="108" spans="1:5" x14ac:dyDescent="0.25">
      <c r="A108" t="s">
        <v>6</v>
      </c>
      <c r="B108">
        <f>1-B107</f>
        <v>0.31578947368421051</v>
      </c>
    </row>
    <row r="119" spans="1:10" x14ac:dyDescent="0.25">
      <c r="A119" t="s">
        <v>21</v>
      </c>
      <c r="B119" s="3">
        <v>5.5E-2</v>
      </c>
      <c r="E119">
        <v>0.33</v>
      </c>
      <c r="F119">
        <v>-0.2</v>
      </c>
      <c r="I119" cm="1">
        <f t="array" ref="I119:J120">MINVERSE(E119:F120)</f>
        <v>4.0540540540540544</v>
      </c>
      <c r="J119">
        <v>1.6891891891891893</v>
      </c>
    </row>
    <row r="120" spans="1:10" x14ac:dyDescent="0.25">
      <c r="A120" t="s">
        <v>1</v>
      </c>
      <c r="B120" s="2">
        <v>0.21</v>
      </c>
      <c r="D120" t="s">
        <v>68</v>
      </c>
      <c r="E120">
        <v>-0.2</v>
      </c>
      <c r="F120">
        <v>0.48</v>
      </c>
      <c r="H120" t="s">
        <v>46</v>
      </c>
      <c r="I120">
        <v>1.6891891891891893</v>
      </c>
      <c r="J120">
        <v>2.7871621621621623</v>
      </c>
    </row>
    <row r="121" spans="1:10" x14ac:dyDescent="0.25">
      <c r="A121" t="s">
        <v>16</v>
      </c>
      <c r="B121" s="2">
        <v>0.32</v>
      </c>
    </row>
    <row r="122" spans="1:10" x14ac:dyDescent="0.25">
      <c r="A122" t="s">
        <v>15</v>
      </c>
      <c r="B122" s="2">
        <v>0.13</v>
      </c>
      <c r="D122" t="s">
        <v>12</v>
      </c>
      <c r="E122">
        <v>1</v>
      </c>
      <c r="F122">
        <v>1</v>
      </c>
      <c r="G122" t="s">
        <v>11</v>
      </c>
      <c r="H122">
        <v>1</v>
      </c>
    </row>
    <row r="123" spans="1:10" x14ac:dyDescent="0.25">
      <c r="A123" t="s">
        <v>13</v>
      </c>
      <c r="B123">
        <f t="array" ref="B123">MMULT(E122:F122,MMULT(_xlfn.ANCHORARRAY(I119),H122:H123))</f>
        <v>10.219594594594597</v>
      </c>
      <c r="H123">
        <v>1</v>
      </c>
    </row>
    <row r="124" spans="1:10" x14ac:dyDescent="0.25">
      <c r="A124" t="s">
        <v>58</v>
      </c>
      <c r="B124">
        <f t="array" ref="B124">MMULT(E122:F122,MMULT(_xlfn.ANCHORARRAY(I119),B120:B121))</f>
        <v>2.638513513513514</v>
      </c>
      <c r="D124" t="s">
        <v>70</v>
      </c>
      <c r="E124" s="11">
        <f t="array" ref="E124">1-MMULT(E122:F122,E125:E126)</f>
        <v>0.63941919870933051</v>
      </c>
      <c r="G124" t="s">
        <v>9</v>
      </c>
      <c r="H124" s="4">
        <f>(B122-B119)/SQRT(B127)</f>
        <v>0.11412286774475368</v>
      </c>
    </row>
    <row r="125" spans="1:10" x14ac:dyDescent="0.25">
      <c r="A125" t="s">
        <v>17</v>
      </c>
      <c r="B125">
        <f t="array" ref="B125">MMULT(TRANSPOSE(B120:B121),MMULT(_xlfn.ANCHORARRAY(I119),B120:B121))</f>
        <v>0.69121621621621632</v>
      </c>
      <c r="D125" t="s">
        <v>14</v>
      </c>
      <c r="E125" s="11">
        <f t="array" ref="E125:E126">(B122-B119)/B127*MMULT(I119:J120,B120:B121-B119*H122:H123)</f>
        <v>0.1868537485638857</v>
      </c>
    </row>
    <row r="126" spans="1:10" x14ac:dyDescent="0.25">
      <c r="A126" t="s">
        <v>18</v>
      </c>
      <c r="B126">
        <f>B123*B125-B124^2</f>
        <v>0.10219594594594561</v>
      </c>
      <c r="E126" s="11">
        <v>0.17372705272678385</v>
      </c>
    </row>
    <row r="127" spans="1:10" x14ac:dyDescent="0.25">
      <c r="A127" t="s">
        <v>69</v>
      </c>
      <c r="B127">
        <f>B123*B119^2-2*B124*B119+B125</f>
        <v>0.43189400337837847</v>
      </c>
    </row>
    <row r="137" spans="1:10" x14ac:dyDescent="0.25">
      <c r="A137" t="s">
        <v>21</v>
      </c>
      <c r="B137" s="3">
        <v>3.5000000000000003E-2</v>
      </c>
      <c r="E137">
        <v>0.42</v>
      </c>
      <c r="F137">
        <v>-0.23</v>
      </c>
      <c r="I137" cm="1">
        <f t="array" ref="I137:J138">MINVERSE(E137:F138)</f>
        <v>3.2047089601046435</v>
      </c>
      <c r="J137">
        <v>1.5042511445389146</v>
      </c>
    </row>
    <row r="138" spans="1:10" x14ac:dyDescent="0.25">
      <c r="A138" t="s">
        <v>1</v>
      </c>
      <c r="B138" s="2">
        <v>0.21</v>
      </c>
      <c r="D138" t="s">
        <v>68</v>
      </c>
      <c r="E138">
        <v>-0.23</v>
      </c>
      <c r="F138">
        <v>0.49</v>
      </c>
      <c r="H138" t="s">
        <v>46</v>
      </c>
      <c r="I138">
        <v>1.5042511445389146</v>
      </c>
      <c r="J138">
        <v>2.7468933943754092</v>
      </c>
    </row>
    <row r="139" spans="1:10" x14ac:dyDescent="0.25">
      <c r="A139" t="s">
        <v>16</v>
      </c>
      <c r="B139" s="2">
        <v>0.38</v>
      </c>
    </row>
    <row r="140" spans="1:10" x14ac:dyDescent="0.25">
      <c r="B140" s="2"/>
      <c r="D140" t="s">
        <v>12</v>
      </c>
      <c r="E140">
        <v>1</v>
      </c>
      <c r="F140">
        <v>1</v>
      </c>
      <c r="G140" t="s">
        <v>11</v>
      </c>
      <c r="H140">
        <v>1</v>
      </c>
    </row>
    <row r="141" spans="1:10" x14ac:dyDescent="0.25">
      <c r="A141" t="s">
        <v>13</v>
      </c>
      <c r="B141">
        <f t="array" ref="B141">MMULT(E140:F140,MMULT(_xlfn.ANCHORARRAY(I137),H140:H141))</f>
        <v>8.9601046435578819</v>
      </c>
      <c r="H141">
        <v>1</v>
      </c>
    </row>
    <row r="142" spans="1:10" x14ac:dyDescent="0.25">
      <c r="A142" t="s">
        <v>58</v>
      </c>
      <c r="B142">
        <f t="array" ref="B142">MMULT(E140:F140,MMULT(_xlfn.ANCHORARRAY(I137),B138:B139))</f>
        <v>2.6043165467625906</v>
      </c>
      <c r="D142" t="s">
        <v>70</v>
      </c>
      <c r="E142" s="11">
        <f t="array" ref="E142">1-MMULT(E140:F140,E143:E144)</f>
        <v>0</v>
      </c>
    </row>
    <row r="143" spans="1:10" x14ac:dyDescent="0.25">
      <c r="A143" t="s">
        <v>17</v>
      </c>
      <c r="B143">
        <f t="array" ref="B143">MMULT(TRANSPOSE(B138:B139),MMULT(_xlfn.ANCHORARRAY(I137),B138:B139))</f>
        <v>0.77805755395683474</v>
      </c>
      <c r="D143" t="s">
        <v>14</v>
      </c>
      <c r="E143" s="11">
        <f t="array" ref="E143:E144">(B146-B137)/B145*MMULT(I137:J138,B138:B139-B137*H140:H141)</f>
        <v>0.47137758743754432</v>
      </c>
    </row>
    <row r="144" spans="1:10" x14ac:dyDescent="0.25">
      <c r="A144" t="s">
        <v>18</v>
      </c>
      <c r="B144">
        <f>B141*B143-B142^2</f>
        <v>0.18901242642249727</v>
      </c>
      <c r="E144" s="11">
        <v>0.52862241256245524</v>
      </c>
    </row>
    <row r="145" spans="1:2" x14ac:dyDescent="0.25">
      <c r="A145" t="s">
        <v>69</v>
      </c>
      <c r="B145">
        <f>B141*B137^2-2*B142*B137+B143</f>
        <v>0.60673152387181184</v>
      </c>
    </row>
    <row r="146" spans="1:2" x14ac:dyDescent="0.25">
      <c r="A146" t="s">
        <v>71</v>
      </c>
      <c r="B146" s="12">
        <f>(B143-B142*B137)/(B142-B141*B137)</f>
        <v>0.29986581013561742</v>
      </c>
    </row>
    <row r="147" spans="1:2" x14ac:dyDescent="0.25">
      <c r="A147" t="s">
        <v>72</v>
      </c>
      <c r="B147" s="9">
        <f>SQRT(B145)/(B142-B141*B137)</f>
        <v>0.34003813184053133</v>
      </c>
    </row>
    <row r="153" spans="1:2" x14ac:dyDescent="0.25">
      <c r="A153" t="s">
        <v>137</v>
      </c>
      <c r="B153">
        <v>4</v>
      </c>
    </row>
    <row r="154" spans="1:2" x14ac:dyDescent="0.25">
      <c r="A154" t="s">
        <v>138</v>
      </c>
      <c r="B154">
        <f>0.28/2</f>
        <v>0.14000000000000001</v>
      </c>
    </row>
    <row r="155" spans="1:2" x14ac:dyDescent="0.25">
      <c r="A155" t="s">
        <v>139</v>
      </c>
      <c r="B155">
        <v>1.9E-2</v>
      </c>
    </row>
    <row r="156" spans="1:2" x14ac:dyDescent="0.25">
      <c r="A156" t="s">
        <v>21</v>
      </c>
      <c r="B156">
        <v>2.3E-2</v>
      </c>
    </row>
    <row r="157" spans="1:2" x14ac:dyDescent="0.25">
      <c r="A157" t="s">
        <v>71</v>
      </c>
      <c r="B157" s="12">
        <f>(B155-B154*B156)/(B154-B153*B156)</f>
        <v>0.32874999999999988</v>
      </c>
    </row>
    <row r="158" spans="1:2" x14ac:dyDescent="0.25">
      <c r="A158" t="s">
        <v>9</v>
      </c>
      <c r="B158" s="12">
        <f>SQRT(B153*B157^2-B154*2*B157+B155)</f>
        <v>0.59937988788413621</v>
      </c>
    </row>
    <row r="168" spans="1:10" x14ac:dyDescent="0.25">
      <c r="A168" t="s">
        <v>21</v>
      </c>
      <c r="B168" s="3">
        <v>5.5E-2</v>
      </c>
      <c r="E168">
        <v>0.21</v>
      </c>
      <c r="F168">
        <v>-0.21</v>
      </c>
      <c r="I168" cm="1">
        <f t="array" ref="I168:J169">MINVERSE(E168:F169)</f>
        <v>9.5238095238095237</v>
      </c>
      <c r="J168">
        <v>4.7619047619047619</v>
      </c>
    </row>
    <row r="169" spans="1:10" x14ac:dyDescent="0.25">
      <c r="A169" t="s">
        <v>1</v>
      </c>
      <c r="B169" s="2">
        <v>0.11</v>
      </c>
      <c r="D169" t="s">
        <v>68</v>
      </c>
      <c r="E169">
        <v>-0.21</v>
      </c>
      <c r="F169">
        <v>0.42</v>
      </c>
      <c r="H169" t="s">
        <v>46</v>
      </c>
      <c r="I169">
        <v>4.7619047619047619</v>
      </c>
      <c r="J169">
        <v>4.7619047619047619</v>
      </c>
    </row>
    <row r="170" spans="1:10" x14ac:dyDescent="0.25">
      <c r="A170" t="s">
        <v>16</v>
      </c>
      <c r="B170" s="2">
        <v>0.26</v>
      </c>
    </row>
    <row r="171" spans="1:10" x14ac:dyDescent="0.25">
      <c r="A171" t="s">
        <v>73</v>
      </c>
      <c r="B171" s="2">
        <v>0.19</v>
      </c>
      <c r="D171" t="s">
        <v>12</v>
      </c>
      <c r="E171">
        <v>1</v>
      </c>
      <c r="F171">
        <v>1</v>
      </c>
      <c r="G171" t="s">
        <v>11</v>
      </c>
      <c r="H171">
        <v>1</v>
      </c>
    </row>
    <row r="172" spans="1:10" x14ac:dyDescent="0.25">
      <c r="A172" t="s">
        <v>13</v>
      </c>
      <c r="B172">
        <f t="array" ref="B172">MMULT(E171:F171,MMULT(_xlfn.ANCHORARRAY(I168),H171:H172))</f>
        <v>23.80952380952381</v>
      </c>
      <c r="H172">
        <v>1</v>
      </c>
    </row>
    <row r="173" spans="1:10" x14ac:dyDescent="0.25">
      <c r="A173" t="s">
        <v>58</v>
      </c>
      <c r="B173">
        <f t="array" ref="B173">MMULT(E171:F171,MMULT(_xlfn.ANCHORARRAY(I168),B169:B170))</f>
        <v>4.0476190476190474</v>
      </c>
      <c r="D173" t="s">
        <v>70</v>
      </c>
      <c r="E173" s="13">
        <f t="array" ref="E173">1-MMULT(E171:F171,E174:E175)</f>
        <v>0.10291712161757616</v>
      </c>
    </row>
    <row r="174" spans="1:10" x14ac:dyDescent="0.25">
      <c r="A174" t="s">
        <v>17</v>
      </c>
      <c r="B174">
        <f t="array" ref="B174">MMULT(TRANSPOSE(B169:B170),MMULT(_xlfn.ANCHORARRAY(I168),B169:B170))</f>
        <v>0.70952380952380945</v>
      </c>
      <c r="D174" t="s">
        <v>74</v>
      </c>
      <c r="E174" s="13">
        <f t="array" ref="E174:E175">B171/SQRT(B176)*MMULT(I168:J169,B169:B170-B168*H171:H172)</f>
        <v>0.49144540293993655</v>
      </c>
    </row>
    <row r="175" spans="1:10" x14ac:dyDescent="0.25">
      <c r="A175" t="s">
        <v>18</v>
      </c>
      <c r="B175">
        <f>B172*B174-B173^2</f>
        <v>0.51020408163265429</v>
      </c>
      <c r="E175" s="13">
        <v>0.40563747544248735</v>
      </c>
    </row>
    <row r="176" spans="1:10" x14ac:dyDescent="0.25">
      <c r="A176" t="s">
        <v>69</v>
      </c>
      <c r="B176">
        <f>B172*B168^2-2*B173*B168+B174</f>
        <v>0.33630952380952372</v>
      </c>
    </row>
    <row r="177" spans="1:10" x14ac:dyDescent="0.25">
      <c r="A177" t="s">
        <v>15</v>
      </c>
      <c r="B177" s="9">
        <f>B171*SQRT(B176)+B168</f>
        <v>0.16518517962740636</v>
      </c>
    </row>
    <row r="188" spans="1:10" x14ac:dyDescent="0.25">
      <c r="A188" t="s">
        <v>0</v>
      </c>
      <c r="B188" s="2">
        <v>0.1</v>
      </c>
      <c r="E188">
        <v>2</v>
      </c>
      <c r="F188">
        <v>0</v>
      </c>
      <c r="G188">
        <v>2</v>
      </c>
      <c r="I188" t="s">
        <v>11</v>
      </c>
      <c r="J188">
        <v>1</v>
      </c>
    </row>
    <row r="189" spans="1:10" x14ac:dyDescent="0.25">
      <c r="A189" t="s">
        <v>1</v>
      </c>
      <c r="B189" s="2">
        <v>0.25</v>
      </c>
      <c r="D189" t="s">
        <v>2</v>
      </c>
      <c r="E189">
        <v>0</v>
      </c>
      <c r="F189">
        <v>5</v>
      </c>
      <c r="G189">
        <v>-3</v>
      </c>
      <c r="J189">
        <v>1</v>
      </c>
    </row>
    <row r="190" spans="1:10" x14ac:dyDescent="0.25">
      <c r="A190" t="s">
        <v>16</v>
      </c>
      <c r="B190" s="2">
        <v>0.15</v>
      </c>
      <c r="E190">
        <v>2</v>
      </c>
      <c r="F190">
        <v>-3</v>
      </c>
      <c r="G190">
        <v>4</v>
      </c>
      <c r="J190">
        <v>1</v>
      </c>
    </row>
    <row r="191" spans="1:10" x14ac:dyDescent="0.25">
      <c r="A191" t="s">
        <v>15</v>
      </c>
      <c r="B191" s="2">
        <v>0.2</v>
      </c>
      <c r="E191">
        <f t="array" ref="E191:G193">MINVERSE(E188:G190)</f>
        <v>5.4999999999999956</v>
      </c>
      <c r="F191">
        <v>-2.9999999999999973</v>
      </c>
      <c r="G191">
        <v>-4.9999999999999956</v>
      </c>
      <c r="I191" t="s">
        <v>59</v>
      </c>
    </row>
    <row r="192" spans="1:10" x14ac:dyDescent="0.25">
      <c r="A192" t="s">
        <v>60</v>
      </c>
      <c r="D192" t="s">
        <v>46</v>
      </c>
      <c r="E192">
        <v>-2.9999999999999973</v>
      </c>
      <c r="F192">
        <v>1.9999999999999987</v>
      </c>
      <c r="G192">
        <v>2.9999999999999973</v>
      </c>
      <c r="H192">
        <v>1</v>
      </c>
      <c r="I192">
        <v>1</v>
      </c>
      <c r="J192">
        <v>1</v>
      </c>
    </row>
    <row r="193" spans="1:10" x14ac:dyDescent="0.25">
      <c r="A193">
        <f t="array" ref="A193:C193">TRANSPOSE(B188:B190)</f>
        <v>0.1</v>
      </c>
      <c r="B193">
        <v>0.25</v>
      </c>
      <c r="C193">
        <v>0.15</v>
      </c>
      <c r="E193">
        <v>-4.9999999999999956</v>
      </c>
      <c r="F193">
        <v>2.9999999999999973</v>
      </c>
      <c r="G193">
        <v>4.9999999999999956</v>
      </c>
    </row>
    <row r="194" spans="1:10" x14ac:dyDescent="0.25">
      <c r="A194" s="7" t="s">
        <v>62</v>
      </c>
      <c r="I194" t="s">
        <v>13</v>
      </c>
      <c r="J194">
        <f t="array" ref="J194">MMULT(H192:J192,MMULT(E191:G193,J188:J190))</f>
        <v>2.4999999999999987</v>
      </c>
    </row>
    <row r="195" spans="1:10" x14ac:dyDescent="0.25">
      <c r="A195" t="s">
        <v>14</v>
      </c>
      <c r="B195" s="4">
        <f t="array" ref="B195:B197">MMULT(E191:G193,J198*J188:J190+J199*B188:B190)</f>
        <v>-6.976744186046524E-2</v>
      </c>
      <c r="F195" t="s">
        <v>75</v>
      </c>
      <c r="I195" t="s">
        <v>58</v>
      </c>
      <c r="J195">
        <f t="array" ref="J195">MMULT(A193:C193,MMULT(E191:G193,J188:J190))</f>
        <v>0.69999999999999951</v>
      </c>
    </row>
    <row r="196" spans="1:10" x14ac:dyDescent="0.25">
      <c r="B196" s="4">
        <v>0.46511627906976827</v>
      </c>
      <c r="F196">
        <v>0.51100000000000001</v>
      </c>
      <c r="I196" t="s">
        <v>17</v>
      </c>
      <c r="J196">
        <f t="array" ref="J196">MMULT(A193:C193,MMULT(E191:G193,B188:B190))</f>
        <v>0.2174999999999998</v>
      </c>
    </row>
    <row r="197" spans="1:10" x14ac:dyDescent="0.25">
      <c r="B197" s="4">
        <v>0.60465116279069875</v>
      </c>
      <c r="F197">
        <v>0.25600000000000001</v>
      </c>
      <c r="I197" t="s">
        <v>18</v>
      </c>
      <c r="J197">
        <f>J194*J196-J195^2</f>
        <v>5.3749999999999853E-2</v>
      </c>
    </row>
    <row r="198" spans="1:10" x14ac:dyDescent="0.25">
      <c r="A198" t="s">
        <v>76</v>
      </c>
      <c r="B198">
        <f t="array" ref="B198">MMULT(TRANSPOSE(B188:B190),B195:B197)</f>
        <v>0.20000000000000034</v>
      </c>
      <c r="F198">
        <v>0.23300000000000001</v>
      </c>
      <c r="I198" t="s">
        <v>19</v>
      </c>
      <c r="J198">
        <f>(J196-J195*B191)/J197</f>
        <v>1.4418604651162812</v>
      </c>
    </row>
    <row r="199" spans="1:10" x14ac:dyDescent="0.25">
      <c r="A199" t="s">
        <v>8</v>
      </c>
      <c r="B199" s="5">
        <f t="array" ref="B199">MMULT(TRANSPOSE(B195:B197),MMULT(E188:G190,B195:B197))</f>
        <v>0.69767441860465373</v>
      </c>
      <c r="E199" t="s">
        <v>10</v>
      </c>
      <c r="F199">
        <f t="array" ref="F199">MMULT(TRANSPOSE(B188:B190),F196:F198)</f>
        <v>0.15005000000000002</v>
      </c>
      <c r="I199" t="s">
        <v>20</v>
      </c>
      <c r="J199">
        <f>(J194*B191-J195)/J197</f>
        <v>-3.7209302325581448</v>
      </c>
    </row>
    <row r="200" spans="1:10" x14ac:dyDescent="0.25">
      <c r="A200" t="s">
        <v>9</v>
      </c>
      <c r="B200" s="6">
        <f t="array" ref="B200">SQRT(B199)</f>
        <v>0.83526906958455838</v>
      </c>
      <c r="E200" t="s">
        <v>77</v>
      </c>
    </row>
    <row r="207" spans="1:10" x14ac:dyDescent="0.25">
      <c r="A207" t="s">
        <v>25</v>
      </c>
      <c r="B207" s="3">
        <v>4.4999999999999998E-2</v>
      </c>
    </row>
    <row r="208" spans="1:10" x14ac:dyDescent="0.25">
      <c r="A208" t="s">
        <v>26</v>
      </c>
      <c r="B208" s="2">
        <v>0.1</v>
      </c>
    </row>
    <row r="209" spans="1:2" x14ac:dyDescent="0.25">
      <c r="A209" t="s">
        <v>78</v>
      </c>
      <c r="B209" s="14">
        <v>1.4</v>
      </c>
    </row>
    <row r="210" spans="1:2" x14ac:dyDescent="0.25">
      <c r="A210" t="s">
        <v>27</v>
      </c>
      <c r="B210" s="2">
        <v>0.17</v>
      </c>
    </row>
    <row r="212" spans="1:2" x14ac:dyDescent="0.25">
      <c r="A212" t="s">
        <v>0</v>
      </c>
      <c r="B212" s="3">
        <f>B207+B209*(B208-B207)</f>
        <v>0.122</v>
      </c>
    </row>
    <row r="213" spans="1:2" x14ac:dyDescent="0.25">
      <c r="A213" t="s">
        <v>1</v>
      </c>
      <c r="B213" s="3">
        <f>B207+B209*(B210-B207)</f>
        <v>0.21999999999999997</v>
      </c>
    </row>
    <row r="214" spans="1:2" x14ac:dyDescent="0.25">
      <c r="A214" t="s">
        <v>79</v>
      </c>
      <c r="B214" s="15">
        <f>B213-B212</f>
        <v>9.7999999999999976E-2</v>
      </c>
    </row>
    <row r="226" spans="1:5" x14ac:dyDescent="0.25">
      <c r="A226" t="s">
        <v>25</v>
      </c>
      <c r="B226" s="2">
        <v>0.06</v>
      </c>
    </row>
    <row r="227" spans="1:5" x14ac:dyDescent="0.25">
      <c r="A227" t="s">
        <v>29</v>
      </c>
      <c r="B227" s="2">
        <v>0.09</v>
      </c>
    </row>
    <row r="228" spans="1:5" x14ac:dyDescent="0.25">
      <c r="A228" t="s">
        <v>78</v>
      </c>
      <c r="B228">
        <v>1</v>
      </c>
    </row>
    <row r="229" spans="1:5" x14ac:dyDescent="0.25">
      <c r="A229" t="s">
        <v>80</v>
      </c>
      <c r="B229">
        <v>0.5</v>
      </c>
    </row>
    <row r="230" spans="1:5" x14ac:dyDescent="0.25">
      <c r="A230" t="s">
        <v>81</v>
      </c>
      <c r="B230">
        <v>2</v>
      </c>
    </row>
    <row r="231" spans="1:5" x14ac:dyDescent="0.25">
      <c r="A231" t="s">
        <v>28</v>
      </c>
      <c r="B231" s="2">
        <f>$B$226+B228*($B$227-$B$226)</f>
        <v>0.09</v>
      </c>
      <c r="D231" t="s">
        <v>82</v>
      </c>
      <c r="E231">
        <v>0.25</v>
      </c>
    </row>
    <row r="232" spans="1:5" x14ac:dyDescent="0.25">
      <c r="A232" t="s">
        <v>30</v>
      </c>
      <c r="B232" s="2">
        <f t="shared" ref="B232:B233" si="0">$B$226+B229*($B$227-$B$226)</f>
        <v>7.4999999999999997E-2</v>
      </c>
      <c r="D232" t="s">
        <v>83</v>
      </c>
      <c r="E232">
        <v>0.25</v>
      </c>
    </row>
    <row r="233" spans="1:5" x14ac:dyDescent="0.25">
      <c r="A233" t="s">
        <v>31</v>
      </c>
      <c r="B233" s="2">
        <f t="shared" si="0"/>
        <v>0.12</v>
      </c>
      <c r="D233" t="s">
        <v>84</v>
      </c>
      <c r="E233">
        <v>0.5</v>
      </c>
    </row>
    <row r="234" spans="1:5" x14ac:dyDescent="0.25">
      <c r="A234" t="s">
        <v>10</v>
      </c>
      <c r="B234" s="12">
        <f>SUMPRODUCT(B231:B233,E231:E233)</f>
        <v>0.10124999999999999</v>
      </c>
    </row>
    <row r="242" spans="1:6" x14ac:dyDescent="0.25">
      <c r="A242" t="s">
        <v>28</v>
      </c>
      <c r="B242" s="2">
        <v>0.05</v>
      </c>
    </row>
    <row r="243" spans="1:6" x14ac:dyDescent="0.25">
      <c r="A243" t="s">
        <v>78</v>
      </c>
      <c r="B243">
        <v>0.4</v>
      </c>
    </row>
    <row r="244" spans="1:6" x14ac:dyDescent="0.25">
      <c r="A244" t="s">
        <v>30</v>
      </c>
      <c r="B244" s="2">
        <v>0.19</v>
      </c>
    </row>
    <row r="245" spans="1:6" x14ac:dyDescent="0.25">
      <c r="A245" t="s">
        <v>80</v>
      </c>
      <c r="B245">
        <f>B243*8</f>
        <v>3.2</v>
      </c>
    </row>
    <row r="246" spans="1:6" x14ac:dyDescent="0.25">
      <c r="A246" t="s">
        <v>35</v>
      </c>
      <c r="B246" s="2">
        <v>0</v>
      </c>
    </row>
    <row r="247" spans="1:6" x14ac:dyDescent="0.25">
      <c r="A247" t="s">
        <v>36</v>
      </c>
      <c r="B247" s="3">
        <v>-1.4999999999999999E-2</v>
      </c>
    </row>
    <row r="248" spans="1:6" x14ac:dyDescent="0.25">
      <c r="A248" t="s">
        <v>89</v>
      </c>
      <c r="D248" t="s">
        <v>90</v>
      </c>
    </row>
    <row r="249" spans="1:6" x14ac:dyDescent="0.25">
      <c r="A249" t="s">
        <v>85</v>
      </c>
      <c r="D249" t="s">
        <v>91</v>
      </c>
      <c r="F249" s="3">
        <f>B244-B247</f>
        <v>0.20500000000000002</v>
      </c>
    </row>
    <row r="250" spans="1:6" x14ac:dyDescent="0.25">
      <c r="A250" t="s">
        <v>86</v>
      </c>
    </row>
    <row r="251" spans="1:6" x14ac:dyDescent="0.25">
      <c r="A251" t="s">
        <v>18</v>
      </c>
      <c r="B251">
        <f>MDETERM(D251:E252)</f>
        <v>2.8000000000000003</v>
      </c>
      <c r="D251">
        <v>1</v>
      </c>
      <c r="E251">
        <v>0.4</v>
      </c>
    </row>
    <row r="252" spans="1:6" x14ac:dyDescent="0.25">
      <c r="D252">
        <v>1</v>
      </c>
      <c r="E252">
        <v>3.2</v>
      </c>
    </row>
    <row r="253" spans="1:6" x14ac:dyDescent="0.25">
      <c r="A253" t="s">
        <v>87</v>
      </c>
      <c r="B253">
        <f>MDETERM(D253:E254)</f>
        <v>7.8000000000000014E-2</v>
      </c>
      <c r="D253">
        <v>0.05</v>
      </c>
      <c r="E253">
        <v>0.4</v>
      </c>
    </row>
    <row r="254" spans="1:6" x14ac:dyDescent="0.25">
      <c r="D254">
        <v>0.20499999999999999</v>
      </c>
      <c r="E254">
        <v>3.2</v>
      </c>
    </row>
    <row r="255" spans="1:6" x14ac:dyDescent="0.25">
      <c r="A255" t="s">
        <v>88</v>
      </c>
      <c r="B255">
        <f>MDETERM(D255:E256)</f>
        <v>0.15499999999999997</v>
      </c>
      <c r="D255">
        <v>1</v>
      </c>
      <c r="E255">
        <v>0.05</v>
      </c>
    </row>
    <row r="256" spans="1:6" x14ac:dyDescent="0.25">
      <c r="D256">
        <v>1</v>
      </c>
      <c r="E256">
        <v>0.20499999999999999</v>
      </c>
    </row>
    <row r="257" spans="1:6" x14ac:dyDescent="0.25">
      <c r="A257" t="s">
        <v>25</v>
      </c>
      <c r="B257">
        <f>B253/B251</f>
        <v>2.7857142857142858E-2</v>
      </c>
    </row>
    <row r="258" spans="1:6" x14ac:dyDescent="0.25">
      <c r="A258" t="s">
        <v>44</v>
      </c>
      <c r="C258">
        <f>B255/B251</f>
        <v>5.5357142857142841E-2</v>
      </c>
    </row>
    <row r="259" spans="1:6" x14ac:dyDescent="0.25">
      <c r="A259" t="s">
        <v>29</v>
      </c>
      <c r="B259">
        <f>C258+B257</f>
        <v>8.3214285714285699E-2</v>
      </c>
    </row>
    <row r="260" spans="1:6" x14ac:dyDescent="0.25">
      <c r="A260" s="4">
        <f>B259/B257</f>
        <v>2.9871794871794863</v>
      </c>
    </row>
    <row r="270" spans="1:6" x14ac:dyDescent="0.25">
      <c r="A270" t="s">
        <v>32</v>
      </c>
      <c r="C270" s="3">
        <v>0.125</v>
      </c>
      <c r="E270" t="s">
        <v>92</v>
      </c>
      <c r="F270">
        <f>1/3</f>
        <v>0.33333333333333331</v>
      </c>
    </row>
    <row r="271" spans="1:6" x14ac:dyDescent="0.25">
      <c r="A271" t="s">
        <v>33</v>
      </c>
      <c r="C271" s="2">
        <v>0.06</v>
      </c>
      <c r="E271" t="s">
        <v>93</v>
      </c>
      <c r="F271">
        <f>1/3</f>
        <v>0.33333333333333331</v>
      </c>
    </row>
    <row r="272" spans="1:6" x14ac:dyDescent="0.25">
      <c r="A272" t="s">
        <v>34</v>
      </c>
      <c r="C272" s="3">
        <v>7.4999999999999997E-2</v>
      </c>
      <c r="E272" t="s">
        <v>94</v>
      </c>
      <c r="F272">
        <f>1/3</f>
        <v>0.33333333333333331</v>
      </c>
    </row>
    <row r="273" spans="1:4" x14ac:dyDescent="0.25">
      <c r="A273" t="s">
        <v>78</v>
      </c>
      <c r="B273">
        <v>2</v>
      </c>
    </row>
    <row r="274" spans="1:4" x14ac:dyDescent="0.25">
      <c r="A274" t="s">
        <v>80</v>
      </c>
      <c r="B274">
        <v>0.6</v>
      </c>
    </row>
    <row r="275" spans="1:4" x14ac:dyDescent="0.25">
      <c r="A275" t="s">
        <v>35</v>
      </c>
      <c r="B275">
        <v>0</v>
      </c>
    </row>
    <row r="276" spans="1:4" x14ac:dyDescent="0.25">
      <c r="A276" t="s">
        <v>36</v>
      </c>
      <c r="B276" s="2">
        <v>-0.01</v>
      </c>
    </row>
    <row r="277" spans="1:4" x14ac:dyDescent="0.25">
      <c r="A277" t="s">
        <v>95</v>
      </c>
      <c r="C277" s="3">
        <f>C270-B275</f>
        <v>0.125</v>
      </c>
    </row>
    <row r="278" spans="1:4" x14ac:dyDescent="0.25">
      <c r="A278" t="s">
        <v>91</v>
      </c>
      <c r="C278" s="3">
        <f>C271-B276</f>
        <v>6.9999999999999993E-2</v>
      </c>
    </row>
    <row r="279" spans="1:4" x14ac:dyDescent="0.25">
      <c r="A279" t="s">
        <v>40</v>
      </c>
    </row>
    <row r="280" spans="1:4" x14ac:dyDescent="0.25">
      <c r="A280" t="s">
        <v>41</v>
      </c>
    </row>
    <row r="281" spans="1:4" x14ac:dyDescent="0.25">
      <c r="A281" t="s">
        <v>18</v>
      </c>
      <c r="B281">
        <f>MDETERM(C281:D282)</f>
        <v>-1.4</v>
      </c>
      <c r="C281">
        <v>1</v>
      </c>
      <c r="D281">
        <v>2</v>
      </c>
    </row>
    <row r="282" spans="1:4" x14ac:dyDescent="0.25">
      <c r="C282">
        <v>1</v>
      </c>
      <c r="D282">
        <v>0.6</v>
      </c>
    </row>
    <row r="283" spans="1:4" x14ac:dyDescent="0.25">
      <c r="A283" t="s">
        <v>87</v>
      </c>
      <c r="B283">
        <f>MDETERM(C283:D284)</f>
        <v>-6.5000000000000016E-2</v>
      </c>
      <c r="C283">
        <v>0.125</v>
      </c>
      <c r="D283">
        <f>D281</f>
        <v>2</v>
      </c>
    </row>
    <row r="284" spans="1:4" x14ac:dyDescent="0.25">
      <c r="C284">
        <v>7.0000000000000007E-2</v>
      </c>
      <c r="D284">
        <f>D282</f>
        <v>0.6</v>
      </c>
    </row>
    <row r="285" spans="1:4" x14ac:dyDescent="0.25">
      <c r="A285" t="s">
        <v>96</v>
      </c>
      <c r="B285">
        <f t="shared" ref="B285" si="1">MDETERM(C285:D286)</f>
        <v>-5.4999999999999993E-2</v>
      </c>
      <c r="C285">
        <f>C281</f>
        <v>1</v>
      </c>
      <c r="D285">
        <f>C283</f>
        <v>0.125</v>
      </c>
    </row>
    <row r="286" spans="1:4" x14ac:dyDescent="0.25">
      <c r="C286">
        <f>C282</f>
        <v>1</v>
      </c>
      <c r="D286">
        <f>C284</f>
        <v>7.0000000000000007E-2</v>
      </c>
    </row>
    <row r="287" spans="1:4" x14ac:dyDescent="0.25">
      <c r="A287" t="s">
        <v>25</v>
      </c>
      <c r="B287">
        <f>B283/B281</f>
        <v>4.6428571428571444E-2</v>
      </c>
    </row>
    <row r="288" spans="1:4" x14ac:dyDescent="0.25">
      <c r="A288" t="s">
        <v>97</v>
      </c>
      <c r="C288">
        <f>B285/B281</f>
        <v>3.9285714285714285E-2</v>
      </c>
    </row>
    <row r="289" spans="1:4" x14ac:dyDescent="0.25">
      <c r="A289" t="s">
        <v>29</v>
      </c>
      <c r="B289">
        <f>C288+B287</f>
        <v>8.5714285714285729E-2</v>
      </c>
    </row>
    <row r="291" spans="1:4" x14ac:dyDescent="0.25">
      <c r="A291" t="s">
        <v>45</v>
      </c>
    </row>
    <row r="292" spans="1:4" x14ac:dyDescent="0.25">
      <c r="A292" t="s">
        <v>81</v>
      </c>
      <c r="B292">
        <f>(1-B273*F270-B274*F271)/F272</f>
        <v>0.40000000000000019</v>
      </c>
    </row>
    <row r="294" spans="1:4" x14ac:dyDescent="0.25">
      <c r="A294" t="s">
        <v>39</v>
      </c>
    </row>
    <row r="295" spans="1:4" x14ac:dyDescent="0.25">
      <c r="A295" t="s">
        <v>38</v>
      </c>
      <c r="C295">
        <f>B287+B292*(C288)</f>
        <v>6.2142857142857166E-2</v>
      </c>
    </row>
    <row r="297" spans="1:4" x14ac:dyDescent="0.25">
      <c r="A297" t="s">
        <v>37</v>
      </c>
    </row>
    <row r="298" spans="1:4" x14ac:dyDescent="0.25">
      <c r="A298" t="s">
        <v>98</v>
      </c>
      <c r="B298" s="16">
        <f>C272-C295</f>
        <v>1.2857142857142831E-2</v>
      </c>
      <c r="C298" s="4" t="s">
        <v>99</v>
      </c>
      <c r="D298" s="4"/>
    </row>
    <row r="308" spans="1:4" x14ac:dyDescent="0.25">
      <c r="A308" t="s">
        <v>25</v>
      </c>
      <c r="B308">
        <v>3.5000000000000003E-2</v>
      </c>
    </row>
    <row r="309" spans="1:4" x14ac:dyDescent="0.25">
      <c r="A309" t="s">
        <v>44</v>
      </c>
      <c r="C309">
        <v>0.09</v>
      </c>
    </row>
    <row r="310" spans="1:4" x14ac:dyDescent="0.25">
      <c r="A310" t="s">
        <v>29</v>
      </c>
      <c r="B310">
        <f>C309+B308</f>
        <v>0.125</v>
      </c>
    </row>
    <row r="311" spans="1:4" x14ac:dyDescent="0.25">
      <c r="A311" t="s">
        <v>100</v>
      </c>
      <c r="B311">
        <v>0.56999999999999995</v>
      </c>
    </row>
    <row r="312" spans="1:4" x14ac:dyDescent="0.25">
      <c r="A312" t="s">
        <v>101</v>
      </c>
      <c r="B312">
        <v>1.6</v>
      </c>
    </row>
    <row r="313" spans="1:4" x14ac:dyDescent="0.25">
      <c r="A313" t="s">
        <v>102</v>
      </c>
      <c r="B313" s="6">
        <f>B308+C309*B311</f>
        <v>8.6299999999999988E-2</v>
      </c>
      <c r="C313" s="4" t="s">
        <v>104</v>
      </c>
      <c r="D313" s="4"/>
    </row>
    <row r="314" spans="1:4" x14ac:dyDescent="0.25">
      <c r="A314" t="s">
        <v>103</v>
      </c>
      <c r="B314" s="6">
        <f>B308+C309*B312</f>
        <v>0.17899999999999999</v>
      </c>
      <c r="C314" s="4" t="s">
        <v>105</v>
      </c>
      <c r="D314" s="4"/>
    </row>
    <row r="325" spans="1:4" x14ac:dyDescent="0.25">
      <c r="A325" t="s">
        <v>107</v>
      </c>
      <c r="C325" s="3"/>
    </row>
    <row r="326" spans="1:4" x14ac:dyDescent="0.25">
      <c r="A326" t="s">
        <v>106</v>
      </c>
      <c r="C326" s="2"/>
    </row>
    <row r="327" spans="1:4" x14ac:dyDescent="0.25">
      <c r="A327" t="s">
        <v>18</v>
      </c>
      <c r="B327">
        <f>MDETERM(C327:D328)</f>
        <v>-0.39999999999999991</v>
      </c>
      <c r="C327">
        <v>1</v>
      </c>
      <c r="D327">
        <v>1.2</v>
      </c>
    </row>
    <row r="328" spans="1:4" x14ac:dyDescent="0.25">
      <c r="C328">
        <v>1</v>
      </c>
      <c r="D328">
        <v>0.8</v>
      </c>
    </row>
    <row r="329" spans="1:4" x14ac:dyDescent="0.25">
      <c r="A329" t="s">
        <v>87</v>
      </c>
      <c r="B329">
        <f>MDETERM(C329:D330)</f>
        <v>2.0000000000000018</v>
      </c>
      <c r="C329">
        <v>25</v>
      </c>
      <c r="D329">
        <f>D327</f>
        <v>1.2</v>
      </c>
    </row>
    <row r="330" spans="1:4" x14ac:dyDescent="0.25">
      <c r="C330">
        <v>15</v>
      </c>
      <c r="D330">
        <f>D328</f>
        <v>0.8</v>
      </c>
    </row>
    <row r="331" spans="1:4" x14ac:dyDescent="0.25">
      <c r="A331" t="s">
        <v>96</v>
      </c>
      <c r="B331">
        <f t="shared" ref="B331" si="2">MDETERM(C331:D332)</f>
        <v>-10</v>
      </c>
      <c r="C331">
        <f>C327</f>
        <v>1</v>
      </c>
      <c r="D331">
        <f>C329</f>
        <v>25</v>
      </c>
    </row>
    <row r="332" spans="1:4" x14ac:dyDescent="0.25">
      <c r="C332">
        <f>C328</f>
        <v>1</v>
      </c>
      <c r="D332">
        <f>C330</f>
        <v>15</v>
      </c>
    </row>
    <row r="333" spans="1:4" x14ac:dyDescent="0.25">
      <c r="A333" t="s">
        <v>108</v>
      </c>
      <c r="B333">
        <f>B329/B327</f>
        <v>-5.0000000000000053</v>
      </c>
    </row>
    <row r="334" spans="1:4" x14ac:dyDescent="0.25">
      <c r="A334" t="s">
        <v>109</v>
      </c>
      <c r="B334">
        <f>B331/B327</f>
        <v>25.000000000000007</v>
      </c>
    </row>
    <row r="335" spans="1:4" x14ac:dyDescent="0.25">
      <c r="A335" s="4" t="s">
        <v>110</v>
      </c>
      <c r="B335" s="4"/>
    </row>
    <row r="351" spans="1:1" x14ac:dyDescent="0.25">
      <c r="A351" t="s">
        <v>112</v>
      </c>
    </row>
    <row r="352" spans="1:1" x14ac:dyDescent="0.25">
      <c r="A352" t="s">
        <v>113</v>
      </c>
    </row>
    <row r="353" spans="1:10" x14ac:dyDescent="0.25">
      <c r="A353" t="s">
        <v>114</v>
      </c>
    </row>
    <row r="355" spans="1:10" x14ac:dyDescent="0.25">
      <c r="A355" t="s">
        <v>115</v>
      </c>
      <c r="B355">
        <f>MDETERM(C355:E357)</f>
        <v>-0.51</v>
      </c>
      <c r="C355">
        <v>1</v>
      </c>
      <c r="D355">
        <v>0.2</v>
      </c>
      <c r="E355">
        <v>1.1000000000000001</v>
      </c>
      <c r="H355">
        <v>1</v>
      </c>
      <c r="I355">
        <v>0.2</v>
      </c>
      <c r="J355">
        <v>1.1000000000000001</v>
      </c>
    </row>
    <row r="356" spans="1:10" x14ac:dyDescent="0.25">
      <c r="C356">
        <v>1</v>
      </c>
      <c r="D356">
        <v>0.8</v>
      </c>
      <c r="E356">
        <v>1.4</v>
      </c>
      <c r="G356" t="s">
        <v>2</v>
      </c>
      <c r="H356">
        <v>1</v>
      </c>
      <c r="I356">
        <v>0.8</v>
      </c>
      <c r="J356">
        <v>1.4</v>
      </c>
    </row>
    <row r="357" spans="1:10" x14ac:dyDescent="0.25">
      <c r="C357">
        <v>1</v>
      </c>
      <c r="D357">
        <v>1.1000000000000001</v>
      </c>
      <c r="E357">
        <v>0.7</v>
      </c>
      <c r="H357">
        <v>1</v>
      </c>
      <c r="I357">
        <v>1.1000000000000001</v>
      </c>
      <c r="J357">
        <v>0.7</v>
      </c>
    </row>
    <row r="358" spans="1:10" x14ac:dyDescent="0.25">
      <c r="A358" t="s">
        <v>42</v>
      </c>
      <c r="B358">
        <f t="shared" ref="B356:B364" si="3">MDETERM(C358:E360)</f>
        <v>-16.709999999999997</v>
      </c>
      <c r="C358">
        <v>19</v>
      </c>
      <c r="D358">
        <f t="shared" ref="D358:E358" si="4">D355</f>
        <v>0.2</v>
      </c>
      <c r="E358">
        <f t="shared" si="4"/>
        <v>1.1000000000000001</v>
      </c>
    </row>
    <row r="359" spans="1:10" x14ac:dyDescent="0.25">
      <c r="C359">
        <v>13</v>
      </c>
      <c r="D359">
        <f t="shared" ref="C359:E359" si="5">D356</f>
        <v>0.8</v>
      </c>
      <c r="E359">
        <f t="shared" si="5"/>
        <v>1.4</v>
      </c>
      <c r="H359" cm="1">
        <f t="array" ref="H359:J361">MINVERSE(H355:J357)</f>
        <v>1.9215686274509807</v>
      </c>
      <c r="I359">
        <v>-2.098039215686275</v>
      </c>
      <c r="J359">
        <v>1.1764705882352944</v>
      </c>
    </row>
    <row r="360" spans="1:10" x14ac:dyDescent="0.25">
      <c r="C360">
        <v>20</v>
      </c>
      <c r="D360">
        <f t="shared" ref="C360:E360" si="6">D357</f>
        <v>1.1000000000000001</v>
      </c>
      <c r="E360">
        <f t="shared" si="6"/>
        <v>0.7</v>
      </c>
      <c r="G360" t="s">
        <v>46</v>
      </c>
      <c r="H360">
        <v>-1.3725490196078429</v>
      </c>
      <c r="I360">
        <v>0.7843137254901964</v>
      </c>
      <c r="J360">
        <v>0.58823529411764663</v>
      </c>
    </row>
    <row r="361" spans="1:10" x14ac:dyDescent="0.25">
      <c r="A361" t="s">
        <v>43</v>
      </c>
      <c r="B361">
        <f t="shared" si="3"/>
        <v>2.100000000000001</v>
      </c>
      <c r="C361">
        <f>C355</f>
        <v>1</v>
      </c>
      <c r="D361">
        <f>C358</f>
        <v>19</v>
      </c>
      <c r="E361">
        <f t="shared" ref="D361:E361" si="7">E355</f>
        <v>1.1000000000000001</v>
      </c>
      <c r="H361">
        <v>-0.5882352941176473</v>
      </c>
      <c r="I361">
        <v>1.7647058823529416</v>
      </c>
      <c r="J361">
        <v>-1.1764705882352944</v>
      </c>
    </row>
    <row r="362" spans="1:10" x14ac:dyDescent="0.25">
      <c r="C362">
        <f t="shared" ref="C362:E362" si="8">C356</f>
        <v>1</v>
      </c>
      <c r="D362">
        <f t="shared" ref="D362:D363" si="9">C359</f>
        <v>13</v>
      </c>
      <c r="E362">
        <f t="shared" si="8"/>
        <v>1.4</v>
      </c>
    </row>
    <row r="363" spans="1:10" x14ac:dyDescent="0.25">
      <c r="C363">
        <f t="shared" ref="C363:E363" si="10">C357</f>
        <v>1</v>
      </c>
      <c r="D363">
        <f t="shared" si="9"/>
        <v>20</v>
      </c>
      <c r="E363">
        <f t="shared" si="10"/>
        <v>0.7</v>
      </c>
      <c r="H363">
        <v>19</v>
      </c>
    </row>
    <row r="364" spans="1:10" x14ac:dyDescent="0.25">
      <c r="A364" t="s">
        <v>116</v>
      </c>
      <c r="B364">
        <f t="shared" si="3"/>
        <v>6.0000000000000009</v>
      </c>
      <c r="C364">
        <f>C355</f>
        <v>1</v>
      </c>
      <c r="D364">
        <f t="shared" ref="D364:E364" si="11">D355</f>
        <v>0.2</v>
      </c>
      <c r="E364">
        <f>C358</f>
        <v>19</v>
      </c>
      <c r="G364" t="s">
        <v>118</v>
      </c>
      <c r="H364">
        <v>13</v>
      </c>
    </row>
    <row r="365" spans="1:10" x14ac:dyDescent="0.25">
      <c r="C365">
        <f t="shared" ref="C365:E365" si="12">C356</f>
        <v>1</v>
      </c>
      <c r="D365">
        <f t="shared" si="12"/>
        <v>0.8</v>
      </c>
      <c r="E365">
        <f t="shared" ref="E365:E366" si="13">C359</f>
        <v>13</v>
      </c>
      <c r="H365">
        <v>20</v>
      </c>
    </row>
    <row r="366" spans="1:10" x14ac:dyDescent="0.25">
      <c r="C366">
        <f t="shared" ref="C366:E366" si="14">C357</f>
        <v>1</v>
      </c>
      <c r="D366">
        <f t="shared" si="14"/>
        <v>1.1000000000000001</v>
      </c>
      <c r="E366">
        <f t="shared" si="13"/>
        <v>20</v>
      </c>
    </row>
    <row r="367" spans="1:10" x14ac:dyDescent="0.25">
      <c r="H367" cm="1">
        <f t="array" ref="H367:H369">MMULT(H359:J361,H363:H365)</f>
        <v>32.764705882352942</v>
      </c>
    </row>
    <row r="368" spans="1:10" x14ac:dyDescent="0.25">
      <c r="A368" t="s">
        <v>117</v>
      </c>
      <c r="B368">
        <f>B358/B355</f>
        <v>32.764705882352935</v>
      </c>
      <c r="E368">
        <v>1</v>
      </c>
      <c r="G368" t="s">
        <v>19</v>
      </c>
      <c r="H368">
        <v>-4.117647058823529</v>
      </c>
    </row>
    <row r="369" spans="1:8" x14ac:dyDescent="0.25">
      <c r="A369" t="s">
        <v>108</v>
      </c>
      <c r="B369">
        <f>B361/B355</f>
        <v>-4.1176470588235317</v>
      </c>
      <c r="D369" t="s">
        <v>120</v>
      </c>
      <c r="E369">
        <v>1.3</v>
      </c>
      <c r="H369">
        <v>-11.764705882352947</v>
      </c>
    </row>
    <row r="370" spans="1:8" x14ac:dyDescent="0.25">
      <c r="A370" t="s">
        <v>109</v>
      </c>
      <c r="B370">
        <f>B364/B355</f>
        <v>-11.764705882352942</v>
      </c>
      <c r="E370">
        <v>1</v>
      </c>
    </row>
    <row r="372" spans="1:8" x14ac:dyDescent="0.25">
      <c r="A372" t="s">
        <v>119</v>
      </c>
      <c r="B372" s="17">
        <f>SUMPRODUCT(E368:E370,_xlfn.ANCHORARRAY(H367))</f>
        <v>15.647058823529408</v>
      </c>
    </row>
    <row r="373" spans="1:8" x14ac:dyDescent="0.25">
      <c r="A373" s="4" t="s">
        <v>121</v>
      </c>
      <c r="B373" s="4"/>
    </row>
    <row r="379" spans="1:8" x14ac:dyDescent="0.25">
      <c r="A379" t="s">
        <v>22</v>
      </c>
      <c r="B379" s="2">
        <v>0.28000000000000003</v>
      </c>
    </row>
    <row r="380" spans="1:8" x14ac:dyDescent="0.25">
      <c r="A380" t="s">
        <v>24</v>
      </c>
      <c r="B380" s="2">
        <v>0.19</v>
      </c>
    </row>
    <row r="381" spans="1:8" x14ac:dyDescent="0.25">
      <c r="A381" t="s">
        <v>25</v>
      </c>
      <c r="B381" s="3">
        <v>9.5000000000000001E-2</v>
      </c>
    </row>
    <row r="382" spans="1:8" x14ac:dyDescent="0.25">
      <c r="A382" t="s">
        <v>122</v>
      </c>
      <c r="C382" s="18">
        <f>(B379-B381)/B380</f>
        <v>0.97368421052631593</v>
      </c>
    </row>
    <row r="391" spans="1:7" x14ac:dyDescent="0.25">
      <c r="A391" t="s">
        <v>123</v>
      </c>
      <c r="B391" s="2">
        <v>0.24</v>
      </c>
      <c r="E391" t="s">
        <v>125</v>
      </c>
      <c r="F391" s="2">
        <v>0.27</v>
      </c>
    </row>
    <row r="392" spans="1:7" x14ac:dyDescent="0.25">
      <c r="A392" t="s">
        <v>124</v>
      </c>
      <c r="B392" s="2">
        <v>0.18</v>
      </c>
      <c r="E392" t="s">
        <v>126</v>
      </c>
      <c r="F392" s="2">
        <v>0.22</v>
      </c>
    </row>
    <row r="393" spans="1:7" x14ac:dyDescent="0.25">
      <c r="A393" t="s">
        <v>25</v>
      </c>
      <c r="B393" s="3">
        <v>0.08</v>
      </c>
      <c r="E393" t="s">
        <v>25</v>
      </c>
      <c r="F393" s="3">
        <v>0.08</v>
      </c>
    </row>
    <row r="394" spans="1:7" x14ac:dyDescent="0.25">
      <c r="A394" t="s">
        <v>122</v>
      </c>
      <c r="C394" s="11">
        <f>(B391-B393)/B392</f>
        <v>0.88888888888888884</v>
      </c>
      <c r="E394" t="s">
        <v>122</v>
      </c>
      <c r="G394" s="10">
        <f>(F391-F393)/F392</f>
        <v>0.86363636363636365</v>
      </c>
    </row>
    <row r="395" spans="1:7" x14ac:dyDescent="0.25">
      <c r="A395" s="4" t="s">
        <v>127</v>
      </c>
      <c r="B395" s="4"/>
      <c r="C395" s="4"/>
      <c r="D395" s="4"/>
    </row>
    <row r="410" spans="1:10" x14ac:dyDescent="0.25">
      <c r="A410" t="s">
        <v>25</v>
      </c>
      <c r="B410" s="2">
        <v>7.0000000000000007E-2</v>
      </c>
    </row>
    <row r="411" spans="1:10" x14ac:dyDescent="0.25">
      <c r="A411" t="s">
        <v>128</v>
      </c>
      <c r="B411" t="s">
        <v>131</v>
      </c>
      <c r="C411" t="s">
        <v>129</v>
      </c>
      <c r="D411" t="s">
        <v>130</v>
      </c>
      <c r="E411" t="s">
        <v>132</v>
      </c>
      <c r="F411" t="s">
        <v>135</v>
      </c>
      <c r="G411" t="s">
        <v>133</v>
      </c>
    </row>
    <row r="412" spans="1:10" x14ac:dyDescent="0.25">
      <c r="A412">
        <v>1</v>
      </c>
      <c r="B412">
        <v>35</v>
      </c>
      <c r="C412">
        <f>B412</f>
        <v>35</v>
      </c>
      <c r="D412">
        <v>38</v>
      </c>
      <c r="E412">
        <f>D412/C412-1</f>
        <v>8.5714285714285632E-2</v>
      </c>
      <c r="F412">
        <f>(E412-$J$412)^2</f>
        <v>1.5685647647914985E-3</v>
      </c>
      <c r="G412">
        <f>E412+1</f>
        <v>1.0857142857142856</v>
      </c>
      <c r="I412" t="s">
        <v>136</v>
      </c>
      <c r="J412">
        <f>SUM(E412:E415)/4</f>
        <v>4.6109175377468004E-2</v>
      </c>
    </row>
    <row r="413" spans="1:10" x14ac:dyDescent="0.25">
      <c r="A413">
        <v>2</v>
      </c>
      <c r="B413">
        <v>4</v>
      </c>
      <c r="C413">
        <f>D412+B413</f>
        <v>42</v>
      </c>
      <c r="D413">
        <v>40</v>
      </c>
      <c r="E413">
        <f t="shared" ref="E413:E415" si="15">D413/C413-1</f>
        <v>-4.7619047619047672E-2</v>
      </c>
      <c r="F413">
        <f>(E413-$J$412)^2</f>
        <v>8.7849797860845708E-3</v>
      </c>
      <c r="G413">
        <f t="shared" ref="G413:G415" si="16">E413+1</f>
        <v>0.95238095238095233</v>
      </c>
      <c r="I413" t="s">
        <v>134</v>
      </c>
      <c r="J413">
        <f>PRODUCT(G412:G415)-1</f>
        <v>0.18533266965322692</v>
      </c>
    </row>
    <row r="414" spans="1:10" x14ac:dyDescent="0.25">
      <c r="A414">
        <v>3</v>
      </c>
      <c r="B414">
        <v>3</v>
      </c>
      <c r="C414">
        <f t="shared" ref="C414:C415" si="17">D413+B414</f>
        <v>43</v>
      </c>
      <c r="D414">
        <v>43</v>
      </c>
      <c r="E414">
        <f t="shared" si="15"/>
        <v>0</v>
      </c>
      <c r="F414">
        <f>(E414-$J$412)^2</f>
        <v>2.1260560539901018E-3</v>
      </c>
      <c r="G414">
        <f t="shared" si="16"/>
        <v>1</v>
      </c>
      <c r="I414" t="s">
        <v>8</v>
      </c>
      <c r="J414">
        <f>SUM(F412:F415)/4</f>
        <v>5.6315280425078985E-3</v>
      </c>
    </row>
    <row r="415" spans="1:10" x14ac:dyDescent="0.25">
      <c r="A415">
        <v>4</v>
      </c>
      <c r="B415">
        <v>-2</v>
      </c>
      <c r="C415">
        <f t="shared" si="17"/>
        <v>41</v>
      </c>
      <c r="D415">
        <v>47</v>
      </c>
      <c r="E415">
        <f t="shared" si="15"/>
        <v>0.14634146341463405</v>
      </c>
      <c r="F415">
        <f>(E415-$J$412)^2</f>
        <v>1.0046511565165421E-2</v>
      </c>
      <c r="G415">
        <f t="shared" si="16"/>
        <v>1.1463414634146341</v>
      </c>
      <c r="I415" t="s">
        <v>9</v>
      </c>
      <c r="J415">
        <f>SQRT(J414)</f>
        <v>7.5043507663940509E-2</v>
      </c>
    </row>
    <row r="416" spans="1:10" x14ac:dyDescent="0.25">
      <c r="I416" t="s">
        <v>24</v>
      </c>
      <c r="J416">
        <f>J415*SQRT(4)</f>
        <v>0.15008701532788102</v>
      </c>
    </row>
    <row r="417" spans="1:3" x14ac:dyDescent="0.25">
      <c r="A417" t="s">
        <v>122</v>
      </c>
      <c r="C417" s="11">
        <f>(J413-B410)/J416</f>
        <v>0.76843869139026089</v>
      </c>
    </row>
  </sheetData>
  <hyperlinks>
    <hyperlink ref="A49" r:id="rId1" xr:uid="{EE411674-035C-4B01-8851-3045C9ABB520}"/>
    <hyperlink ref="A194" r:id="rId2" xr:uid="{158D3A36-1E14-4006-AAAE-754159EB66DE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Шамраева Виктория Викторовна</dc:creator>
  <cp:lastModifiedBy>Nikita</cp:lastModifiedBy>
  <dcterms:created xsi:type="dcterms:W3CDTF">2022-12-16T14:19:51Z</dcterms:created>
  <dcterms:modified xsi:type="dcterms:W3CDTF">2022-12-19T14:23:33Z</dcterms:modified>
</cp:coreProperties>
</file>