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ShaRinGan\FinMath\"/>
    </mc:Choice>
  </mc:AlternateContent>
  <xr:revisionPtr revIDLastSave="0" documentId="8_{397898AD-95F6-46AB-BE27-B753410F0A66}" xr6:coauthVersionLast="47" xr6:coauthVersionMax="47" xr10:uidLastSave="{00000000-0000-0000-0000-000000000000}"/>
  <bookViews>
    <workbookView xWindow="-23940" yWindow="1890" windowWidth="28800" windowHeight="15600" xr2:uid="{345ED270-4378-4BFC-A51F-1ADB849C1BCE}"/>
  </bookViews>
  <sheets>
    <sheet name="Борисов ПИ20-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8" i="1" l="1"/>
  <c r="G201" i="1"/>
  <c r="F201" i="1"/>
  <c r="G200" i="1"/>
  <c r="F200" i="1"/>
  <c r="H184" i="1"/>
  <c r="H185" i="1"/>
  <c r="J184" i="1"/>
  <c r="I183" i="1"/>
  <c r="H187" i="1"/>
  <c r="D187" i="1"/>
  <c r="D185" i="1"/>
  <c r="D184" i="1"/>
  <c r="G170" i="1"/>
  <c r="G169" i="1"/>
  <c r="F170" i="1"/>
  <c r="F169" i="1"/>
  <c r="E170" i="1"/>
  <c r="E169" i="1"/>
  <c r="F156" i="1"/>
  <c r="F155" i="1"/>
  <c r="F154" i="1"/>
  <c r="D134" i="1"/>
  <c r="B136" i="1" s="1"/>
  <c r="C137" i="1" s="1"/>
  <c r="G119" i="1"/>
  <c r="F120" i="1"/>
  <c r="F121" i="1"/>
  <c r="F122" i="1"/>
  <c r="F119" i="1"/>
  <c r="A105" i="1"/>
  <c r="B95" i="1"/>
  <c r="D95" i="1"/>
  <c r="I76" i="1"/>
  <c r="I77" i="1" s="1"/>
  <c r="B94" i="1"/>
  <c r="F76" i="1"/>
  <c r="H76" i="1" s="1"/>
  <c r="H77" i="1" s="1"/>
  <c r="D77" i="1"/>
  <c r="F77" i="1" s="1"/>
  <c r="D76" i="1"/>
  <c r="B61" i="1"/>
  <c r="E61" i="1" s="1"/>
  <c r="A62" i="1"/>
  <c r="A63" i="1" s="1"/>
  <c r="A64" i="1" s="1"/>
  <c r="E46" i="1"/>
  <c r="E47" i="1" s="1"/>
  <c r="E48" i="1" s="1"/>
  <c r="E49" i="1" s="1"/>
  <c r="B49" i="1"/>
  <c r="B46" i="1"/>
  <c r="B51" i="1" s="1"/>
  <c r="C34" i="1"/>
  <c r="B36" i="1" s="1"/>
  <c r="C23" i="1"/>
  <c r="C24" i="1" s="1"/>
  <c r="C22" i="1"/>
  <c r="C21" i="1"/>
  <c r="B11" i="1"/>
  <c r="B12" i="1" s="1"/>
  <c r="E50" i="1" l="1"/>
  <c r="G77" i="1"/>
  <c r="F78" i="1"/>
  <c r="G78" i="1" s="1"/>
  <c r="B62" i="1"/>
  <c r="C61" i="1"/>
  <c r="G76" i="1"/>
  <c r="G79" i="1" s="1"/>
  <c r="D61" i="1" l="1"/>
  <c r="F61" i="1"/>
  <c r="F62" i="1" s="1"/>
  <c r="H78" i="1"/>
  <c r="H79" i="1" s="1"/>
  <c r="E62" i="1"/>
  <c r="C62" i="1"/>
  <c r="B63" i="1"/>
  <c r="I78" i="1"/>
  <c r="I79" i="1" s="1"/>
  <c r="B64" i="1" l="1"/>
  <c r="E63" i="1"/>
  <c r="C63" i="1"/>
  <c r="F63" i="1"/>
  <c r="F64" i="1" s="1"/>
  <c r="G65" i="1" s="1"/>
  <c r="D62" i="1"/>
  <c r="D63" i="1" s="1"/>
  <c r="E64" i="1" l="1"/>
  <c r="C64" i="1"/>
  <c r="D64" i="1" s="1"/>
  <c r="D65" i="1" s="1"/>
</calcChain>
</file>

<file path=xl/sharedStrings.xml><?xml version="1.0" encoding="utf-8"?>
<sst xmlns="http://schemas.openxmlformats.org/spreadsheetml/2006/main" count="151" uniqueCount="116">
  <si>
    <t>Задача 1</t>
  </si>
  <si>
    <t>Каким должен быть срок ссуды в днях, для того чтобы долг в размере 100 000 руб. вырос до 120 000 руб. при условии, что начисляются простые проценты по ставке 25% годовых? Число дней в году принять равным 365. (Ответ: 292 дня.)</t>
  </si>
  <si>
    <t>S=</t>
  </si>
  <si>
    <t>P=</t>
  </si>
  <si>
    <t>i=</t>
  </si>
  <si>
    <t>n=</t>
  </si>
  <si>
    <t>лет</t>
  </si>
  <si>
    <t>Задача 2</t>
  </si>
  <si>
    <t>В феврале цена на нефть увеличилась на 12% по сравнению с январской.
В марте цена упала на 25%. На сколько процентов изменилась мартовская
цена по сравнению с январской? (Ответ: Цена упала на 16%.)</t>
  </si>
  <si>
    <t>февраль</t>
  </si>
  <si>
    <t>март</t>
  </si>
  <si>
    <t>решение</t>
  </si>
  <si>
    <t>ответ</t>
  </si>
  <si>
    <t>Задача 3</t>
  </si>
  <si>
    <t>начальная цена</t>
  </si>
  <si>
    <t>конечная цена</t>
  </si>
  <si>
    <t>Цена акции после двух «скачков» возросла на 110%, причем первый раз
цена подскочила на 40%. Сколько процентов составило второе
повышение? (Ответ: 50%.)
цена подскочила на 40%. Сколько процентов составило второе
повышение? (Ответ: 50%.)
В марте цена упала на 25%. На сколько процентов изменилась мартовская
цена по сравнению с январской? (Ответ: Цена упала на 16%.)</t>
  </si>
  <si>
    <t>скач2=</t>
  </si>
  <si>
    <t>кон=нач*(скач1+100%)*(скач2+100%)</t>
  </si>
  <si>
    <t>Задача 4</t>
  </si>
  <si>
    <t>В банк помещен вклад 3900 руб. под 50% годовых. В конце каждого из
первых четырех лет хранения после начисления процентов вкладчик
дополнительно вносил на счет одну и ту же фиксированную сумму. К
концу пятого года после начисления процентов оказалось, что размер
вклада увеличился по сравнению с первоначальным на 725%. Какую
сумму вкладчик ежегодно добавлял к вкладу? (Ответ: 210 руб.)
цена подскочила на 40%. Сколько процентов составило второе
повышение? (Ответ: 50%.)
цена подскочила на 40%. Сколько процентов составило второе
повышение? (Ответ: 50%.)
В марте цена упала на 25%. На сколько процентов изменилась мартовская
цена по сравнению с январской? (Ответ: Цена упала на 16%.)</t>
  </si>
  <si>
    <t>Sкон=</t>
  </si>
  <si>
    <t>1год</t>
  </si>
  <si>
    <t>3год</t>
  </si>
  <si>
    <t>0год</t>
  </si>
  <si>
    <t>вносил+проценты</t>
  </si>
  <si>
    <t>1год=</t>
  </si>
  <si>
    <t>х</t>
  </si>
  <si>
    <t>3год=</t>
  </si>
  <si>
    <t>2год=</t>
  </si>
  <si>
    <t>4год=</t>
  </si>
  <si>
    <t>5год=</t>
  </si>
  <si>
    <t>х=</t>
  </si>
  <si>
    <t>Ответ</t>
  </si>
  <si>
    <t>Контракт предусматривает следующий порядок начисления сложных
процентов: первый год - 16%, в каждом последующем полугодии ставка
повышается на 1%. Определите множитель наращения по простой ставке
за 2,5 года. (Ответ: 1,4868.)</t>
  </si>
  <si>
    <t>Задача 5</t>
  </si>
  <si>
    <t>Клиент положил в банк 10 тыс. руб. сроком на 1 год. Согласно
депозитному договору, годовая процентная ставка до середины второго
квартала составляет 30%, далее до конца третьего квартала - 25%, а
сначала четвертого квартала – снова 30%. Какую сумму клиент получит в
конце года при условии, что договор предусматривает начисление: а) по
простым процентам; б) по сложным процентам? (Ответ: 12812,5;
12810,2.)</t>
  </si>
  <si>
    <t>Задача 6</t>
  </si>
  <si>
    <t>середина второго квартала</t>
  </si>
  <si>
    <t>третий квартал конец</t>
  </si>
  <si>
    <t>до конца года</t>
  </si>
  <si>
    <t>ставка</t>
  </si>
  <si>
    <t>длит лет</t>
  </si>
  <si>
    <t>простые</t>
  </si>
  <si>
    <t>итог</t>
  </si>
  <si>
    <t>сложные</t>
  </si>
  <si>
    <t>ОТВЕТ</t>
  </si>
  <si>
    <t>Задача 7</t>
  </si>
  <si>
    <t>В банк 7-го февраля на депозит положили сумму 20 000 у.е. под 11%
годовых по схеме сложных процентов. Какую сумму вкладчик снимет 1-
го октября, если временная база составляет Y=365 дней? (Ответ:
21396,1.)</t>
  </si>
  <si>
    <t>нач=</t>
  </si>
  <si>
    <t>кон=</t>
  </si>
  <si>
    <t>дней=</t>
  </si>
  <si>
    <t>сумма</t>
  </si>
  <si>
    <t>версия 2</t>
  </si>
  <si>
    <t>сложные2</t>
  </si>
  <si>
    <t>вар 2</t>
  </si>
  <si>
    <t>вар 1</t>
  </si>
  <si>
    <t>Задача 8</t>
  </si>
  <si>
    <t>Ставка по годовому депозиту равна 8%. Какую ставку годовых процентов
нужно назначить на полугодовой депозит, чтобы последовательное
переоформление полугодового депозита привело бы к такому же
результату, что и при использовании годового депозита? (Ответ: 7,85%.)</t>
  </si>
  <si>
    <t>Задача 9</t>
  </si>
  <si>
    <t>В банк внесен вклад в размере 2400 руб. под 7% годовых по схеме
сложных процентов. Подсчитайте величину вклада через три года при
начислении процентов: а) 1; б) 4; в) 6; г) 12 раз в году и в случае
непрерывного начисления процентов. (Ответ: а) 2940,1 руб.; б)
2955,45 руб.; б) 2957,23 руб.; г) 2959,02 руб.; 2960,83 руб – в случае
непрерывного начисления процентов.)</t>
  </si>
  <si>
    <t>m=</t>
  </si>
  <si>
    <t>непрерывные</t>
  </si>
  <si>
    <t>Задача 10</t>
  </si>
  <si>
    <t>Сумма вклада в банке после первого года хранения равнялась 24 у.е., а
после третьего года хранения - 54 у.е. На сколько у.е. увеличился вклад за
первый год хранения, если процентная ставка не менялась, доход
начисляется в конце каждого года по схеме сложных процентов? (Ответ:
8 у.е.)</t>
  </si>
  <si>
    <t>Задача 11</t>
  </si>
  <si>
    <t>При условии ежегодного начисления дохода по схеме сложных процентов
сумма вклада за пятый год увеличилась на 320 руб., а за седьмой год - на
500 руб. На сколько рублей увеличится вклад за восьмой год? (Ответ: 625
руб.)</t>
  </si>
  <si>
    <t>5й год</t>
  </si>
  <si>
    <t>P*(1+x)^5</t>
  </si>
  <si>
    <t>7й год</t>
  </si>
  <si>
    <t>P*(1+x)^7</t>
  </si>
  <si>
    <t>4й год</t>
  </si>
  <si>
    <t>6й год</t>
  </si>
  <si>
    <t>P*(1+x)^4</t>
  </si>
  <si>
    <t>P*(1+x)^6</t>
  </si>
  <si>
    <t>5й-4й=</t>
  </si>
  <si>
    <t>7й-6й=</t>
  </si>
  <si>
    <t>(7й-6й)-(5й-4й)=180</t>
  </si>
  <si>
    <t>P*(1+x)^5-P*(1+x)^4=P*(1+x)^4 * (1+х-1)</t>
  </si>
  <si>
    <t>P*(1+x)^7-P*(1+x)^6=P*(1+x)^6 * (1+х - 1)</t>
  </si>
  <si>
    <t>P*(1+x)^6 * (х) - P*(1+x)^4 * (х) =  P*(1+x)^4 * (х) * ((1+x)^2-1) = 180</t>
  </si>
  <si>
    <t xml:space="preserve"> P*(1+x)^4 * (х-1) * ((1+x)^2-1) = 180</t>
  </si>
  <si>
    <t>320*((1+x)^2-1) = 180</t>
  </si>
  <si>
    <t>1+x=</t>
  </si>
  <si>
    <t>x=</t>
  </si>
  <si>
    <t xml:space="preserve">8й год на </t>
  </si>
  <si>
    <t>500*(1+x)</t>
  </si>
  <si>
    <t>Задача 12</t>
  </si>
  <si>
    <t>В банк положена сумма 40 тыс. у.е. сроком на 2 года по ставке 10%
годовых. Найдите наращенную сумму, величину полученного процента и
эффективную процентную ставку для следующих вариантов начисления
процентов: а) ежеквартального; б) ежемесячного. Найдите непрерывную
процентную ставку, эквивалентную простой ставке в 15% годовых для
временного интервала в 5 лет. (Ответ: Наращенная сумма: а) 48736,12
у.е., б) 48815,64 у.е.; процентные деньги: а) 8736,12 у.е., б) 8815,64 у.е.;
эффективная процентная ставка: а) 10,38%, б) 10,47%.)</t>
  </si>
  <si>
    <t>m=4</t>
  </si>
  <si>
    <t>наращ сумма</t>
  </si>
  <si>
    <t>проц деньги</t>
  </si>
  <si>
    <t>ЭПС</t>
  </si>
  <si>
    <t>Задача 13</t>
  </si>
  <si>
    <t xml:space="preserve">Два платежа: 13 000 и 35 000 руб., произведенные в начале четвертого и
в конце пятого периодов, соответственно, замените двумя платежами в
конце шестого и восьмого периодов. При этом первый платеж на 20%
больше второго. Чему равны эти платежи, если годовая ставка сложных
процентов составляет 9%. (Ответ: Первый платеж равен 32317,72 руб.,
второй – 26931,44 руб.) </t>
  </si>
  <si>
    <t>период</t>
  </si>
  <si>
    <t>нач 4го</t>
  </si>
  <si>
    <t>конец 5</t>
  </si>
  <si>
    <t>конец 6го</t>
  </si>
  <si>
    <t>конец 8го</t>
  </si>
  <si>
    <t>Х</t>
  </si>
  <si>
    <t>Х*1,20</t>
  </si>
  <si>
    <t>1,2х*(1,09^2)+x=32785,98 * (1,09^8)</t>
  </si>
  <si>
    <t>Задача 14</t>
  </si>
  <si>
    <t>Ссуда в размере 100 000 у.е. выдана на 100 дней под простые 9% годовых
(Y=366 дней). Однако, она не была возвращена в намеченный срок, а была
погашена спустя 20 дней, не считая даты погашения. Какую сумму
следует вернуть, если за просроченное время на сумму возврата долга
начислялись простые проценты по ставке 12% годовых? Ответ округлите
до целого числа. (Ответ: 103131 у.е.)</t>
  </si>
  <si>
    <t>Y=</t>
  </si>
  <si>
    <t>n2=</t>
  </si>
  <si>
    <t>i2=</t>
  </si>
  <si>
    <t>проценты ссуда</t>
  </si>
  <si>
    <t>проценттты просрочка</t>
  </si>
  <si>
    <t>вар1</t>
  </si>
  <si>
    <t>вар2</t>
  </si>
  <si>
    <t>Задача 15</t>
  </si>
  <si>
    <t>При какой годовой процентной ставке сумма увеличится в 3 раза за 10
лет, если проценты начисляются поквартально? (Ответ: 11,14%.)</t>
  </si>
  <si>
    <t>n=10</t>
  </si>
  <si>
    <t>(1+x/m)^(n*m)=3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</si>
</sst>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₽&quot;_-;\-* #,##0.00\ &quot;₽&quot;_-;_-* &quot;-&quot;??\ &quot;₽&quot;_-;_-@_-"/>
    <numFmt numFmtId="169" formatCode="#,##0.00\ &quot;₽&quot;"/>
    <numFmt numFmtId="170" formatCode="0.0%"/>
    <numFmt numFmtId="173" formatCode="0.0000"/>
    <numFmt numFmtId="175" formatCode="_-* #,##0\ &quot;₽&quot;_-;\-* #,##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169" fontId="0" fillId="0" borderId="0" xfId="0" applyNumberFormat="1"/>
    <xf numFmtId="170" fontId="0" fillId="0" borderId="0" xfId="2" applyNumberFormat="1" applyFont="1"/>
    <xf numFmtId="10" fontId="0" fillId="0" borderId="0" xfId="2" applyNumberFormat="1" applyFont="1"/>
    <xf numFmtId="9" fontId="0" fillId="0" borderId="0" xfId="0" applyNumberFormat="1"/>
    <xf numFmtId="10" fontId="0" fillId="0" borderId="0" xfId="0" applyNumberFormat="1"/>
    <xf numFmtId="0" fontId="0" fillId="0" borderId="0" xfId="0" quotePrefix="1"/>
    <xf numFmtId="44" fontId="0" fillId="0" borderId="0" xfId="1" applyFont="1"/>
    <xf numFmtId="44" fontId="0" fillId="0" borderId="0" xfId="0" applyNumberFormat="1"/>
    <xf numFmtId="44" fontId="0" fillId="0" borderId="0" xfId="1" applyFont="1" applyAlignment="1"/>
    <xf numFmtId="14" fontId="0" fillId="0" borderId="0" xfId="0" applyNumberFormat="1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73" fontId="0" fillId="0" borderId="0" xfId="0" applyNumberFormat="1"/>
    <xf numFmtId="175" fontId="0" fillId="0" borderId="0" xfId="0" applyNumberFormat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103</xdr:row>
      <xdr:rowOff>66675</xdr:rowOff>
    </xdr:from>
    <xdr:to>
      <xdr:col>16</xdr:col>
      <xdr:colOff>315175</xdr:colOff>
      <xdr:row>108</xdr:row>
      <xdr:rowOff>162071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0566FF1-233B-4D46-BC88-3380F4350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19688175"/>
          <a:ext cx="6087325" cy="1047896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104</xdr:row>
      <xdr:rowOff>57150</xdr:rowOff>
    </xdr:from>
    <xdr:to>
      <xdr:col>5</xdr:col>
      <xdr:colOff>571739</xdr:colOff>
      <xdr:row>106</xdr:row>
      <xdr:rowOff>114361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D66ED49-4FF7-41E1-9AFB-2FD8787E7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1275" y="19869150"/>
          <a:ext cx="1714739" cy="438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1477-8534-48DD-BCF9-ABF1D3F0459D}">
  <dimension ref="A1:J218"/>
  <sheetViews>
    <sheetView tabSelected="1" topLeftCell="A186" workbookViewId="0">
      <selection activeCell="E219" sqref="E219"/>
    </sheetView>
  </sheetViews>
  <sheetFormatPr defaultRowHeight="15" x14ac:dyDescent="0.25"/>
  <cols>
    <col min="2" max="2" width="14.5703125" bestFit="1" customWidth="1"/>
    <col min="4" max="4" width="12" bestFit="1" customWidth="1"/>
    <col min="5" max="5" width="13.5703125" customWidth="1"/>
    <col min="6" max="7" width="13.140625" bestFit="1" customWidth="1"/>
    <col min="8" max="9" width="12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t="s">
        <v>2</v>
      </c>
      <c r="B8" s="2">
        <v>120000</v>
      </c>
    </row>
    <row r="9" spans="1:7" x14ac:dyDescent="0.25">
      <c r="A9" t="s">
        <v>3</v>
      </c>
      <c r="B9" s="2">
        <v>100000</v>
      </c>
    </row>
    <row r="10" spans="1:7" x14ac:dyDescent="0.25">
      <c r="A10" t="s">
        <v>4</v>
      </c>
      <c r="B10" s="3">
        <v>0.25</v>
      </c>
    </row>
    <row r="11" spans="1:7" x14ac:dyDescent="0.25">
      <c r="A11" t="s">
        <v>5</v>
      </c>
      <c r="B11">
        <f>(B8/B9-1)/B10</f>
        <v>0.79999999999999982</v>
      </c>
      <c r="C11" t="s">
        <v>6</v>
      </c>
    </row>
    <row r="12" spans="1:7" x14ac:dyDescent="0.25">
      <c r="A12" t="s">
        <v>5</v>
      </c>
      <c r="B12">
        <f>365*B11</f>
        <v>291.99999999999994</v>
      </c>
    </row>
    <row r="14" spans="1:7" x14ac:dyDescent="0.25">
      <c r="A14" s="1" t="s">
        <v>7</v>
      </c>
      <c r="B14" s="1"/>
      <c r="C14" s="1"/>
      <c r="D14" s="1"/>
      <c r="E14" s="1"/>
      <c r="F14" s="1"/>
      <c r="G14" s="1"/>
    </row>
    <row r="15" spans="1:7" x14ac:dyDescent="0.25">
      <c r="A15" s="1" t="s">
        <v>8</v>
      </c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t="s">
        <v>9</v>
      </c>
      <c r="B21" s="5">
        <v>0.12</v>
      </c>
      <c r="C21" s="5">
        <f>1+B21</f>
        <v>1.1200000000000001</v>
      </c>
    </row>
    <row r="22" spans="1:7" x14ac:dyDescent="0.25">
      <c r="A22" t="s">
        <v>10</v>
      </c>
      <c r="B22" s="5">
        <v>-0.25</v>
      </c>
      <c r="C22" s="5">
        <f>1+B22</f>
        <v>0.75</v>
      </c>
    </row>
    <row r="23" spans="1:7" x14ac:dyDescent="0.25">
      <c r="A23" t="s">
        <v>11</v>
      </c>
      <c r="C23">
        <f>PRODUCT(C21:C22)</f>
        <v>0.84000000000000008</v>
      </c>
    </row>
    <row r="24" spans="1:7" x14ac:dyDescent="0.25">
      <c r="B24" t="s">
        <v>12</v>
      </c>
      <c r="C24" s="5">
        <f>C23-100%</f>
        <v>-0.15999999999999992</v>
      </c>
    </row>
    <row r="26" spans="1:7" x14ac:dyDescent="0.25">
      <c r="A26" s="1" t="s">
        <v>13</v>
      </c>
      <c r="B26" s="1"/>
      <c r="C26" s="1"/>
      <c r="D26" s="1"/>
      <c r="E26" s="1"/>
      <c r="F26" s="1"/>
      <c r="G26" s="1"/>
    </row>
    <row r="27" spans="1:7" x14ac:dyDescent="0.25">
      <c r="A27" s="1" t="s">
        <v>16</v>
      </c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t="s">
        <v>14</v>
      </c>
      <c r="C33" s="5">
        <v>1</v>
      </c>
    </row>
    <row r="34" spans="1:7" x14ac:dyDescent="0.25">
      <c r="A34" t="s">
        <v>15</v>
      </c>
      <c r="C34" s="6">
        <f>100%+110%</f>
        <v>2.1</v>
      </c>
    </row>
    <row r="35" spans="1:7" x14ac:dyDescent="0.25">
      <c r="A35" t="s">
        <v>18</v>
      </c>
    </row>
    <row r="36" spans="1:7" x14ac:dyDescent="0.25">
      <c r="A36" t="s">
        <v>17</v>
      </c>
      <c r="B36" s="6">
        <f>C34/C33/140%-100%</f>
        <v>0.50000000000000022</v>
      </c>
    </row>
    <row r="38" spans="1:7" x14ac:dyDescent="0.25">
      <c r="A38" s="1" t="s">
        <v>19</v>
      </c>
      <c r="B38" s="1"/>
      <c r="C38" s="1"/>
      <c r="D38" s="1"/>
      <c r="E38" s="1"/>
      <c r="F38" s="1"/>
      <c r="G38" s="1"/>
    </row>
    <row r="39" spans="1:7" x14ac:dyDescent="0.25">
      <c r="A39" s="1" t="s">
        <v>20</v>
      </c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t="s">
        <v>3</v>
      </c>
      <c r="B45">
        <v>3900</v>
      </c>
      <c r="D45" t="s">
        <v>26</v>
      </c>
      <c r="E45">
        <v>1</v>
      </c>
      <c r="F45" t="s">
        <v>27</v>
      </c>
    </row>
    <row r="46" spans="1:7" x14ac:dyDescent="0.25">
      <c r="A46" t="s">
        <v>21</v>
      </c>
      <c r="B46">
        <f>B45*825%</f>
        <v>32175</v>
      </c>
      <c r="D46" t="s">
        <v>29</v>
      </c>
      <c r="E46" s="7">
        <f>E45*1.5+1</f>
        <v>2.5</v>
      </c>
      <c r="F46" t="s">
        <v>27</v>
      </c>
    </row>
    <row r="47" spans="1:7" x14ac:dyDescent="0.25">
      <c r="A47" t="s">
        <v>4</v>
      </c>
      <c r="B47" s="5">
        <v>0.5</v>
      </c>
      <c r="D47" t="s">
        <v>28</v>
      </c>
      <c r="E47" s="7">
        <f t="shared" ref="E47:E49" si="0">E46*1.5+1</f>
        <v>4.75</v>
      </c>
      <c r="F47" t="s">
        <v>27</v>
      </c>
    </row>
    <row r="48" spans="1:7" x14ac:dyDescent="0.25">
      <c r="A48" t="s">
        <v>5</v>
      </c>
      <c r="B48">
        <v>5</v>
      </c>
      <c r="D48" t="s">
        <v>30</v>
      </c>
      <c r="E48" s="7">
        <f t="shared" si="0"/>
        <v>8.125</v>
      </c>
      <c r="F48" t="s">
        <v>27</v>
      </c>
    </row>
    <row r="49" spans="1:7" x14ac:dyDescent="0.25">
      <c r="A49" t="s">
        <v>2</v>
      </c>
      <c r="B49">
        <f>B45*(1+B47)^B48</f>
        <v>29615.625</v>
      </c>
      <c r="D49" t="s">
        <v>31</v>
      </c>
      <c r="E49" s="7">
        <f>E48*1.5</f>
        <v>12.1875</v>
      </c>
      <c r="F49" t="s">
        <v>27</v>
      </c>
    </row>
    <row r="50" spans="1:7" x14ac:dyDescent="0.25">
      <c r="A50" t="s">
        <v>25</v>
      </c>
      <c r="D50" t="s">
        <v>32</v>
      </c>
      <c r="E50">
        <f>B51/E49</f>
        <v>210</v>
      </c>
    </row>
    <row r="51" spans="1:7" x14ac:dyDescent="0.25">
      <c r="B51">
        <f>B46-B49</f>
        <v>2559.375</v>
      </c>
      <c r="D51" t="s">
        <v>33</v>
      </c>
      <c r="E51" s="8">
        <v>210</v>
      </c>
    </row>
    <row r="53" spans="1:7" x14ac:dyDescent="0.25">
      <c r="A53" s="12" t="s">
        <v>35</v>
      </c>
      <c r="B53" s="12"/>
      <c r="C53" s="12"/>
      <c r="D53" s="12"/>
      <c r="E53" s="12"/>
      <c r="F53" s="12"/>
      <c r="G53" s="12"/>
    </row>
    <row r="54" spans="1:7" x14ac:dyDescent="0.25">
      <c r="A54" s="12" t="s">
        <v>34</v>
      </c>
      <c r="B54" s="12"/>
      <c r="C54" s="12"/>
      <c r="D54" s="12"/>
      <c r="E54" s="12"/>
      <c r="F54" s="12"/>
      <c r="G54" s="12"/>
    </row>
    <row r="55" spans="1:7" x14ac:dyDescent="0.25">
      <c r="A55" s="12"/>
      <c r="B55" s="12"/>
      <c r="C55" s="12"/>
      <c r="D55" s="12"/>
      <c r="E55" s="12"/>
      <c r="F55" s="12"/>
      <c r="G55" s="12"/>
    </row>
    <row r="56" spans="1:7" x14ac:dyDescent="0.25">
      <c r="A56" s="12"/>
      <c r="B56" s="12"/>
      <c r="C56" s="12"/>
      <c r="D56" s="12"/>
      <c r="E56" s="12"/>
      <c r="F56" s="12"/>
      <c r="G56" s="12"/>
    </row>
    <row r="57" spans="1:7" x14ac:dyDescent="0.25">
      <c r="A57" s="12"/>
      <c r="B57" s="12"/>
      <c r="C57" s="12"/>
      <c r="D57" s="12"/>
      <c r="E57" s="12"/>
      <c r="F57" s="12"/>
      <c r="G57" s="12"/>
    </row>
    <row r="58" spans="1:7" x14ac:dyDescent="0.25">
      <c r="A58" s="12"/>
      <c r="B58" s="12"/>
      <c r="C58" s="12"/>
      <c r="D58" s="12"/>
      <c r="E58" s="12"/>
      <c r="F58" s="12"/>
      <c r="G58" s="12"/>
    </row>
    <row r="59" spans="1:7" x14ac:dyDescent="0.25">
      <c r="A59" s="12"/>
      <c r="B59" s="12"/>
      <c r="C59" s="12"/>
      <c r="D59" s="12"/>
      <c r="E59" s="12"/>
      <c r="F59" s="12"/>
      <c r="G59" s="12"/>
    </row>
    <row r="60" spans="1:7" x14ac:dyDescent="0.25">
      <c r="C60">
        <v>1</v>
      </c>
      <c r="D60">
        <v>1</v>
      </c>
      <c r="F60">
        <v>1</v>
      </c>
    </row>
    <row r="61" spans="1:7" x14ac:dyDescent="0.25">
      <c r="A61">
        <v>1</v>
      </c>
      <c r="B61" s="4">
        <f>16%</f>
        <v>0.16</v>
      </c>
      <c r="C61" s="6">
        <f>B61</f>
        <v>0.16</v>
      </c>
      <c r="D61" s="6">
        <f>(1+C61)</f>
        <v>1.1599999999999999</v>
      </c>
      <c r="E61" s="6">
        <f>B61+1</f>
        <v>1.1599999999999999</v>
      </c>
      <c r="F61">
        <f>F60*(1+C61)</f>
        <v>1.1599999999999999</v>
      </c>
    </row>
    <row r="62" spans="1:7" x14ac:dyDescent="0.25">
      <c r="A62">
        <f>A61+0.5</f>
        <v>1.5</v>
      </c>
      <c r="B62" s="6">
        <f>B61+1%</f>
        <v>0.17</v>
      </c>
      <c r="C62" s="4">
        <f>B62*0.5</f>
        <v>8.5000000000000006E-2</v>
      </c>
      <c r="D62" s="6">
        <f>D61*(1+C62)</f>
        <v>1.2585999999999999</v>
      </c>
      <c r="E62" s="6">
        <f t="shared" ref="E62:E64" si="1">B62+1</f>
        <v>1.17</v>
      </c>
      <c r="F62">
        <f>F61*(1+B62)^(1/2)</f>
        <v>1.2547318438614681</v>
      </c>
    </row>
    <row r="63" spans="1:7" x14ac:dyDescent="0.25">
      <c r="A63">
        <f t="shared" ref="A63:A64" si="2">A62+0.5</f>
        <v>2</v>
      </c>
      <c r="B63" s="6">
        <f t="shared" ref="B63:B64" si="3">B62+1%</f>
        <v>0.18000000000000002</v>
      </c>
      <c r="C63" s="4">
        <f t="shared" ref="C63:C64" si="4">B63*0.5</f>
        <v>9.0000000000000011E-2</v>
      </c>
      <c r="D63" s="6">
        <f t="shared" ref="D63:D64" si="5">D62*(1+C63)</f>
        <v>1.371874</v>
      </c>
      <c r="E63" s="6">
        <f t="shared" si="1"/>
        <v>1.18</v>
      </c>
      <c r="F63">
        <f t="shared" ref="F63:F64" si="6">F62*(1+B63)^(1/2)</f>
        <v>1.362987659518603</v>
      </c>
    </row>
    <row r="64" spans="1:7" x14ac:dyDescent="0.25">
      <c r="A64">
        <f t="shared" si="2"/>
        <v>2.5</v>
      </c>
      <c r="B64" s="6">
        <f t="shared" si="3"/>
        <v>0.19000000000000003</v>
      </c>
      <c r="C64" s="4">
        <f t="shared" si="4"/>
        <v>9.5000000000000015E-2</v>
      </c>
      <c r="D64" s="6">
        <f t="shared" si="5"/>
        <v>1.5022020300000001</v>
      </c>
      <c r="E64" s="6">
        <f t="shared" si="1"/>
        <v>1.19</v>
      </c>
      <c r="F64" s="13">
        <f t="shared" si="6"/>
        <v>1.4868439993489564</v>
      </c>
    </row>
    <row r="65" spans="1:9" x14ac:dyDescent="0.25">
      <c r="C65" t="s">
        <v>56</v>
      </c>
      <c r="D65" s="14">
        <f>D64</f>
        <v>1.5022020300000001</v>
      </c>
      <c r="F65" t="s">
        <v>55</v>
      </c>
      <c r="G65">
        <f>F64</f>
        <v>1.4868439993489564</v>
      </c>
    </row>
    <row r="66" spans="1:9" x14ac:dyDescent="0.25">
      <c r="A66" s="1" t="s">
        <v>37</v>
      </c>
      <c r="B66" s="1"/>
      <c r="C66" s="1"/>
      <c r="D66" s="1"/>
      <c r="E66" s="1"/>
      <c r="F66" s="1"/>
      <c r="G66" s="1"/>
    </row>
    <row r="67" spans="1:9" ht="15" customHeight="1" x14ac:dyDescent="0.25">
      <c r="A67" s="1" t="s">
        <v>36</v>
      </c>
      <c r="B67" s="1"/>
      <c r="C67" s="1"/>
      <c r="D67" s="1"/>
      <c r="E67" s="1"/>
      <c r="F67" s="1"/>
      <c r="G67" s="1"/>
    </row>
    <row r="68" spans="1:9" x14ac:dyDescent="0.25">
      <c r="A68" s="1"/>
      <c r="B68" s="1"/>
      <c r="C68" s="1"/>
      <c r="D68" s="1"/>
      <c r="E68" s="1"/>
      <c r="F68" s="1"/>
      <c r="G68" s="1"/>
    </row>
    <row r="69" spans="1:9" x14ac:dyDescent="0.25">
      <c r="A69" s="1"/>
      <c r="B69" s="1"/>
      <c r="C69" s="1"/>
      <c r="D69" s="1"/>
      <c r="E69" s="1"/>
      <c r="F69" s="1"/>
      <c r="G69" s="1"/>
    </row>
    <row r="70" spans="1:9" x14ac:dyDescent="0.25">
      <c r="A70" s="1"/>
      <c r="B70" s="1"/>
      <c r="C70" s="1"/>
      <c r="D70" s="1"/>
      <c r="E70" s="1"/>
      <c r="F70" s="1"/>
      <c r="G70" s="1"/>
    </row>
    <row r="71" spans="1:9" x14ac:dyDescent="0.25">
      <c r="A71" s="1"/>
      <c r="B71" s="1"/>
      <c r="C71" s="1"/>
      <c r="D71" s="1"/>
      <c r="E71" s="1"/>
      <c r="F71" s="1"/>
      <c r="G71" s="1"/>
    </row>
    <row r="72" spans="1:9" x14ac:dyDescent="0.25">
      <c r="A72" s="1"/>
      <c r="B72" s="1"/>
      <c r="C72" s="1"/>
      <c r="D72" s="1"/>
      <c r="E72" s="1"/>
      <c r="F72" s="1"/>
      <c r="G72" s="1"/>
    </row>
    <row r="73" spans="1:9" x14ac:dyDescent="0.25">
      <c r="A73" s="1"/>
      <c r="B73" s="1"/>
      <c r="C73" s="1"/>
      <c r="D73" s="1"/>
      <c r="E73" s="1"/>
      <c r="F73" s="1"/>
      <c r="G73" s="1"/>
    </row>
    <row r="74" spans="1:9" x14ac:dyDescent="0.25">
      <c r="A74" t="s">
        <v>3</v>
      </c>
      <c r="B74" s="8">
        <v>10000</v>
      </c>
    </row>
    <row r="75" spans="1:9" x14ac:dyDescent="0.25">
      <c r="D75" t="s">
        <v>6</v>
      </c>
      <c r="E75" t="s">
        <v>41</v>
      </c>
      <c r="F75" t="s">
        <v>42</v>
      </c>
      <c r="G75" t="s">
        <v>43</v>
      </c>
      <c r="H75" t="s">
        <v>45</v>
      </c>
      <c r="I75" t="s">
        <v>54</v>
      </c>
    </row>
    <row r="76" spans="1:9" x14ac:dyDescent="0.25">
      <c r="A76" t="s">
        <v>38</v>
      </c>
      <c r="D76">
        <f>1/2*1/4+1/4</f>
        <v>0.375</v>
      </c>
      <c r="E76" s="5">
        <v>0.3</v>
      </c>
      <c r="F76">
        <f>D76</f>
        <v>0.375</v>
      </c>
      <c r="G76" s="9">
        <f>$B$74*E76*F76</f>
        <v>1125</v>
      </c>
      <c r="H76" s="9">
        <f>B74*(1+E76*F76)</f>
        <v>11125</v>
      </c>
      <c r="I76" s="9">
        <f>B74*(1+E76)^F76</f>
        <v>11033.892720460648</v>
      </c>
    </row>
    <row r="77" spans="1:9" x14ac:dyDescent="0.25">
      <c r="A77" t="s">
        <v>39</v>
      </c>
      <c r="D77">
        <f>3/4</f>
        <v>0.75</v>
      </c>
      <c r="E77" s="5">
        <v>0.25</v>
      </c>
      <c r="F77">
        <f>D77-D76</f>
        <v>0.375</v>
      </c>
      <c r="G77" s="9">
        <f t="shared" ref="G77:G78" si="7">$B$74*E77*F77</f>
        <v>937.5</v>
      </c>
      <c r="H77" s="9">
        <f>H76*(1+E77*F77)</f>
        <v>12167.96875</v>
      </c>
      <c r="I77" s="9">
        <f>I76*(1+E77)^F77</f>
        <v>11996.926883059385</v>
      </c>
    </row>
    <row r="78" spans="1:9" x14ac:dyDescent="0.25">
      <c r="A78" t="s">
        <v>40</v>
      </c>
      <c r="D78">
        <v>1</v>
      </c>
      <c r="E78" s="5">
        <v>0.3</v>
      </c>
      <c r="F78">
        <f>1-F77-F76</f>
        <v>0.25</v>
      </c>
      <c r="G78" s="9">
        <f t="shared" si="7"/>
        <v>750</v>
      </c>
      <c r="H78" s="9">
        <f>H77*(1+E78*F78)</f>
        <v>13080.56640625</v>
      </c>
      <c r="I78" s="9">
        <f>I77*(1+E78)^F78</f>
        <v>12810.198225016175</v>
      </c>
    </row>
    <row r="79" spans="1:9" x14ac:dyDescent="0.25">
      <c r="F79" t="s">
        <v>46</v>
      </c>
      <c r="G79" s="9">
        <f>B74+SUM(G76:G78)</f>
        <v>12812.5</v>
      </c>
      <c r="H79" s="9">
        <f>H78</f>
        <v>13080.56640625</v>
      </c>
      <c r="I79" s="9">
        <f>I78</f>
        <v>12810.198225016175</v>
      </c>
    </row>
    <row r="82" spans="1:7" x14ac:dyDescent="0.25">
      <c r="A82" s="1" t="s">
        <v>47</v>
      </c>
      <c r="B82" s="1"/>
      <c r="C82" s="1"/>
      <c r="D82" s="1"/>
      <c r="E82" s="1"/>
      <c r="F82" s="1"/>
      <c r="G82" s="1"/>
    </row>
    <row r="83" spans="1:7" x14ac:dyDescent="0.25">
      <c r="A83" s="1" t="s">
        <v>48</v>
      </c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t="s">
        <v>3</v>
      </c>
      <c r="B90" s="10">
        <v>20000</v>
      </c>
    </row>
    <row r="91" spans="1:7" x14ac:dyDescent="0.25">
      <c r="A91" t="s">
        <v>4</v>
      </c>
      <c r="B91" s="5">
        <v>0.11</v>
      </c>
    </row>
    <row r="92" spans="1:7" x14ac:dyDescent="0.25">
      <c r="A92" t="s">
        <v>49</v>
      </c>
      <c r="B92" s="11">
        <v>40581</v>
      </c>
    </row>
    <row r="93" spans="1:7" x14ac:dyDescent="0.25">
      <c r="A93" t="s">
        <v>50</v>
      </c>
      <c r="B93" s="11">
        <v>40817</v>
      </c>
    </row>
    <row r="94" spans="1:7" x14ac:dyDescent="0.25">
      <c r="A94" t="s">
        <v>51</v>
      </c>
      <c r="B94">
        <f>B93-B92</f>
        <v>236</v>
      </c>
      <c r="D94" t="s">
        <v>53</v>
      </c>
    </row>
    <row r="95" spans="1:7" x14ac:dyDescent="0.25">
      <c r="A95" t="s">
        <v>52</v>
      </c>
      <c r="B95" s="9">
        <f>B90*(1+B91*(B94/365))</f>
        <v>21422.465753424658</v>
      </c>
      <c r="D95" s="9">
        <f>B90*(1+B91)^(B94/365)</f>
        <v>21396.104787872475</v>
      </c>
    </row>
    <row r="97" spans="1:7" x14ac:dyDescent="0.25">
      <c r="A97" s="1" t="s">
        <v>57</v>
      </c>
      <c r="B97" s="1"/>
      <c r="C97" s="1"/>
      <c r="D97" s="1"/>
      <c r="E97" s="1"/>
      <c r="F97" s="1"/>
      <c r="G97" s="1"/>
    </row>
    <row r="98" spans="1:7" x14ac:dyDescent="0.25">
      <c r="A98" s="1" t="s">
        <v>58</v>
      </c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4">
        <f>((108%^(1/2))-1)*2</f>
        <v>7.8460969082652987E-2</v>
      </c>
    </row>
    <row r="110" spans="1:7" x14ac:dyDescent="0.25">
      <c r="A110" s="1" t="s">
        <v>59</v>
      </c>
      <c r="B110" s="1"/>
      <c r="C110" s="1"/>
      <c r="D110" s="1"/>
      <c r="E110" s="1"/>
      <c r="F110" s="1"/>
      <c r="G110" s="1"/>
    </row>
    <row r="111" spans="1:7" x14ac:dyDescent="0.25">
      <c r="A111" s="1" t="s">
        <v>60</v>
      </c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t="s">
        <v>3</v>
      </c>
      <c r="B118">
        <v>2400</v>
      </c>
      <c r="E118" t="s">
        <v>61</v>
      </c>
      <c r="F118" t="s">
        <v>2</v>
      </c>
      <c r="G118" t="s">
        <v>62</v>
      </c>
    </row>
    <row r="119" spans="1:7" x14ac:dyDescent="0.25">
      <c r="A119" t="s">
        <v>5</v>
      </c>
      <c r="B119">
        <v>3</v>
      </c>
      <c r="E119">
        <v>1</v>
      </c>
      <c r="F119">
        <f>$B$118*(1+$B$120/E119)^(E119*$B$119)</f>
        <v>2940.1032000000005</v>
      </c>
      <c r="G119">
        <f>B118*EXP(B120*B119)</f>
        <v>2960.8273438961837</v>
      </c>
    </row>
    <row r="120" spans="1:7" x14ac:dyDescent="0.25">
      <c r="A120" t="s">
        <v>4</v>
      </c>
      <c r="B120" s="5">
        <v>7.0000000000000007E-2</v>
      </c>
      <c r="E120">
        <v>4</v>
      </c>
      <c r="F120">
        <f t="shared" ref="F120:F122" si="8">$B$118*(1+$B$120/E120)^(E120*$B$119)</f>
        <v>2955.4543558675018</v>
      </c>
    </row>
    <row r="121" spans="1:7" x14ac:dyDescent="0.25">
      <c r="E121">
        <v>6</v>
      </c>
      <c r="F121">
        <f t="shared" si="8"/>
        <v>2957.2304824821135</v>
      </c>
    </row>
    <row r="122" spans="1:7" x14ac:dyDescent="0.25">
      <c r="E122">
        <v>12</v>
      </c>
      <c r="F122">
        <f t="shared" si="8"/>
        <v>2959.0214099446266</v>
      </c>
    </row>
    <row r="125" spans="1:7" x14ac:dyDescent="0.25">
      <c r="A125" s="1" t="s">
        <v>63</v>
      </c>
      <c r="B125" s="1"/>
      <c r="C125" s="1"/>
      <c r="D125" s="1"/>
      <c r="E125" s="1"/>
      <c r="F125" s="1"/>
      <c r="G125" s="1"/>
    </row>
    <row r="126" spans="1:7" x14ac:dyDescent="0.25">
      <c r="A126" s="1" t="s">
        <v>64</v>
      </c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4" spans="1:7" x14ac:dyDescent="0.25">
      <c r="A134" t="s">
        <v>22</v>
      </c>
      <c r="B134">
        <v>24</v>
      </c>
      <c r="C134" t="s">
        <v>41</v>
      </c>
      <c r="D134">
        <f>(B135/B134)^(1/2)-1</f>
        <v>0.5</v>
      </c>
    </row>
    <row r="135" spans="1:7" x14ac:dyDescent="0.25">
      <c r="A135" t="s">
        <v>23</v>
      </c>
      <c r="B135">
        <v>54</v>
      </c>
    </row>
    <row r="136" spans="1:7" x14ac:dyDescent="0.25">
      <c r="A136" t="s">
        <v>24</v>
      </c>
      <c r="B136">
        <f>B134/(1+D134)</f>
        <v>16</v>
      </c>
    </row>
    <row r="137" spans="1:7" x14ac:dyDescent="0.25">
      <c r="B137" t="s">
        <v>33</v>
      </c>
      <c r="C137">
        <f>B134-B136</f>
        <v>8</v>
      </c>
    </row>
    <row r="139" spans="1:7" x14ac:dyDescent="0.25">
      <c r="A139" s="1" t="s">
        <v>65</v>
      </c>
      <c r="B139" s="1"/>
      <c r="C139" s="1"/>
      <c r="D139" s="1"/>
      <c r="E139" s="1"/>
      <c r="F139" s="1"/>
      <c r="G139" s="1"/>
    </row>
    <row r="140" spans="1:7" x14ac:dyDescent="0.25">
      <c r="A140" s="1" t="s">
        <v>66</v>
      </c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t="s">
        <v>71</v>
      </c>
      <c r="B147" t="s">
        <v>73</v>
      </c>
    </row>
    <row r="148" spans="1:7" x14ac:dyDescent="0.25">
      <c r="A148" t="s">
        <v>67</v>
      </c>
      <c r="B148" t="s">
        <v>68</v>
      </c>
      <c r="C148" t="s">
        <v>75</v>
      </c>
      <c r="D148">
        <v>320</v>
      </c>
      <c r="E148" t="s">
        <v>78</v>
      </c>
    </row>
    <row r="149" spans="1:7" x14ac:dyDescent="0.25">
      <c r="A149" t="s">
        <v>72</v>
      </c>
      <c r="B149" t="s">
        <v>74</v>
      </c>
    </row>
    <row r="150" spans="1:7" x14ac:dyDescent="0.25">
      <c r="A150" t="s">
        <v>69</v>
      </c>
      <c r="B150" t="s">
        <v>70</v>
      </c>
      <c r="C150" t="s">
        <v>76</v>
      </c>
      <c r="D150">
        <v>500</v>
      </c>
      <c r="E150" t="s">
        <v>79</v>
      </c>
    </row>
    <row r="151" spans="1:7" x14ac:dyDescent="0.25">
      <c r="C151" t="s">
        <v>77</v>
      </c>
      <c r="E151" t="s">
        <v>80</v>
      </c>
    </row>
    <row r="152" spans="1:7" x14ac:dyDescent="0.25">
      <c r="E152" t="s">
        <v>81</v>
      </c>
    </row>
    <row r="153" spans="1:7" x14ac:dyDescent="0.25">
      <c r="E153" t="s">
        <v>82</v>
      </c>
    </row>
    <row r="154" spans="1:7" x14ac:dyDescent="0.25">
      <c r="E154" t="s">
        <v>83</v>
      </c>
      <c r="F154">
        <f>(180/320+1)^(1/2)</f>
        <v>1.25</v>
      </c>
    </row>
    <row r="155" spans="1:7" x14ac:dyDescent="0.25">
      <c r="E155" t="s">
        <v>84</v>
      </c>
      <c r="F155">
        <f>F154-1</f>
        <v>0.25</v>
      </c>
    </row>
    <row r="156" spans="1:7" x14ac:dyDescent="0.25">
      <c r="C156" t="s">
        <v>46</v>
      </c>
      <c r="D156" t="s">
        <v>85</v>
      </c>
      <c r="E156" t="s">
        <v>86</v>
      </c>
      <c r="F156">
        <f>500*(1+F155)</f>
        <v>625</v>
      </c>
    </row>
    <row r="159" spans="1:7" x14ac:dyDescent="0.25">
      <c r="A159" s="1" t="s">
        <v>87</v>
      </c>
      <c r="B159" s="1"/>
      <c r="C159" s="1"/>
      <c r="D159" s="1"/>
      <c r="E159" s="1"/>
      <c r="F159" s="1"/>
      <c r="G159" s="1"/>
    </row>
    <row r="160" spans="1:7" ht="15" customHeight="1" x14ac:dyDescent="0.25">
      <c r="A160" s="1" t="s">
        <v>88</v>
      </c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D168" t="s">
        <v>61</v>
      </c>
      <c r="E168" t="s">
        <v>90</v>
      </c>
      <c r="F168" t="s">
        <v>91</v>
      </c>
      <c r="G168" t="s">
        <v>92</v>
      </c>
    </row>
    <row r="169" spans="1:7" x14ac:dyDescent="0.25">
      <c r="A169" t="s">
        <v>3</v>
      </c>
      <c r="B169" s="8">
        <v>40000</v>
      </c>
      <c r="D169">
        <v>4</v>
      </c>
      <c r="E169" s="9">
        <f>$B$169*(1+$B$171/D169)^($B$170*D169)</f>
        <v>48736.115900396711</v>
      </c>
      <c r="F169" s="9">
        <f>E169-$B$169</f>
        <v>8736.1159003967114</v>
      </c>
      <c r="G169" s="4">
        <f>(1+$B$171/D169)^(D169)-1</f>
        <v>0.10381289062499977</v>
      </c>
    </row>
    <row r="170" spans="1:7" x14ac:dyDescent="0.25">
      <c r="A170" t="s">
        <v>5</v>
      </c>
      <c r="B170">
        <v>2</v>
      </c>
      <c r="D170">
        <v>12</v>
      </c>
      <c r="E170" s="9">
        <f>$B$169*(1+$B$171/D170)^($B$170*D170)</f>
        <v>48815.638455022359</v>
      </c>
      <c r="F170" s="9">
        <f>E170-$B$169</f>
        <v>8815.6384550223593</v>
      </c>
      <c r="G170" s="4">
        <f>(1+$B$171/D170)^(D170)-1</f>
        <v>0.10471306744129683</v>
      </c>
    </row>
    <row r="171" spans="1:7" x14ac:dyDescent="0.25">
      <c r="A171" t="s">
        <v>4</v>
      </c>
      <c r="B171" s="5">
        <v>0.1</v>
      </c>
    </row>
    <row r="173" spans="1:7" x14ac:dyDescent="0.25">
      <c r="A173" s="1" t="s">
        <v>93</v>
      </c>
      <c r="B173" s="1"/>
      <c r="C173" s="1"/>
      <c r="D173" s="1"/>
      <c r="E173" s="1"/>
      <c r="F173" s="1"/>
      <c r="G173" s="1"/>
    </row>
    <row r="174" spans="1:7" x14ac:dyDescent="0.25">
      <c r="A174" s="1" t="s">
        <v>94</v>
      </c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10" x14ac:dyDescent="0.25">
      <c r="A177" s="1"/>
      <c r="B177" s="1"/>
      <c r="C177" s="1"/>
      <c r="D177" s="1"/>
      <c r="E177" s="1"/>
      <c r="F177" s="1"/>
      <c r="G177" s="1"/>
    </row>
    <row r="178" spans="1:10" x14ac:dyDescent="0.25">
      <c r="A178" s="1"/>
      <c r="B178" s="1"/>
      <c r="C178" s="1"/>
      <c r="D178" s="1"/>
      <c r="E178" s="1"/>
      <c r="F178" s="1"/>
      <c r="G178" s="1"/>
    </row>
    <row r="179" spans="1:10" x14ac:dyDescent="0.25">
      <c r="A179" s="1"/>
      <c r="B179" s="1"/>
      <c r="C179" s="1"/>
      <c r="D179" s="1"/>
      <c r="E179" s="1"/>
      <c r="F179" s="1"/>
      <c r="G179" s="1"/>
    </row>
    <row r="180" spans="1:10" x14ac:dyDescent="0.25">
      <c r="A180" s="1"/>
      <c r="B180" s="1"/>
      <c r="C180" s="1"/>
      <c r="D180" s="1"/>
      <c r="E180" s="1"/>
      <c r="F180" s="1"/>
      <c r="G180" s="1"/>
    </row>
    <row r="181" spans="1:10" x14ac:dyDescent="0.25">
      <c r="A181" s="1"/>
      <c r="B181" s="1"/>
      <c r="C181" s="1"/>
      <c r="D181" s="1"/>
      <c r="E181" s="1"/>
      <c r="F181" s="1"/>
      <c r="G181" s="1"/>
      <c r="I181" t="s">
        <v>102</v>
      </c>
    </row>
    <row r="182" spans="1:10" x14ac:dyDescent="0.25">
      <c r="A182" t="s">
        <v>4</v>
      </c>
      <c r="B182" s="5">
        <v>0.09</v>
      </c>
    </row>
    <row r="183" spans="1:10" x14ac:dyDescent="0.25">
      <c r="B183" t="s">
        <v>95</v>
      </c>
      <c r="C183" t="s">
        <v>52</v>
      </c>
      <c r="D183" t="s">
        <v>44</v>
      </c>
      <c r="F183" t="s">
        <v>95</v>
      </c>
      <c r="G183" t="s">
        <v>52</v>
      </c>
      <c r="H183" t="s">
        <v>44</v>
      </c>
      <c r="I183">
        <f>1.2*(1.09^2)+1</f>
        <v>2.4257200000000001</v>
      </c>
    </row>
    <row r="184" spans="1:10" x14ac:dyDescent="0.25">
      <c r="A184" t="s">
        <v>96</v>
      </c>
      <c r="B184">
        <v>3</v>
      </c>
      <c r="C184">
        <v>13000</v>
      </c>
      <c r="D184">
        <f>C184/(1+$B$182)^B184</f>
        <v>10038.385240793834</v>
      </c>
      <c r="E184" t="s">
        <v>98</v>
      </c>
      <c r="F184">
        <v>6</v>
      </c>
      <c r="G184" t="s">
        <v>101</v>
      </c>
      <c r="H184">
        <f>H185*1.2</f>
        <v>32317.724921441884</v>
      </c>
      <c r="I184" t="s">
        <v>84</v>
      </c>
      <c r="J184">
        <f>H187*1.09^8/(I183)</f>
        <v>26931.437434534906</v>
      </c>
    </row>
    <row r="185" spans="1:10" x14ac:dyDescent="0.25">
      <c r="A185" t="s">
        <v>97</v>
      </c>
      <c r="B185">
        <v>5</v>
      </c>
      <c r="C185">
        <v>35000</v>
      </c>
      <c r="D185">
        <f>C185/(1+$B$182)^B185</f>
        <v>22747.598520442083</v>
      </c>
      <c r="E185" t="s">
        <v>99</v>
      </c>
      <c r="F185">
        <v>8</v>
      </c>
      <c r="G185" t="s">
        <v>100</v>
      </c>
      <c r="H185">
        <f>J184</f>
        <v>26931.437434534906</v>
      </c>
    </row>
    <row r="187" spans="1:10" x14ac:dyDescent="0.25">
      <c r="C187" t="s">
        <v>44</v>
      </c>
      <c r="D187">
        <f>SUM(D184:D185)</f>
        <v>32785.983761235919</v>
      </c>
      <c r="G187" t="s">
        <v>44</v>
      </c>
      <c r="H187">
        <f>D187</f>
        <v>32785.983761235919</v>
      </c>
    </row>
    <row r="190" spans="1:10" x14ac:dyDescent="0.25">
      <c r="A190" s="1" t="s">
        <v>103</v>
      </c>
      <c r="B190" s="1"/>
      <c r="C190" s="1"/>
      <c r="D190" s="1"/>
      <c r="E190" s="1"/>
      <c r="F190" s="1"/>
      <c r="G190" s="1"/>
    </row>
    <row r="191" spans="1:10" x14ac:dyDescent="0.25">
      <c r="A191" s="1" t="s">
        <v>104</v>
      </c>
      <c r="B191" s="1"/>
      <c r="C191" s="1"/>
      <c r="D191" s="1"/>
      <c r="E191" s="1"/>
      <c r="F191" s="1"/>
      <c r="G191" s="1"/>
    </row>
    <row r="192" spans="1:10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F199" t="s">
        <v>110</v>
      </c>
      <c r="G199" t="s">
        <v>111</v>
      </c>
    </row>
    <row r="200" spans="1:7" x14ac:dyDescent="0.25">
      <c r="A200" t="s">
        <v>3</v>
      </c>
      <c r="B200" s="8">
        <v>100000</v>
      </c>
      <c r="D200" t="s">
        <v>108</v>
      </c>
      <c r="F200" s="15">
        <f>$B$200*((1+$B$201)^(B203/B202))</f>
        <v>102382.52099558985</v>
      </c>
      <c r="G200" s="15">
        <f>B200*(1+B201*B203/B202)</f>
        <v>102459.01639344261</v>
      </c>
    </row>
    <row r="201" spans="1:7" x14ac:dyDescent="0.25">
      <c r="A201" t="s">
        <v>4</v>
      </c>
      <c r="B201" s="5">
        <v>0.09</v>
      </c>
      <c r="D201" t="s">
        <v>109</v>
      </c>
      <c r="F201" s="15">
        <f>F200*((1+B205)^(B204/B202))</f>
        <v>103018.52526168703</v>
      </c>
      <c r="G201" s="15">
        <f>G200*(1+B205*B204/B202)</f>
        <v>103130.87879602255</v>
      </c>
    </row>
    <row r="202" spans="1:7" x14ac:dyDescent="0.25">
      <c r="A202" t="s">
        <v>105</v>
      </c>
      <c r="B202">
        <v>366</v>
      </c>
      <c r="F202" s="9"/>
      <c r="G202" s="9"/>
    </row>
    <row r="203" spans="1:7" x14ac:dyDescent="0.25">
      <c r="A203" t="s">
        <v>5</v>
      </c>
      <c r="B203">
        <v>100</v>
      </c>
    </row>
    <row r="204" spans="1:7" x14ac:dyDescent="0.25">
      <c r="A204" t="s">
        <v>106</v>
      </c>
      <c r="B204">
        <v>20</v>
      </c>
    </row>
    <row r="205" spans="1:7" x14ac:dyDescent="0.25">
      <c r="A205" t="s">
        <v>107</v>
      </c>
      <c r="B205" s="5">
        <v>0.12</v>
      </c>
    </row>
    <row r="207" spans="1:7" x14ac:dyDescent="0.25">
      <c r="A207" s="1" t="s">
        <v>112</v>
      </c>
      <c r="B207" s="1"/>
      <c r="C207" s="1"/>
      <c r="D207" s="1"/>
      <c r="E207" s="1"/>
      <c r="F207" s="1"/>
      <c r="G207" s="1"/>
    </row>
    <row r="208" spans="1:7" x14ac:dyDescent="0.25">
      <c r="A208" s="1" t="s">
        <v>113</v>
      </c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t="s">
        <v>114</v>
      </c>
    </row>
    <row r="217" spans="1:7" x14ac:dyDescent="0.25">
      <c r="A217" t="s">
        <v>89</v>
      </c>
      <c r="B217" t="s">
        <v>115</v>
      </c>
    </row>
    <row r="218" spans="1:7" x14ac:dyDescent="0.25">
      <c r="B218" s="4">
        <f>(3^(1/40)-1)*4</f>
        <v>0.11138382260676405</v>
      </c>
    </row>
  </sheetData>
  <mergeCells count="30">
    <mergeCell ref="A191:G198"/>
    <mergeCell ref="A207:G207"/>
    <mergeCell ref="A208:G215"/>
    <mergeCell ref="A159:G159"/>
    <mergeCell ref="A160:G167"/>
    <mergeCell ref="A173:G173"/>
    <mergeCell ref="A174:G181"/>
    <mergeCell ref="A190:G190"/>
    <mergeCell ref="A110:G110"/>
    <mergeCell ref="A111:G117"/>
    <mergeCell ref="A125:G125"/>
    <mergeCell ref="A126:G132"/>
    <mergeCell ref="A139:G139"/>
    <mergeCell ref="A140:G146"/>
    <mergeCell ref="A67:G73"/>
    <mergeCell ref="A82:G82"/>
    <mergeCell ref="A83:G89"/>
    <mergeCell ref="A97:G97"/>
    <mergeCell ref="A98:G104"/>
    <mergeCell ref="A27:G32"/>
    <mergeCell ref="A38:G38"/>
    <mergeCell ref="A39:G44"/>
    <mergeCell ref="A53:G53"/>
    <mergeCell ref="A54:G59"/>
    <mergeCell ref="A66:G66"/>
    <mergeCell ref="A2:G7"/>
    <mergeCell ref="A1:G1"/>
    <mergeCell ref="A14:G14"/>
    <mergeCell ref="A15:G20"/>
    <mergeCell ref="A26:G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Борисов ПИ20-5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2022-09-26T15:40:38Z</dcterms:created>
  <dcterms:modified xsi:type="dcterms:W3CDTF">2022-09-26T18:42:54Z</dcterms:modified>
</cp:coreProperties>
</file>