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FinMath\"/>
    </mc:Choice>
  </mc:AlternateContent>
  <xr:revisionPtr revIDLastSave="0" documentId="8_{1540211A-F337-480F-9C8C-03AB21007B53}" xr6:coauthVersionLast="47" xr6:coauthVersionMax="47" xr10:uidLastSave="{00000000-0000-0000-0000-000000000000}"/>
  <bookViews>
    <workbookView xWindow="-120" yWindow="-120" windowWidth="29040" windowHeight="15840" activeTab="1" xr2:uid="{FF1C4C9C-4815-4DF7-946A-F76380A063AF}"/>
  </bookViews>
  <sheets>
    <sheet name="Лист1" sheetId="1" r:id="rId1"/>
    <sheet name="Лист2" sheetId="2" r:id="rId2"/>
  </sheets>
  <definedNames>
    <definedName name="solver_adj" localSheetId="1" hidden="1">Лист2!$B$63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Лист2!$B$63:$B$65</definedName>
    <definedName name="solver_lhs2" localSheetId="1" hidden="1">Лист2!$B$66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Лист2!$F$66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hs1" localSheetId="1" hidden="1">0</definedName>
    <definedName name="solver_rhs2" localSheetId="1" hidden="1">400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0" i="2" l="1"/>
  <c r="C214" i="2"/>
  <c r="B213" i="2"/>
  <c r="A190" i="2"/>
  <c r="B191" i="2" s="1"/>
  <c r="B192" i="2" s="1"/>
  <c r="B188" i="2"/>
  <c r="B179" i="2"/>
  <c r="B170" i="2"/>
  <c r="B153" i="2"/>
  <c r="B154" i="2" s="1"/>
  <c r="B140" i="2"/>
  <c r="B121" i="2"/>
  <c r="B120" i="2"/>
  <c r="B103" i="2"/>
  <c r="E92" i="2"/>
  <c r="E91" i="2"/>
  <c r="E78" i="2"/>
  <c r="B92" i="2"/>
  <c r="B91" i="2"/>
  <c r="B78" i="2"/>
  <c r="E79" i="2"/>
  <c r="B79" i="2"/>
  <c r="B130" i="1"/>
  <c r="B131" i="1"/>
  <c r="E93" i="2" l="1"/>
  <c r="B122" i="2"/>
  <c r="B93" i="2"/>
  <c r="E80" i="2"/>
  <c r="F64" i="2"/>
  <c r="F63" i="2"/>
  <c r="B65" i="2"/>
  <c r="E50" i="2"/>
  <c r="D48" i="2"/>
  <c r="D49" i="2" s="1"/>
  <c r="D50" i="2" s="1"/>
  <c r="B37" i="2"/>
  <c r="D65" i="1"/>
  <c r="C65" i="1"/>
  <c r="C22" i="2"/>
  <c r="C23" i="2"/>
  <c r="C21" i="2"/>
  <c r="C9" i="2"/>
  <c r="D9" i="2" s="1"/>
  <c r="C10" i="2"/>
  <c r="D10" i="2" s="1"/>
  <c r="C11" i="2"/>
  <c r="D11" i="2" s="1"/>
  <c r="C8" i="2"/>
  <c r="D8" i="2" s="1"/>
  <c r="B10" i="1"/>
  <c r="C5" i="1"/>
  <c r="B154" i="1"/>
  <c r="A140" i="1"/>
  <c r="B132" i="1"/>
  <c r="B133" i="1" s="1"/>
  <c r="B117" i="1"/>
  <c r="B118" i="1" s="1"/>
  <c r="B119" i="1" s="1"/>
  <c r="B114" i="1"/>
  <c r="B115" i="1" s="1"/>
  <c r="B113" i="1"/>
  <c r="C108" i="1"/>
  <c r="C109" i="1" s="1"/>
  <c r="D110" i="1" s="1"/>
  <c r="B121" i="1" s="1"/>
  <c r="B98" i="1"/>
  <c r="B97" i="1"/>
  <c r="B89" i="1"/>
  <c r="B90" i="1" s="1"/>
  <c r="C76" i="1"/>
  <c r="A79" i="1" s="1"/>
  <c r="C77" i="1"/>
  <c r="C75" i="1"/>
  <c r="A56" i="1"/>
  <c r="A55" i="1"/>
  <c r="A54" i="1"/>
  <c r="A57" i="1" s="1"/>
  <c r="A60" i="1" s="1"/>
  <c r="A61" i="1" s="1"/>
  <c r="B40" i="1"/>
  <c r="E41" i="1" s="1"/>
  <c r="B39" i="1"/>
  <c r="C29" i="1"/>
  <c r="C30" i="1" s="1"/>
  <c r="D29" i="1"/>
  <c r="D30" i="1" s="1"/>
  <c r="E29" i="1"/>
  <c r="E30" i="1" s="1"/>
  <c r="B29" i="1"/>
  <c r="B30" i="1" s="1"/>
  <c r="C26" i="1"/>
  <c r="D26" i="1"/>
  <c r="C25" i="1"/>
  <c r="D25" i="1"/>
  <c r="E25" i="1"/>
  <c r="E26" i="1" s="1"/>
  <c r="B25" i="1"/>
  <c r="B26" i="1" s="1"/>
  <c r="B27" i="1" s="1"/>
  <c r="C6" i="1"/>
  <c r="C7" i="1"/>
  <c r="C8" i="1"/>
  <c r="B13" i="2" l="1"/>
  <c r="B64" i="2"/>
  <c r="F65" i="2" s="1"/>
  <c r="F66" i="2" s="1"/>
  <c r="B70" i="1"/>
  <c r="C24" i="2"/>
  <c r="D76" i="1"/>
  <c r="D77" i="1"/>
  <c r="D75" i="1"/>
  <c r="B81" i="1" s="1"/>
  <c r="B31" i="1"/>
  <c r="B66" i="2" l="1"/>
</calcChain>
</file>

<file path=xl/sharedStrings.xml><?xml version="1.0" encoding="utf-8"?>
<sst xmlns="http://schemas.openxmlformats.org/spreadsheetml/2006/main" count="204" uniqueCount="131">
  <si>
    <t>Задача 1</t>
  </si>
  <si>
    <t>tk</t>
  </si>
  <si>
    <t>Pk</t>
  </si>
  <si>
    <t>t=</t>
  </si>
  <si>
    <t>i=</t>
  </si>
  <si>
    <t>1/(1+i)^(tk-t)</t>
  </si>
  <si>
    <t>S(1)=</t>
  </si>
  <si>
    <t>Задача 2</t>
  </si>
  <si>
    <t>tk1</t>
  </si>
  <si>
    <t>Pk1</t>
  </si>
  <si>
    <t>tk2</t>
  </si>
  <si>
    <t>Pk2</t>
  </si>
  <si>
    <t>Задача 3</t>
  </si>
  <si>
    <t>r =</t>
  </si>
  <si>
    <t>t =</t>
  </si>
  <si>
    <t>pk</t>
  </si>
  <si>
    <t>S(0) =</t>
  </si>
  <si>
    <t>(1+r)^(1-0)</t>
  </si>
  <si>
    <t>(1+r)^(4-1)</t>
  </si>
  <si>
    <t>S(4) =</t>
  </si>
  <si>
    <t>Задача 4</t>
  </si>
  <si>
    <t>40x^2+14x-25=0</t>
  </si>
  <si>
    <t>d</t>
  </si>
  <si>
    <t>x1</t>
  </si>
  <si>
    <t>1/(1+i)=x</t>
  </si>
  <si>
    <t>1/(1+i)</t>
  </si>
  <si>
    <t>i</t>
  </si>
  <si>
    <t>Задача 5</t>
  </si>
  <si>
    <t>i=1/x-1</t>
  </si>
  <si>
    <t>x</t>
  </si>
  <si>
    <t>NPV=S(0)=-1+0,5/1,1+0,3/1,1^2+0,25/1,1^3+x/1,1^4=0</t>
  </si>
  <si>
    <t>NPV = -0,10969 + x/(1,1)^4 = 0</t>
  </si>
  <si>
    <t>x = (1,1)^4 * 0,10969)</t>
  </si>
  <si>
    <t>задача 6</t>
  </si>
  <si>
    <t>Числитель</t>
  </si>
  <si>
    <t>Знаменатель</t>
  </si>
  <si>
    <t>задача 7</t>
  </si>
  <si>
    <t>(1+i)^(-tk)</t>
  </si>
  <si>
    <t>wk</t>
  </si>
  <si>
    <t>D</t>
  </si>
  <si>
    <t>R =</t>
  </si>
  <si>
    <t>I =</t>
  </si>
  <si>
    <t xml:space="preserve">n = </t>
  </si>
  <si>
    <t>S =</t>
  </si>
  <si>
    <t>s =</t>
  </si>
  <si>
    <t>Задача 9</t>
  </si>
  <si>
    <t>R=</t>
  </si>
  <si>
    <t>n=</t>
  </si>
  <si>
    <t>a=</t>
  </si>
  <si>
    <t>A=</t>
  </si>
  <si>
    <t>Задача 10</t>
  </si>
  <si>
    <t>n1=</t>
  </si>
  <si>
    <t>n2=</t>
  </si>
  <si>
    <t>n3=</t>
  </si>
  <si>
    <t>R1=</t>
  </si>
  <si>
    <t>R2=</t>
  </si>
  <si>
    <t>R3=</t>
  </si>
  <si>
    <t>s(n1;i)=((1+i)^n1-1)/i</t>
  </si>
  <si>
    <t>S(6)=R1*s(6;i)=</t>
  </si>
  <si>
    <t>S(15000)=S(6)*(1+i)^(n-n1-n2)</t>
  </si>
  <si>
    <t>s(n2;i)=</t>
  </si>
  <si>
    <t>S(4)</t>
  </si>
  <si>
    <t>S(18000)=</t>
  </si>
  <si>
    <t>s(n3;i)=</t>
  </si>
  <si>
    <t>S(8)</t>
  </si>
  <si>
    <t>S(22000)=</t>
  </si>
  <si>
    <t>S</t>
  </si>
  <si>
    <t>R</t>
  </si>
  <si>
    <t>p=</t>
  </si>
  <si>
    <t>s=</t>
  </si>
  <si>
    <t>S=</t>
  </si>
  <si>
    <t>A =</t>
  </si>
  <si>
    <t xml:space="preserve">R = </t>
  </si>
  <si>
    <t xml:space="preserve">p = </t>
  </si>
  <si>
    <t>Задача 13</t>
  </si>
  <si>
    <t>K =</t>
  </si>
  <si>
    <t>n1 =</t>
  </si>
  <si>
    <t>Год_зарплата =</t>
  </si>
  <si>
    <t>K*(1+i)^3</t>
  </si>
  <si>
    <t>1. Приведите финансовый поток</t>
  </si>
  <si>
    <t>CF = {(600; 0), (250; 1), (350; 2), (600; 3)}</t>
  </si>
  <si>
    <t>к моменту времени t = 3 при ставке 9%. (Ответ: 2055,54)</t>
  </si>
  <si>
    <t>S(3)=</t>
  </si>
  <si>
    <t>2. Пусть процентная ставка потока платежей CF= {(−2500; 0), (2000; 2), (3000; 4)} составляет 10%. Найдите приведенную стоимость и наращенную величину этого потока. (Ответ: 1201,93)</t>
  </si>
  <si>
    <t>S(4)=</t>
  </si>
  <si>
    <t>S(0)=</t>
  </si>
  <si>
    <t>3. Вычислите средний срок финансового потока CF = {(100; 0), (200; 1), (400; 2), (100; 3)} (Ответ: 1,625)</t>
  </si>
  <si>
    <t>100x^2+10x-72=0</t>
  </si>
  <si>
    <t>x=</t>
  </si>
  <si>
    <t>x=1/(1+i)</t>
  </si>
  <si>
    <t>d=</t>
  </si>
  <si>
    <t>4. Найдите внутреннюю норму доходности IRR потока платежей CF = {(−7200; 0), (1000; 1), (10000; 2)} (Ответ: 25%)</t>
  </si>
  <si>
    <t>5. На ближайшие 3 года сумма обязательств Арсения перед Дмитрием составляет 400 млн у.е., которые ему разрешается погасить не более чем за 3 раза. Согласно договоренности, платежи могут производиться только в конце года, и последняя выплата втрое превышает первую. Годовая ставка доходности от взятых взаймы денег равна 10%. Арсений пытается найти наиболее выгодный для себя вариант предстоящих ему перечислений. Найти эту оптимальную последовательность выплат. (Ответ: {100;0;300})</t>
  </si>
  <si>
    <t>всего</t>
  </si>
  <si>
    <t>доход</t>
  </si>
  <si>
    <t>6. На сколько процентов изменятся современная и наращенная величины пятилетней годовой ренты постнумерандо при увеличении годовой процентной ставки с 10% до 11%? (Ответ: увеличилась на 2,01%)</t>
  </si>
  <si>
    <t>i2=</t>
  </si>
  <si>
    <t>a2=</t>
  </si>
  <si>
    <t>7. На сколько процентов изменятся современная и наращенная величины пятилетней годовой ренты постнумерандо с процентной ставкой 10% годовых при уменьшении срока ренты с пяти лет до четырех? (Ответ: уменьшится на 23,98%)</t>
  </si>
  <si>
    <t>a4</t>
  </si>
  <si>
    <t>a5</t>
  </si>
  <si>
    <t>s4</t>
  </si>
  <si>
    <t>s5</t>
  </si>
  <si>
    <t>8. Какую сумму должен отец вложить сегодня на накопительный вклад при ставке 8% годовых, чтобы обеспечить сыну ежегодные выплаты в начале каждого учебного года в размере 1000 у.е. в течение четырех лет обучения в колледже? (Ответ: 𝐴2 = 1000 ∙ a(4; 0,08) ∙ 1,08 = 3312,13)</t>
  </si>
  <si>
    <t>9. Участок сдан в аренду на 10 лет. Арендная плата будет осуществляться ежегодно по схеме постнумерандо (выплаты в конце периода) на следующих условиях: первые 6 лет по - 10 млн руб., а в оставшиеся 4 года - по 11 млн руб. Оцените приведенную стоимость этого договора, если процентная ставка, используемая аналитиком, равна 15%.(Ответ: Сумма двух аннуитетов: с платежом 10 в течение 10-ти лет и начиная с 7-го года по 11 в течение 4-х лет; 𝐴 = 10 ∙ a(6; 0,15) + 11 ∙ a(4; 0,15) ∙ (1 + 0,15) −6 ≈ 51421972,19)</t>
  </si>
  <si>
    <t>A7-10=</t>
  </si>
  <si>
    <t>A1-6=</t>
  </si>
  <si>
    <t>станок=</t>
  </si>
  <si>
    <t>10. Предполагается, что станок будет служить 3 года, принося ежегодный доход в 2000 долл. Его остаточная стоимость к концу 3-го года составит 6000 долл. В качестве альтернативы потенциальный покупатель станка рассматривает вложение денег на депозит под ставку 8% годовых. Определите верхний предел цены для покупателя станка, считая, что в конце срока эксплуатации станок будет продан по его остаточной стоимости. (Ответ: Верхний предел цены Р должен совпадать с ценой станка, уравнивающей выгодность рассматриваемых альтернатив, т.е. являться современным эквивалентом потока доходов CF = {(2000; 1), (2000; 2), (2000 + 6000; 3)} при ставке 8%. Отсюда получим, что  P = 2000 ∙ a(3; 0,08) + 6000 ∙ 1,08−3 ≈ 9917,19)</t>
  </si>
  <si>
    <t>11. В ходе судебного заседания выяснилось, что г-н Плюшкин недоплачивал налогов 100 руб. ежемесячно. Налоговая инспекция собирается взыскать налоги, недоплаченные за последние 2 года, вместе с процентами (5% ежемесячно). Какую сумму должен заплатить г-н Плюшкин? (Ответ: 𝑆 = 100 ∙ 1,0524−10,6 ≈ 4450,2)</t>
  </si>
  <si>
    <t>i(мес)=</t>
  </si>
  <si>
    <t>12. Определите годовую ставку сложных процентов, если наращенная величина месячной ренты постнумерандо увеличится в 1,0234 раза при начислении платежей в начале периода. (Ответ: )</t>
  </si>
  <si>
    <t>1+i/m=1,0234</t>
  </si>
  <si>
    <t>i=0,0234*m</t>
  </si>
  <si>
    <t>S(пост)</t>
  </si>
  <si>
    <t>S(пре)=S(пост)* (1+i/m)^(m/p)</t>
  </si>
  <si>
    <t>m=</t>
  </si>
  <si>
    <t>i-?</t>
  </si>
  <si>
    <t>S(пре)/S(пост)=1,0234</t>
  </si>
  <si>
    <t>13. Заем величиной 12 000, взятый на 6 лет под 9,0% годовых, погашается
ежегодными равными выплатами. Найдите размер выплат. (Ответ: 2657,04)</t>
  </si>
  <si>
    <t>14. Студент получил кредит на пятилетнее обучение в вузе в размере 10 000 долл. под 2% годовых. Он обязуется выплачивать 16% от годовой зарплаты 10 000 долл. Через сколько лет после окончания вуза он выплатит кредит?
(Ответ: приблизительно 7,5 лет)</t>
  </si>
  <si>
    <t>=(1,02)^-n</t>
  </si>
  <si>
    <t>(1,02)^n=</t>
  </si>
  <si>
    <t>10000*(1+2%)^5=1600*(1-(1+2%)^-n)/2%*</t>
  </si>
  <si>
    <t>15. Лена следует тенденциям моды, поэтому покупает себе каждый сезон новую сумку. Ее мама любит классику и предпочитает дорогие кожаные сумки, которые носит в среднем в течение 4-х лет. На новый год папа дал жене и дочери по 200 долл. на обновки. Определите: а) на сколько сезонов хватит Лене этих денег, если она будет каждый год приобретать по сумке стоимостью 50 долл., а остаток хранить на банковском счете с годовой процентной ставкой 12,6%; б) по какой максимальной цене может покупать сумки Лена, чтобы они с мамой «износили» свои сумки в одно и то же время. (Ответ: a) 200 ∙ 1,126 n = 50 ∙ (1,126𝑛 − 1)/0,126; n=[5,908596]=5; б) 200 ∙ 1,1264 = R ∙ (1,1264 − 1)/0,126; R≈ 66,68.)</t>
  </si>
  <si>
    <t>a)</t>
  </si>
  <si>
    <t>n-?</t>
  </si>
  <si>
    <t>200=50*(1-(1+12,6%)^-n)/12,6%</t>
  </si>
  <si>
    <t>=1,126^n</t>
  </si>
  <si>
    <t>хватит на 5 лет, на 6 год не хватит</t>
  </si>
  <si>
    <t>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</si>
</sst>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7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144</xdr:row>
      <xdr:rowOff>45154</xdr:rowOff>
    </xdr:from>
    <xdr:to>
      <xdr:col>6</xdr:col>
      <xdr:colOff>102576</xdr:colOff>
      <xdr:row>147</xdr:row>
      <xdr:rowOff>142278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3FC5E96-05D5-4A88-80A4-98281D532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4" y="27477154"/>
          <a:ext cx="4791807" cy="66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518160</xdr:colOff>
      <xdr:row>42</xdr:row>
      <xdr:rowOff>60960</xdr:rowOff>
    </xdr:from>
    <xdr:to>
      <xdr:col>17</xdr:col>
      <xdr:colOff>99552</xdr:colOff>
      <xdr:row>71</xdr:row>
      <xdr:rowOff>8075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A5C832A-D1ED-EDC1-3617-C154D2074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5360" y="7741920"/>
          <a:ext cx="5677392" cy="525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A1DE-6A8E-4CE1-9AD2-FFB260E54B10}">
  <dimension ref="A1:E157"/>
  <sheetViews>
    <sheetView topLeftCell="A117" zoomScale="105" zoomScaleNormal="130" workbookViewId="0">
      <selection activeCell="B130" sqref="B130"/>
    </sheetView>
  </sheetViews>
  <sheetFormatPr defaultRowHeight="15" x14ac:dyDescent="0.25"/>
  <cols>
    <col min="1" max="1" width="20.28515625" customWidth="1"/>
    <col min="2" max="2" width="10.28515625" customWidth="1"/>
    <col min="4" max="4" width="12.85546875" customWidth="1"/>
  </cols>
  <sheetData>
    <row r="1" spans="1:5" x14ac:dyDescent="0.25">
      <c r="A1" s="1" t="s">
        <v>0</v>
      </c>
    </row>
    <row r="2" spans="1:5" x14ac:dyDescent="0.25">
      <c r="A2" t="s">
        <v>3</v>
      </c>
      <c r="B2">
        <v>1</v>
      </c>
    </row>
    <row r="3" spans="1:5" x14ac:dyDescent="0.25">
      <c r="A3" t="s">
        <v>4</v>
      </c>
      <c r="B3">
        <v>7.0000000000000007E-2</v>
      </c>
    </row>
    <row r="4" spans="1:5" x14ac:dyDescent="0.25">
      <c r="A4" t="s">
        <v>1</v>
      </c>
      <c r="B4" t="s">
        <v>2</v>
      </c>
      <c r="C4" t="s">
        <v>5</v>
      </c>
    </row>
    <row r="5" spans="1:5" x14ac:dyDescent="0.25">
      <c r="A5">
        <v>0</v>
      </c>
      <c r="B5">
        <v>250</v>
      </c>
      <c r="C5">
        <f>1/(1+$B$3)^(A5-$B$2)</f>
        <v>1.07</v>
      </c>
    </row>
    <row r="6" spans="1:5" x14ac:dyDescent="0.25">
      <c r="A6">
        <v>1</v>
      </c>
      <c r="B6">
        <v>300</v>
      </c>
      <c r="C6">
        <f t="shared" ref="C6:C8" si="0">1/(1+$B$3)^(A6-$B$2)</f>
        <v>1</v>
      </c>
    </row>
    <row r="7" spans="1:5" x14ac:dyDescent="0.25">
      <c r="A7">
        <v>2</v>
      </c>
      <c r="B7">
        <v>400</v>
      </c>
      <c r="C7">
        <f t="shared" si="0"/>
        <v>0.93457943925233644</v>
      </c>
    </row>
    <row r="8" spans="1:5" x14ac:dyDescent="0.25">
      <c r="A8">
        <v>3</v>
      </c>
      <c r="B8">
        <v>200</v>
      </c>
      <c r="C8">
        <f t="shared" si="0"/>
        <v>0.87343872827321156</v>
      </c>
    </row>
    <row r="10" spans="1:5" x14ac:dyDescent="0.25">
      <c r="A10" t="s">
        <v>6</v>
      </c>
      <c r="B10">
        <f>SUMPRODUCT(B5:B8,C5:C8)</f>
        <v>1116.0195213555769</v>
      </c>
    </row>
    <row r="12" spans="1:5" x14ac:dyDescent="0.25">
      <c r="A12" s="1" t="s">
        <v>7</v>
      </c>
    </row>
    <row r="13" spans="1:5" x14ac:dyDescent="0.25">
      <c r="A13" t="s">
        <v>8</v>
      </c>
      <c r="B13" t="s">
        <v>9</v>
      </c>
      <c r="D13" t="s">
        <v>10</v>
      </c>
      <c r="E13" t="s">
        <v>11</v>
      </c>
    </row>
    <row r="14" spans="1:5" x14ac:dyDescent="0.25">
      <c r="A14">
        <v>1</v>
      </c>
      <c r="B14">
        <v>320</v>
      </c>
      <c r="D14">
        <v>1</v>
      </c>
      <c r="E14">
        <v>200</v>
      </c>
    </row>
    <row r="15" spans="1:5" x14ac:dyDescent="0.25">
      <c r="A15">
        <v>2</v>
      </c>
      <c r="B15">
        <v>150</v>
      </c>
      <c r="D15">
        <v>2</v>
      </c>
      <c r="E15">
        <v>279</v>
      </c>
    </row>
    <row r="16" spans="1:5" x14ac:dyDescent="0.25">
      <c r="A16">
        <v>3</v>
      </c>
      <c r="B16">
        <v>210</v>
      </c>
      <c r="D16">
        <v>3</v>
      </c>
      <c r="E16">
        <v>205</v>
      </c>
    </row>
    <row r="19" spans="1:5" x14ac:dyDescent="0.25">
      <c r="A19" s="1" t="s">
        <v>12</v>
      </c>
    </row>
    <row r="20" spans="1:5" x14ac:dyDescent="0.25">
      <c r="A20" t="s">
        <v>13</v>
      </c>
      <c r="B20" s="2">
        <v>0.11</v>
      </c>
    </row>
    <row r="21" spans="1:5" x14ac:dyDescent="0.25">
      <c r="A21" t="s">
        <v>14</v>
      </c>
      <c r="B21">
        <v>0</v>
      </c>
    </row>
    <row r="22" spans="1:5" x14ac:dyDescent="0.25">
      <c r="A22" t="s">
        <v>14</v>
      </c>
      <c r="B22">
        <v>4</v>
      </c>
    </row>
    <row r="23" spans="1:5" x14ac:dyDescent="0.25">
      <c r="A23" t="s">
        <v>14</v>
      </c>
      <c r="B23">
        <v>1</v>
      </c>
      <c r="C23">
        <v>2</v>
      </c>
      <c r="D23">
        <v>3</v>
      </c>
      <c r="E23">
        <v>4</v>
      </c>
    </row>
    <row r="24" spans="1:5" x14ac:dyDescent="0.25">
      <c r="A24" t="s">
        <v>15</v>
      </c>
      <c r="B24">
        <v>-1500</v>
      </c>
      <c r="C24">
        <v>6000</v>
      </c>
      <c r="D24">
        <v>-23275</v>
      </c>
      <c r="E24">
        <v>710452</v>
      </c>
    </row>
    <row r="25" spans="1:5" x14ac:dyDescent="0.25">
      <c r="A25" t="s">
        <v>17</v>
      </c>
      <c r="B25">
        <f>(1+$B$20)^(B23-$B$21)</f>
        <v>1.1100000000000001</v>
      </c>
      <c r="C25">
        <f t="shared" ref="C25:E25" si="1">(1+$B$20)^(C23-$B$21)</f>
        <v>1.2321000000000002</v>
      </c>
      <c r="D25">
        <f t="shared" si="1"/>
        <v>1.3676310000000003</v>
      </c>
      <c r="E25">
        <f t="shared" si="1"/>
        <v>1.5180704100000004</v>
      </c>
    </row>
    <row r="26" spans="1:5" x14ac:dyDescent="0.25">
      <c r="B26">
        <f>B24/(B25)</f>
        <v>-1351.3513513513512</v>
      </c>
      <c r="C26">
        <f t="shared" ref="C26:E26" si="2">C24/(C25)</f>
        <v>4869.7345994643283</v>
      </c>
      <c r="D26">
        <f t="shared" si="2"/>
        <v>-17018.479399779615</v>
      </c>
      <c r="E26">
        <f t="shared" si="2"/>
        <v>467996.73804326361</v>
      </c>
    </row>
    <row r="27" spans="1:5" x14ac:dyDescent="0.25">
      <c r="A27" t="s">
        <v>16</v>
      </c>
      <c r="B27">
        <f>SUM(B26:E26)</f>
        <v>454496.64189159696</v>
      </c>
    </row>
    <row r="29" spans="1:5" x14ac:dyDescent="0.25">
      <c r="A29" t="s">
        <v>18</v>
      </c>
      <c r="B29">
        <f>(1+$B$20)^($B$22-B23)</f>
        <v>1.3676310000000003</v>
      </c>
      <c r="C29">
        <f t="shared" ref="C29:E29" si="3">(1+$B$20)^($B$22-C23)</f>
        <v>1.2321000000000002</v>
      </c>
      <c r="D29">
        <f t="shared" si="3"/>
        <v>1.1100000000000001</v>
      </c>
      <c r="E29">
        <f t="shared" si="3"/>
        <v>1</v>
      </c>
    </row>
    <row r="30" spans="1:5" x14ac:dyDescent="0.25">
      <c r="B30">
        <f>B24*B29</f>
        <v>-2051.4465000000005</v>
      </c>
      <c r="C30">
        <f t="shared" ref="C30:E30" si="4">C24*C29</f>
        <v>7392.6000000000013</v>
      </c>
      <c r="D30">
        <f t="shared" si="4"/>
        <v>-25835.250000000004</v>
      </c>
      <c r="E30">
        <f t="shared" si="4"/>
        <v>710452</v>
      </c>
    </row>
    <row r="31" spans="1:5" x14ac:dyDescent="0.25">
      <c r="A31" t="s">
        <v>19</v>
      </c>
      <c r="B31">
        <f>SUM(B30:E30)</f>
        <v>689957.90350000001</v>
      </c>
    </row>
    <row r="33" spans="1:5" x14ac:dyDescent="0.25">
      <c r="A33" s="1" t="s">
        <v>20</v>
      </c>
    </row>
    <row r="34" spans="1:5" x14ac:dyDescent="0.25">
      <c r="A34">
        <v>-2500</v>
      </c>
      <c r="B34">
        <v>0</v>
      </c>
    </row>
    <row r="35" spans="1:5" x14ac:dyDescent="0.25">
      <c r="A35">
        <v>1400</v>
      </c>
      <c r="B35">
        <v>1</v>
      </c>
    </row>
    <row r="36" spans="1:5" x14ac:dyDescent="0.25">
      <c r="A36">
        <v>4000</v>
      </c>
      <c r="B36">
        <v>2</v>
      </c>
    </row>
    <row r="38" spans="1:5" x14ac:dyDescent="0.25">
      <c r="B38" t="s">
        <v>21</v>
      </c>
      <c r="D38" t="s">
        <v>24</v>
      </c>
    </row>
    <row r="39" spans="1:5" x14ac:dyDescent="0.25">
      <c r="A39" t="s">
        <v>22</v>
      </c>
      <c r="B39">
        <f>14*14+4*40*25</f>
        <v>4196</v>
      </c>
      <c r="D39" t="s">
        <v>25</v>
      </c>
    </row>
    <row r="40" spans="1:5" x14ac:dyDescent="0.25">
      <c r="A40" t="s">
        <v>23</v>
      </c>
      <c r="B40">
        <f>(-14+SQRT(B39))/80</f>
        <v>0.63470673703508229</v>
      </c>
    </row>
    <row r="41" spans="1:5" x14ac:dyDescent="0.25">
      <c r="D41" t="s">
        <v>28</v>
      </c>
      <c r="E41" s="3">
        <f>1/B40-1</f>
        <v>0.57553077925613194</v>
      </c>
    </row>
    <row r="43" spans="1:5" x14ac:dyDescent="0.25">
      <c r="A43" s="1" t="s">
        <v>27</v>
      </c>
    </row>
    <row r="44" spans="1:5" x14ac:dyDescent="0.25">
      <c r="A44" t="s">
        <v>4</v>
      </c>
      <c r="B44" s="2">
        <v>0.1</v>
      </c>
    </row>
    <row r="46" spans="1:5" x14ac:dyDescent="0.25">
      <c r="A46" t="s">
        <v>1</v>
      </c>
      <c r="B46" t="s">
        <v>2</v>
      </c>
    </row>
    <row r="47" spans="1:5" x14ac:dyDescent="0.25">
      <c r="A47">
        <v>0</v>
      </c>
      <c r="B47">
        <v>-1</v>
      </c>
    </row>
    <row r="48" spans="1:5" x14ac:dyDescent="0.25">
      <c r="A48">
        <v>1</v>
      </c>
      <c r="B48">
        <v>0.5</v>
      </c>
    </row>
    <row r="49" spans="1:4" x14ac:dyDescent="0.25">
      <c r="A49">
        <v>2</v>
      </c>
      <c r="B49">
        <v>0.3</v>
      </c>
    </row>
    <row r="50" spans="1:4" x14ac:dyDescent="0.25">
      <c r="A50">
        <v>3</v>
      </c>
      <c r="B50">
        <v>0.25</v>
      </c>
    </row>
    <row r="51" spans="1:4" x14ac:dyDescent="0.25">
      <c r="A51">
        <v>4</v>
      </c>
      <c r="B51" t="s">
        <v>29</v>
      </c>
    </row>
    <row r="53" spans="1:4" x14ac:dyDescent="0.25">
      <c r="A53" t="s">
        <v>30</v>
      </c>
    </row>
    <row r="54" spans="1:4" x14ac:dyDescent="0.25">
      <c r="A54">
        <f>0.5 / 1.1</f>
        <v>0.45454545454545453</v>
      </c>
    </row>
    <row r="55" spans="1:4" x14ac:dyDescent="0.25">
      <c r="A55">
        <f>0.3 / (1.1)^2</f>
        <v>0.24793388429752061</v>
      </c>
    </row>
    <row r="56" spans="1:4" x14ac:dyDescent="0.25">
      <c r="A56">
        <f>0.25 / (1.1)^3</f>
        <v>0.18782870022539438</v>
      </c>
    </row>
    <row r="57" spans="1:4" x14ac:dyDescent="0.25">
      <c r="A57">
        <f>-1 +A54 +A55+A56</f>
        <v>-0.10969196093163042</v>
      </c>
    </row>
    <row r="58" spans="1:4" x14ac:dyDescent="0.25">
      <c r="A58" t="s">
        <v>31</v>
      </c>
    </row>
    <row r="59" spans="1:4" x14ac:dyDescent="0.25">
      <c r="A59" t="s">
        <v>32</v>
      </c>
    </row>
    <row r="60" spans="1:4" x14ac:dyDescent="0.25">
      <c r="A60">
        <f>((1.1)^4) * (-A57)</f>
        <v>0.16060000000000013</v>
      </c>
    </row>
    <row r="61" spans="1:4" x14ac:dyDescent="0.25">
      <c r="A61">
        <f>A60 * (10^6)</f>
        <v>160600.00000000015</v>
      </c>
    </row>
    <row r="63" spans="1:4" x14ac:dyDescent="0.25">
      <c r="A63" t="s">
        <v>33</v>
      </c>
    </row>
    <row r="64" spans="1:4" x14ac:dyDescent="0.25">
      <c r="A64" t="s">
        <v>1</v>
      </c>
      <c r="B64" t="s">
        <v>2</v>
      </c>
      <c r="C64" t="s">
        <v>34</v>
      </c>
      <c r="D64" t="s">
        <v>35</v>
      </c>
    </row>
    <row r="65" spans="1:4" x14ac:dyDescent="0.25">
      <c r="A65">
        <v>0</v>
      </c>
      <c r="B65">
        <v>150</v>
      </c>
      <c r="C65">
        <f>SUMPRODUCT(B65:B68,A65:A68)</f>
        <v>1400</v>
      </c>
      <c r="D65">
        <f>SUM(B65:B68)</f>
        <v>900</v>
      </c>
    </row>
    <row r="66" spans="1:4" x14ac:dyDescent="0.25">
      <c r="A66">
        <v>1</v>
      </c>
      <c r="B66">
        <v>250</v>
      </c>
    </row>
    <row r="67" spans="1:4" x14ac:dyDescent="0.25">
      <c r="A67">
        <v>2</v>
      </c>
      <c r="B67">
        <v>350</v>
      </c>
    </row>
    <row r="68" spans="1:4" x14ac:dyDescent="0.25">
      <c r="A68">
        <v>3</v>
      </c>
      <c r="B68">
        <v>150</v>
      </c>
    </row>
    <row r="70" spans="1:4" x14ac:dyDescent="0.25">
      <c r="A70" t="s">
        <v>3</v>
      </c>
      <c r="B70">
        <f>C65/D65</f>
        <v>1.5555555555555556</v>
      </c>
    </row>
    <row r="72" spans="1:4" x14ac:dyDescent="0.25">
      <c r="A72" t="s">
        <v>36</v>
      </c>
    </row>
    <row r="73" spans="1:4" x14ac:dyDescent="0.25">
      <c r="A73" t="s">
        <v>26</v>
      </c>
      <c r="B73">
        <v>0.08</v>
      </c>
    </row>
    <row r="74" spans="1:4" x14ac:dyDescent="0.25">
      <c r="A74" t="s">
        <v>1</v>
      </c>
      <c r="B74" t="s">
        <v>15</v>
      </c>
      <c r="C74" t="s">
        <v>37</v>
      </c>
      <c r="D74" t="s">
        <v>38</v>
      </c>
    </row>
    <row r="75" spans="1:4" x14ac:dyDescent="0.25">
      <c r="A75">
        <v>1</v>
      </c>
      <c r="B75">
        <v>200</v>
      </c>
      <c r="C75">
        <f>(1+$B$73)^(-A75)</f>
        <v>0.92592592592592582</v>
      </c>
      <c r="D75">
        <f>B75*C75/$A$79</f>
        <v>0.18384717230943826</v>
      </c>
    </row>
    <row r="76" spans="1:4" x14ac:dyDescent="0.25">
      <c r="A76">
        <v>2</v>
      </c>
      <c r="B76">
        <v>570</v>
      </c>
      <c r="C76">
        <f t="shared" ref="C76:C77" si="5">(1+$B$73)^(-A76)</f>
        <v>0.85733882030178321</v>
      </c>
      <c r="D76">
        <f t="shared" ref="D76:D77" si="6">B76*C76/$A$79</f>
        <v>0.4851522602610176</v>
      </c>
    </row>
    <row r="77" spans="1:4" x14ac:dyDescent="0.25">
      <c r="A77">
        <v>3</v>
      </c>
      <c r="B77">
        <v>420</v>
      </c>
      <c r="C77">
        <f t="shared" si="5"/>
        <v>0.79383224102016958</v>
      </c>
      <c r="D77">
        <f t="shared" si="6"/>
        <v>0.33100056742954415</v>
      </c>
    </row>
    <row r="79" spans="1:4" x14ac:dyDescent="0.25">
      <c r="A79">
        <f>SUMPRODUCT(B75:B77,C75:C77)</f>
        <v>1007.2778539856728</v>
      </c>
    </row>
    <row r="81" spans="1:2" x14ac:dyDescent="0.25">
      <c r="A81" t="s">
        <v>39</v>
      </c>
      <c r="B81">
        <f>SUMPRODUCT(A75:A77,D75:D77)</f>
        <v>2.1471533951201058</v>
      </c>
    </row>
    <row r="83" spans="1:2" x14ac:dyDescent="0.25">
      <c r="A83" s="1" t="s">
        <v>36</v>
      </c>
    </row>
    <row r="85" spans="1:2" x14ac:dyDescent="0.25">
      <c r="A85" t="s">
        <v>40</v>
      </c>
      <c r="B85">
        <v>7000</v>
      </c>
    </row>
    <row r="86" spans="1:2" x14ac:dyDescent="0.25">
      <c r="A86" t="s">
        <v>41</v>
      </c>
      <c r="B86">
        <v>0.14000000000000001</v>
      </c>
    </row>
    <row r="87" spans="1:2" x14ac:dyDescent="0.25">
      <c r="A87" t="s">
        <v>42</v>
      </c>
      <c r="B87">
        <v>12</v>
      </c>
    </row>
    <row r="89" spans="1:2" x14ac:dyDescent="0.25">
      <c r="A89" t="s">
        <v>44</v>
      </c>
      <c r="B89">
        <f>((1+B86)^B87-1)/B86</f>
        <v>27.270748713060684</v>
      </c>
    </row>
    <row r="90" spans="1:2" x14ac:dyDescent="0.25">
      <c r="A90" t="s">
        <v>43</v>
      </c>
      <c r="B90">
        <f>B85*B89</f>
        <v>190895.2409914248</v>
      </c>
    </row>
    <row r="92" spans="1:2" x14ac:dyDescent="0.25">
      <c r="A92" t="s">
        <v>45</v>
      </c>
    </row>
    <row r="93" spans="1:2" x14ac:dyDescent="0.25">
      <c r="A93" t="s">
        <v>46</v>
      </c>
      <c r="B93">
        <v>1650</v>
      </c>
    </row>
    <row r="94" spans="1:2" x14ac:dyDescent="0.25">
      <c r="A94" t="s">
        <v>47</v>
      </c>
      <c r="B94">
        <v>8</v>
      </c>
    </row>
    <row r="95" spans="1:2" x14ac:dyDescent="0.25">
      <c r="A95" t="s">
        <v>4</v>
      </c>
      <c r="B95" s="2">
        <v>0.12</v>
      </c>
    </row>
    <row r="97" spans="1:4" x14ac:dyDescent="0.25">
      <c r="A97" t="s">
        <v>48</v>
      </c>
      <c r="B97">
        <f>(1-(1+B95)^-B94)/B95</f>
        <v>4.967639766838591</v>
      </c>
    </row>
    <row r="98" spans="1:4" x14ac:dyDescent="0.25">
      <c r="A98" t="s">
        <v>49</v>
      </c>
      <c r="B98">
        <f>B93*B97</f>
        <v>8196.6056152836754</v>
      </c>
    </row>
    <row r="100" spans="1:4" x14ac:dyDescent="0.25">
      <c r="A100" s="1" t="s">
        <v>50</v>
      </c>
    </row>
    <row r="102" spans="1:4" x14ac:dyDescent="0.25">
      <c r="A102" t="s">
        <v>47</v>
      </c>
      <c r="B102">
        <v>18</v>
      </c>
    </row>
    <row r="103" spans="1:4" x14ac:dyDescent="0.25">
      <c r="A103" t="s">
        <v>4</v>
      </c>
      <c r="B103" s="4">
        <v>4.4999999999999998E-2</v>
      </c>
    </row>
    <row r="104" spans="1:4" x14ac:dyDescent="0.25">
      <c r="A104" t="s">
        <v>51</v>
      </c>
      <c r="B104">
        <v>6</v>
      </c>
      <c r="C104" t="s">
        <v>54</v>
      </c>
      <c r="D104">
        <v>15000</v>
      </c>
    </row>
    <row r="105" spans="1:4" x14ac:dyDescent="0.25">
      <c r="A105" t="s">
        <v>52</v>
      </c>
      <c r="B105">
        <v>4</v>
      </c>
      <c r="C105" t="s">
        <v>55</v>
      </c>
      <c r="D105">
        <v>18000</v>
      </c>
    </row>
    <row r="106" spans="1:4" x14ac:dyDescent="0.25">
      <c r="A106" t="s">
        <v>53</v>
      </c>
      <c r="B106">
        <v>8</v>
      </c>
      <c r="C106" t="s">
        <v>56</v>
      </c>
      <c r="D106">
        <v>22000</v>
      </c>
    </row>
    <row r="108" spans="1:4" x14ac:dyDescent="0.25">
      <c r="A108" t="s">
        <v>57</v>
      </c>
      <c r="C108">
        <f>((1+B103)^B104-1)/B103</f>
        <v>6.7168916632781057</v>
      </c>
    </row>
    <row r="109" spans="1:4" x14ac:dyDescent="0.25">
      <c r="A109" t="s">
        <v>58</v>
      </c>
      <c r="C109">
        <f>D104*C108</f>
        <v>100753.37494917159</v>
      </c>
    </row>
    <row r="110" spans="1:4" x14ac:dyDescent="0.25">
      <c r="A110" t="s">
        <v>59</v>
      </c>
      <c r="D110">
        <f>C109*(1+B103)^12</f>
        <v>170865.77786499899</v>
      </c>
    </row>
    <row r="113" spans="1:2" x14ac:dyDescent="0.25">
      <c r="A113" t="s">
        <v>60</v>
      </c>
      <c r="B113">
        <f>((1+B103)^B105-1)/B103</f>
        <v>4.2781911249999887</v>
      </c>
    </row>
    <row r="114" spans="1:2" x14ac:dyDescent="0.25">
      <c r="A114" t="s">
        <v>61</v>
      </c>
      <c r="B114">
        <f>D105*B113</f>
        <v>77007.440249999796</v>
      </c>
    </row>
    <row r="115" spans="1:2" x14ac:dyDescent="0.25">
      <c r="A115" t="s">
        <v>62</v>
      </c>
      <c r="B115">
        <f>B114*(1+B103)^(18-B104-B105)</f>
        <v>109512.3279725031</v>
      </c>
    </row>
    <row r="117" spans="1:2" x14ac:dyDescent="0.25">
      <c r="A117" t="s">
        <v>63</v>
      </c>
      <c r="B117">
        <f>((1+B103)^B106-1)/B103</f>
        <v>9.3800136185912653</v>
      </c>
    </row>
    <row r="118" spans="1:2" x14ac:dyDescent="0.25">
      <c r="A118" t="s">
        <v>64</v>
      </c>
      <c r="B118">
        <f>D106*B117</f>
        <v>206360.29960900784</v>
      </c>
    </row>
    <row r="119" spans="1:2" x14ac:dyDescent="0.25">
      <c r="A119" t="s">
        <v>65</v>
      </c>
      <c r="B119">
        <f>B118*(1+B103)^(18-B104-B105-B106)</f>
        <v>206360.29960900784</v>
      </c>
    </row>
    <row r="121" spans="1:2" x14ac:dyDescent="0.25">
      <c r="A121" t="s">
        <v>66</v>
      </c>
      <c r="B121">
        <f>D110+B115+B119</f>
        <v>486738.40544650995</v>
      </c>
    </row>
    <row r="124" spans="1:2" x14ac:dyDescent="0.25">
      <c r="A124">
        <v>11</v>
      </c>
    </row>
    <row r="126" spans="1:2" x14ac:dyDescent="0.25">
      <c r="A126" t="s">
        <v>67</v>
      </c>
      <c r="B126">
        <v>15000</v>
      </c>
    </row>
    <row r="127" spans="1:2" x14ac:dyDescent="0.25">
      <c r="A127" t="s">
        <v>68</v>
      </c>
      <c r="B127" s="2">
        <v>0.11</v>
      </c>
    </row>
    <row r="128" spans="1:2" x14ac:dyDescent="0.25">
      <c r="A128" t="s">
        <v>47</v>
      </c>
      <c r="B128">
        <v>9</v>
      </c>
    </row>
    <row r="130" spans="1:2" x14ac:dyDescent="0.25">
      <c r="A130" t="s">
        <v>69</v>
      </c>
      <c r="B130">
        <f>((1+B127)^B128-1)/B127</f>
        <v>14.163972039877295</v>
      </c>
    </row>
    <row r="131" spans="1:2" x14ac:dyDescent="0.25">
      <c r="A131" t="s">
        <v>70</v>
      </c>
      <c r="B131">
        <f>B126*B130</f>
        <v>212459.58059815943</v>
      </c>
    </row>
    <row r="132" spans="1:2" x14ac:dyDescent="0.25">
      <c r="A132" t="s">
        <v>48</v>
      </c>
      <c r="B132">
        <f>(1-(1+B127)^(-B128))/B127</f>
        <v>5.537047532366743</v>
      </c>
    </row>
    <row r="133" spans="1:2" x14ac:dyDescent="0.25">
      <c r="A133" t="s">
        <v>49</v>
      </c>
      <c r="B133">
        <f>B126*B132</f>
        <v>83055.712985501144</v>
      </c>
    </row>
    <row r="136" spans="1:2" x14ac:dyDescent="0.25">
      <c r="A136" t="s">
        <v>71</v>
      </c>
      <c r="B136">
        <v>48456</v>
      </c>
    </row>
    <row r="137" spans="1:2" x14ac:dyDescent="0.25">
      <c r="A137" t="s">
        <v>72</v>
      </c>
      <c r="B137">
        <v>12500</v>
      </c>
    </row>
    <row r="138" spans="1:2" x14ac:dyDescent="0.25">
      <c r="A138" t="s">
        <v>73</v>
      </c>
      <c r="B138">
        <v>0.14000000000000001</v>
      </c>
    </row>
    <row r="140" spans="1:2" x14ac:dyDescent="0.25">
      <c r="A140" s="5">
        <f>-LN(1-(0.14*48456/12500))/LN(1+0.14)</f>
        <v>5.9714704191302053</v>
      </c>
    </row>
    <row r="144" spans="1:2" x14ac:dyDescent="0.25">
      <c r="A144" t="s">
        <v>74</v>
      </c>
    </row>
    <row r="150" spans="1:2" x14ac:dyDescent="0.25">
      <c r="A150" t="s">
        <v>75</v>
      </c>
      <c r="B150">
        <v>700000</v>
      </c>
    </row>
    <row r="151" spans="1:2" x14ac:dyDescent="0.25">
      <c r="A151" t="s">
        <v>13</v>
      </c>
      <c r="B151">
        <v>0.05</v>
      </c>
    </row>
    <row r="152" spans="1:2" x14ac:dyDescent="0.25">
      <c r="A152" t="s">
        <v>76</v>
      </c>
      <c r="B152">
        <v>3</v>
      </c>
    </row>
    <row r="153" spans="1:2" x14ac:dyDescent="0.25">
      <c r="A153" t="s">
        <v>77</v>
      </c>
      <c r="B153">
        <v>1400000</v>
      </c>
    </row>
    <row r="154" spans="1:2" x14ac:dyDescent="0.25">
      <c r="A154" t="s">
        <v>40</v>
      </c>
      <c r="B154">
        <f>B153/10</f>
        <v>140000</v>
      </c>
    </row>
    <row r="157" spans="1:2" x14ac:dyDescent="0.25">
      <c r="A157" t="s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9E85-CB47-48F4-B3D3-9744317FF9C5}">
  <dimension ref="A1:G220"/>
  <sheetViews>
    <sheetView tabSelected="1" topLeftCell="A190" workbookViewId="0">
      <selection activeCell="F219" sqref="F219"/>
    </sheetView>
  </sheetViews>
  <sheetFormatPr defaultRowHeight="15" x14ac:dyDescent="0.25"/>
  <cols>
    <col min="2" max="2" width="14.140625" bestFit="1" customWidth="1"/>
  </cols>
  <sheetData>
    <row r="1" spans="1:6" x14ac:dyDescent="0.25">
      <c r="A1" t="s">
        <v>79</v>
      </c>
    </row>
    <row r="2" spans="1:6" x14ac:dyDescent="0.25">
      <c r="A2" t="s">
        <v>80</v>
      </c>
    </row>
    <row r="3" spans="1:6" x14ac:dyDescent="0.25">
      <c r="A3" t="s">
        <v>81</v>
      </c>
    </row>
    <row r="5" spans="1:6" x14ac:dyDescent="0.25">
      <c r="A5" t="s">
        <v>3</v>
      </c>
      <c r="B5">
        <v>3</v>
      </c>
    </row>
    <row r="6" spans="1:6" x14ac:dyDescent="0.25">
      <c r="A6" t="s">
        <v>4</v>
      </c>
      <c r="B6" s="2">
        <v>0.09</v>
      </c>
    </row>
    <row r="7" spans="1:6" x14ac:dyDescent="0.25">
      <c r="A7" t="s">
        <v>1</v>
      </c>
      <c r="B7" t="s">
        <v>15</v>
      </c>
    </row>
    <row r="8" spans="1:6" x14ac:dyDescent="0.25">
      <c r="A8">
        <v>0</v>
      </c>
      <c r="B8">
        <v>600</v>
      </c>
      <c r="C8">
        <f>1/(1+$B$6)^(A8-$B$5)</f>
        <v>1.2950290000000002</v>
      </c>
      <c r="D8">
        <f>C8*B8</f>
        <v>777.01740000000018</v>
      </c>
    </row>
    <row r="9" spans="1:6" x14ac:dyDescent="0.25">
      <c r="A9">
        <v>1</v>
      </c>
      <c r="B9">
        <v>250</v>
      </c>
      <c r="C9">
        <f t="shared" ref="C9:C11" si="0">1/(1+$B$6)^(A9-$B$5)</f>
        <v>1.1881000000000002</v>
      </c>
      <c r="D9">
        <f t="shared" ref="D9:D11" si="1">C9*B9</f>
        <v>297.02500000000003</v>
      </c>
    </row>
    <row r="10" spans="1:6" x14ac:dyDescent="0.25">
      <c r="A10">
        <v>2</v>
      </c>
      <c r="B10">
        <v>350</v>
      </c>
      <c r="C10">
        <f t="shared" si="0"/>
        <v>1.0900000000000001</v>
      </c>
      <c r="D10">
        <f t="shared" si="1"/>
        <v>381.5</v>
      </c>
    </row>
    <row r="11" spans="1:6" x14ac:dyDescent="0.25">
      <c r="A11">
        <v>3</v>
      </c>
      <c r="B11">
        <v>600</v>
      </c>
      <c r="C11">
        <f t="shared" si="0"/>
        <v>1</v>
      </c>
      <c r="D11">
        <f t="shared" si="1"/>
        <v>600</v>
      </c>
    </row>
    <row r="13" spans="1:6" x14ac:dyDescent="0.25">
      <c r="A13" t="s">
        <v>82</v>
      </c>
      <c r="B13">
        <f>SUMPRODUCT(B8:B11,C8:C11)</f>
        <v>2055.5424000000003</v>
      </c>
    </row>
    <row r="15" spans="1:6" x14ac:dyDescent="0.25">
      <c r="A15" s="9" t="s">
        <v>83</v>
      </c>
      <c r="B15" s="9"/>
      <c r="C15" s="9"/>
      <c r="D15" s="9"/>
      <c r="E15" s="9"/>
      <c r="F15" s="9"/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9"/>
      <c r="B18" s="9"/>
      <c r="C18" s="9"/>
      <c r="D18" s="9"/>
      <c r="E18" s="9"/>
      <c r="F18" s="9"/>
    </row>
    <row r="19" spans="1:6" x14ac:dyDescent="0.25">
      <c r="A19" t="s">
        <v>4</v>
      </c>
      <c r="B19" s="2">
        <v>0.1</v>
      </c>
      <c r="C19" t="s">
        <v>3</v>
      </c>
      <c r="D19">
        <v>0</v>
      </c>
    </row>
    <row r="20" spans="1:6" x14ac:dyDescent="0.25">
      <c r="A20" t="s">
        <v>1</v>
      </c>
      <c r="B20" t="s">
        <v>15</v>
      </c>
    </row>
    <row r="21" spans="1:6" x14ac:dyDescent="0.25">
      <c r="A21">
        <v>0</v>
      </c>
      <c r="B21">
        <v>-2500</v>
      </c>
      <c r="C21">
        <f>1/(1+$B$19)^(A21-$D$19)</f>
        <v>1</v>
      </c>
    </row>
    <row r="22" spans="1:6" x14ac:dyDescent="0.25">
      <c r="A22">
        <v>2</v>
      </c>
      <c r="B22">
        <v>2000</v>
      </c>
      <c r="C22">
        <f t="shared" ref="C22:C23" si="2">1/(1+$B$19)^(A22-$D$19)</f>
        <v>0.82644628099173545</v>
      </c>
    </row>
    <row r="23" spans="1:6" x14ac:dyDescent="0.25">
      <c r="A23">
        <v>4</v>
      </c>
      <c r="B23">
        <v>3000</v>
      </c>
      <c r="C23">
        <f t="shared" si="2"/>
        <v>0.68301345536507052</v>
      </c>
    </row>
    <row r="24" spans="1:6" x14ac:dyDescent="0.25">
      <c r="B24" t="s">
        <v>85</v>
      </c>
      <c r="C24">
        <f>SUMPRODUCT(B21:B23,C21:C23)</f>
        <v>1201.9329280786824</v>
      </c>
    </row>
    <row r="25" spans="1:6" x14ac:dyDescent="0.25">
      <c r="B25" t="s">
        <v>84</v>
      </c>
      <c r="C25">
        <v>1759.7499999999995</v>
      </c>
    </row>
    <row r="27" spans="1:6" x14ac:dyDescent="0.25">
      <c r="A27" s="9" t="s">
        <v>86</v>
      </c>
      <c r="B27" s="9"/>
      <c r="C27" s="9"/>
      <c r="D27" s="9"/>
      <c r="E27" s="9"/>
      <c r="F27" s="9"/>
    </row>
    <row r="28" spans="1:6" x14ac:dyDescent="0.25">
      <c r="A28" s="9"/>
      <c r="B28" s="9"/>
      <c r="C28" s="9"/>
      <c r="D28" s="9"/>
      <c r="E28" s="9"/>
      <c r="F28" s="9"/>
    </row>
    <row r="29" spans="1:6" x14ac:dyDescent="0.25">
      <c r="A29" s="9"/>
      <c r="B29" s="9"/>
      <c r="C29" s="9"/>
      <c r="D29" s="9"/>
      <c r="E29" s="9"/>
      <c r="F29" s="9"/>
    </row>
    <row r="30" spans="1:6" x14ac:dyDescent="0.25">
      <c r="A30" s="9"/>
      <c r="B30" s="9"/>
      <c r="C30" s="9"/>
      <c r="D30" s="9"/>
      <c r="E30" s="9"/>
      <c r="F30" s="9"/>
    </row>
    <row r="31" spans="1:6" x14ac:dyDescent="0.25">
      <c r="A31" t="s">
        <v>1</v>
      </c>
      <c r="B31" t="s">
        <v>15</v>
      </c>
    </row>
    <row r="32" spans="1:6" x14ac:dyDescent="0.25">
      <c r="A32">
        <v>0</v>
      </c>
      <c r="B32">
        <v>100</v>
      </c>
    </row>
    <row r="33" spans="1:6" x14ac:dyDescent="0.25">
      <c r="A33">
        <v>1</v>
      </c>
      <c r="B33">
        <v>200</v>
      </c>
    </row>
    <row r="34" spans="1:6" x14ac:dyDescent="0.25">
      <c r="A34">
        <v>2</v>
      </c>
      <c r="B34">
        <v>400</v>
      </c>
    </row>
    <row r="35" spans="1:6" x14ac:dyDescent="0.25">
      <c r="A35">
        <v>3</v>
      </c>
      <c r="B35">
        <v>100</v>
      </c>
    </row>
    <row r="37" spans="1:6" x14ac:dyDescent="0.25">
      <c r="A37" t="s">
        <v>3</v>
      </c>
      <c r="B37">
        <f>SUMPRODUCT(A32:A35,B32:B35)/SUM(B32:B35)</f>
        <v>1.625</v>
      </c>
    </row>
    <row r="39" spans="1:6" x14ac:dyDescent="0.25">
      <c r="A39" s="9" t="s">
        <v>91</v>
      </c>
      <c r="B39" s="9"/>
      <c r="C39" s="9"/>
      <c r="D39" s="9"/>
      <c r="E39" s="9"/>
      <c r="F39" s="9"/>
    </row>
    <row r="40" spans="1:6" x14ac:dyDescent="0.25">
      <c r="A40" s="9"/>
      <c r="B40" s="9"/>
      <c r="C40" s="9"/>
      <c r="D40" s="9"/>
      <c r="E40" s="9"/>
      <c r="F40" s="9"/>
    </row>
    <row r="41" spans="1:6" x14ac:dyDescent="0.25">
      <c r="A41" s="9"/>
      <c r="B41" s="9"/>
      <c r="C41" s="9"/>
      <c r="D41" s="9"/>
      <c r="E41" s="9"/>
      <c r="F41" s="9"/>
    </row>
    <row r="42" spans="1:6" x14ac:dyDescent="0.25">
      <c r="A42" s="9"/>
      <c r="B42" s="9"/>
      <c r="C42" s="9"/>
      <c r="D42" s="9"/>
      <c r="E42" s="9"/>
      <c r="F42" s="9"/>
    </row>
    <row r="43" spans="1:6" x14ac:dyDescent="0.25">
      <c r="A43">
        <v>0</v>
      </c>
      <c r="B43">
        <v>-7200</v>
      </c>
    </row>
    <row r="44" spans="1:6" x14ac:dyDescent="0.25">
      <c r="A44">
        <v>1</v>
      </c>
      <c r="B44">
        <v>1000</v>
      </c>
    </row>
    <row r="45" spans="1:6" x14ac:dyDescent="0.25">
      <c r="A45">
        <v>2</v>
      </c>
      <c r="B45">
        <v>10000</v>
      </c>
      <c r="D45" t="s">
        <v>89</v>
      </c>
    </row>
    <row r="47" spans="1:6" x14ac:dyDescent="0.25">
      <c r="C47" t="s">
        <v>87</v>
      </c>
    </row>
    <row r="48" spans="1:6" x14ac:dyDescent="0.25">
      <c r="C48" t="s">
        <v>90</v>
      </c>
      <c r="D48">
        <f>(100+4*100*72)^(1/2)</f>
        <v>170</v>
      </c>
    </row>
    <row r="49" spans="1:7" x14ac:dyDescent="0.25">
      <c r="C49" t="s">
        <v>88</v>
      </c>
      <c r="D49">
        <f>(-10+D48)/(2*100)</f>
        <v>0.8</v>
      </c>
    </row>
    <row r="50" spans="1:7" x14ac:dyDescent="0.25">
      <c r="C50" t="s">
        <v>4</v>
      </c>
      <c r="D50" s="7">
        <f>1/Лист2!D49-1</f>
        <v>0.25</v>
      </c>
      <c r="E50" s="2">
        <f>IRR(B43:B45)</f>
        <v>0.24999999999999978</v>
      </c>
    </row>
    <row r="53" spans="1:7" ht="14.45" customHeight="1" x14ac:dyDescent="0.25">
      <c r="A53" s="9" t="s">
        <v>92</v>
      </c>
      <c r="B53" s="9"/>
      <c r="C53" s="9"/>
      <c r="D53" s="9"/>
      <c r="E53" s="9"/>
      <c r="F53" s="9"/>
      <c r="G53" s="9"/>
    </row>
    <row r="54" spans="1:7" x14ac:dyDescent="0.25">
      <c r="A54" s="9"/>
      <c r="B54" s="9"/>
      <c r="C54" s="9"/>
      <c r="D54" s="9"/>
      <c r="E54" s="9"/>
      <c r="F54" s="9"/>
      <c r="G54" s="9"/>
    </row>
    <row r="55" spans="1:7" x14ac:dyDescent="0.25">
      <c r="A55" s="9"/>
      <c r="B55" s="9"/>
      <c r="C55" s="9"/>
      <c r="D55" s="9"/>
      <c r="E55" s="9"/>
      <c r="F55" s="9"/>
      <c r="G55" s="9"/>
    </row>
    <row r="56" spans="1:7" x14ac:dyDescent="0.25">
      <c r="A56" s="9"/>
      <c r="B56" s="9"/>
      <c r="C56" s="9"/>
      <c r="D56" s="9"/>
      <c r="E56" s="9"/>
      <c r="F56" s="9"/>
      <c r="G56" s="9"/>
    </row>
    <row r="57" spans="1:7" x14ac:dyDescent="0.25">
      <c r="A57" s="9"/>
      <c r="B57" s="9"/>
      <c r="C57" s="9"/>
      <c r="D57" s="9"/>
      <c r="E57" s="9"/>
      <c r="F57" s="9"/>
      <c r="G57" s="9"/>
    </row>
    <row r="58" spans="1:7" x14ac:dyDescent="0.25">
      <c r="A58" s="9"/>
      <c r="B58" s="9"/>
      <c r="C58" s="9"/>
      <c r="D58" s="9"/>
      <c r="E58" s="9"/>
      <c r="F58" s="9"/>
      <c r="G58" s="9"/>
    </row>
    <row r="59" spans="1:7" x14ac:dyDescent="0.25">
      <c r="A59" s="9"/>
      <c r="B59" s="9"/>
      <c r="C59" s="9"/>
      <c r="D59" s="9"/>
      <c r="E59" s="9"/>
      <c r="F59" s="9"/>
      <c r="G59" s="9"/>
    </row>
    <row r="60" spans="1:7" x14ac:dyDescent="0.25">
      <c r="A60" s="9"/>
      <c r="B60" s="9"/>
      <c r="C60" s="9"/>
      <c r="D60" s="9"/>
      <c r="E60" s="9"/>
      <c r="F60" s="9"/>
      <c r="G60" s="9"/>
    </row>
    <row r="61" spans="1:7" x14ac:dyDescent="0.25">
      <c r="A61" t="s">
        <v>93</v>
      </c>
      <c r="B61">
        <v>400</v>
      </c>
    </row>
    <row r="62" spans="1:7" x14ac:dyDescent="0.25">
      <c r="A62" t="s">
        <v>4</v>
      </c>
      <c r="B62" s="2">
        <v>0.1</v>
      </c>
    </row>
    <row r="63" spans="1:7" x14ac:dyDescent="0.25">
      <c r="A63">
        <v>1</v>
      </c>
      <c r="B63">
        <v>100</v>
      </c>
      <c r="E63" t="s">
        <v>94</v>
      </c>
      <c r="F63">
        <f>B61*B62</f>
        <v>40</v>
      </c>
    </row>
    <row r="64" spans="1:7" x14ac:dyDescent="0.25">
      <c r="A64">
        <v>2</v>
      </c>
      <c r="B64">
        <f>B61-B65-B63</f>
        <v>0</v>
      </c>
      <c r="F64">
        <f>(B61-B63)*B62</f>
        <v>30</v>
      </c>
    </row>
    <row r="65" spans="1:7" x14ac:dyDescent="0.25">
      <c r="A65">
        <v>3</v>
      </c>
      <c r="B65">
        <f>B63*3</f>
        <v>300</v>
      </c>
      <c r="F65">
        <f>(B61-B63-B64)*B62</f>
        <v>30</v>
      </c>
    </row>
    <row r="66" spans="1:7" x14ac:dyDescent="0.25">
      <c r="B66">
        <f>SUM(B63:B65)</f>
        <v>400</v>
      </c>
      <c r="F66">
        <f>SUM(F63:F65)</f>
        <v>100</v>
      </c>
    </row>
    <row r="68" spans="1:7" x14ac:dyDescent="0.25">
      <c r="A68" s="9" t="s">
        <v>95</v>
      </c>
      <c r="B68" s="9"/>
      <c r="C68" s="9"/>
      <c r="D68" s="9"/>
      <c r="E68" s="9"/>
      <c r="F68" s="9"/>
      <c r="G68" s="9"/>
    </row>
    <row r="69" spans="1:7" x14ac:dyDescent="0.25">
      <c r="A69" s="9"/>
      <c r="B69" s="9"/>
      <c r="C69" s="9"/>
      <c r="D69" s="9"/>
      <c r="E69" s="9"/>
      <c r="F69" s="9"/>
      <c r="G69" s="9"/>
    </row>
    <row r="70" spans="1:7" x14ac:dyDescent="0.25">
      <c r="A70" s="9"/>
      <c r="B70" s="9"/>
      <c r="C70" s="9"/>
      <c r="D70" s="9"/>
      <c r="E70" s="9"/>
      <c r="F70" s="9"/>
      <c r="G70" s="9"/>
    </row>
    <row r="71" spans="1:7" x14ac:dyDescent="0.25">
      <c r="A71" s="9"/>
      <c r="B71" s="9"/>
      <c r="C71" s="9"/>
      <c r="D71" s="9"/>
      <c r="E71" s="9"/>
      <c r="F71" s="9"/>
      <c r="G71" s="9"/>
    </row>
    <row r="72" spans="1:7" x14ac:dyDescent="0.25">
      <c r="A72" s="9"/>
      <c r="B72" s="9"/>
      <c r="C72" s="9"/>
      <c r="D72" s="9"/>
      <c r="E72" s="9"/>
      <c r="F72" s="9"/>
      <c r="G72" s="9"/>
    </row>
    <row r="73" spans="1:7" x14ac:dyDescent="0.25">
      <c r="A73" s="9"/>
      <c r="B73" s="9"/>
      <c r="C73" s="9"/>
      <c r="D73" s="9"/>
      <c r="E73" s="9"/>
      <c r="F73" s="9"/>
      <c r="G73" s="9"/>
    </row>
    <row r="74" spans="1:7" x14ac:dyDescent="0.25">
      <c r="A74" s="9"/>
      <c r="B74" s="9"/>
      <c r="C74" s="9"/>
      <c r="D74" s="9"/>
      <c r="E74" s="9"/>
      <c r="F74" s="9"/>
      <c r="G74" s="9"/>
    </row>
    <row r="75" spans="1:7" x14ac:dyDescent="0.25">
      <c r="A75" t="s">
        <v>4</v>
      </c>
      <c r="B75" s="2">
        <v>0.1</v>
      </c>
    </row>
    <row r="76" spans="1:7" x14ac:dyDescent="0.25">
      <c r="A76" t="s">
        <v>96</v>
      </c>
      <c r="B76" s="2">
        <v>0.11</v>
      </c>
    </row>
    <row r="78" spans="1:7" x14ac:dyDescent="0.25">
      <c r="A78" t="s">
        <v>48</v>
      </c>
      <c r="B78">
        <f>(1-(1+B75)^(-5))/B75</f>
        <v>3.7907867694084505</v>
      </c>
      <c r="D78" t="s">
        <v>69</v>
      </c>
      <c r="E78">
        <f>((1+B75)^5-1)/B75</f>
        <v>6.1051000000000055</v>
      </c>
    </row>
    <row r="79" spans="1:7" x14ac:dyDescent="0.25">
      <c r="A79" t="s">
        <v>97</v>
      </c>
      <c r="B79">
        <f>(1-(1+B76)^(-5))/B76</f>
        <v>3.6958970176494672</v>
      </c>
      <c r="D79" t="s">
        <v>70</v>
      </c>
      <c r="E79">
        <f>((1+B76)^5-1)/B76</f>
        <v>6.227801410000005</v>
      </c>
    </row>
    <row r="80" spans="1:7" x14ac:dyDescent="0.25">
      <c r="E80" s="8">
        <f>(E79/E78-1)</f>
        <v>2.0098181847963081E-2</v>
      </c>
    </row>
    <row r="82" spans="1:7" x14ac:dyDescent="0.25">
      <c r="A82" s="9" t="s">
        <v>98</v>
      </c>
      <c r="B82" s="9"/>
      <c r="C82" s="9"/>
      <c r="D82" s="9"/>
      <c r="E82" s="9"/>
      <c r="F82" s="9"/>
      <c r="G82" s="9"/>
    </row>
    <row r="83" spans="1:7" x14ac:dyDescent="0.25">
      <c r="A83" s="9"/>
      <c r="B83" s="9"/>
      <c r="C83" s="9"/>
      <c r="D83" s="9"/>
      <c r="E83" s="9"/>
      <c r="F83" s="9"/>
      <c r="G83" s="9"/>
    </row>
    <row r="84" spans="1:7" x14ac:dyDescent="0.25">
      <c r="A84" s="9"/>
      <c r="B84" s="9"/>
      <c r="C84" s="9"/>
      <c r="D84" s="9"/>
      <c r="E84" s="9"/>
      <c r="F84" s="9"/>
      <c r="G84" s="9"/>
    </row>
    <row r="85" spans="1:7" x14ac:dyDescent="0.25">
      <c r="A85" s="9"/>
      <c r="B85" s="9"/>
      <c r="C85" s="9"/>
      <c r="D85" s="9"/>
      <c r="E85" s="9"/>
      <c r="F85" s="9"/>
      <c r="G85" s="9"/>
    </row>
    <row r="86" spans="1:7" x14ac:dyDescent="0.25">
      <c r="A86" s="9"/>
      <c r="B86" s="9"/>
      <c r="C86" s="9"/>
      <c r="D86" s="9"/>
      <c r="E86" s="9"/>
      <c r="F86" s="9"/>
      <c r="G86" s="9"/>
    </row>
    <row r="87" spans="1:7" x14ac:dyDescent="0.25">
      <c r="A87" s="9"/>
      <c r="B87" s="9"/>
      <c r="C87" s="9"/>
      <c r="D87" s="9"/>
      <c r="E87" s="9"/>
      <c r="F87" s="9"/>
      <c r="G87" s="9"/>
    </row>
    <row r="88" spans="1:7" x14ac:dyDescent="0.25">
      <c r="A88" t="s">
        <v>4</v>
      </c>
      <c r="B88" s="2">
        <v>0.1</v>
      </c>
      <c r="C88" t="s">
        <v>47</v>
      </c>
      <c r="D88">
        <v>4</v>
      </c>
    </row>
    <row r="89" spans="1:7" x14ac:dyDescent="0.25">
      <c r="D89">
        <v>5</v>
      </c>
    </row>
    <row r="91" spans="1:7" x14ac:dyDescent="0.25">
      <c r="A91" t="s">
        <v>99</v>
      </c>
      <c r="B91" s="11">
        <f>(1-(1+$B$88)^(-D88))/$B$88</f>
        <v>3.1698654463492946</v>
      </c>
      <c r="D91" t="s">
        <v>101</v>
      </c>
      <c r="E91">
        <f>((1+$B$88)^D88-1)/$B$88</f>
        <v>4.6410000000000036</v>
      </c>
    </row>
    <row r="92" spans="1:7" x14ac:dyDescent="0.25">
      <c r="A92" t="s">
        <v>100</v>
      </c>
      <c r="B92" s="11">
        <f>(1-(1+$B$88)^(-D89))/$B$88</f>
        <v>3.7907867694084505</v>
      </c>
      <c r="D92" t="s">
        <v>102</v>
      </c>
      <c r="E92">
        <f>((1+$B$88)^D89-1)/$B$88</f>
        <v>6.1051000000000055</v>
      </c>
    </row>
    <row r="93" spans="1:7" x14ac:dyDescent="0.25">
      <c r="B93">
        <f>1-B91/B92</f>
        <v>0.16379748079474543</v>
      </c>
      <c r="E93" s="8">
        <f>1-E91/E92</f>
        <v>0.23981589163158679</v>
      </c>
    </row>
    <row r="95" spans="1:7" x14ac:dyDescent="0.25">
      <c r="A95" s="9" t="s">
        <v>103</v>
      </c>
      <c r="B95" s="10"/>
      <c r="C95" s="10"/>
      <c r="D95" s="10"/>
      <c r="E95" s="10"/>
      <c r="F95" s="10"/>
      <c r="G95" s="10"/>
    </row>
    <row r="96" spans="1:7" x14ac:dyDescent="0.25">
      <c r="A96" s="10"/>
      <c r="B96" s="10"/>
      <c r="C96" s="10"/>
      <c r="D96" s="10"/>
      <c r="E96" s="10"/>
      <c r="F96" s="10"/>
      <c r="G96" s="10"/>
    </row>
    <row r="97" spans="1:7" x14ac:dyDescent="0.25">
      <c r="A97" s="10"/>
      <c r="B97" s="10"/>
      <c r="C97" s="10"/>
      <c r="D97" s="10"/>
      <c r="E97" s="10"/>
      <c r="F97" s="10"/>
      <c r="G97" s="10"/>
    </row>
    <row r="98" spans="1:7" x14ac:dyDescent="0.25">
      <c r="A98" s="10"/>
      <c r="B98" s="10"/>
      <c r="C98" s="10"/>
      <c r="D98" s="10"/>
      <c r="E98" s="10"/>
      <c r="F98" s="10"/>
      <c r="G98" s="10"/>
    </row>
    <row r="99" spans="1:7" x14ac:dyDescent="0.25">
      <c r="A99" s="10"/>
      <c r="B99" s="10"/>
      <c r="C99" s="10"/>
      <c r="D99" s="10"/>
      <c r="E99" s="10"/>
      <c r="F99" s="10"/>
      <c r="G99" s="10"/>
    </row>
    <row r="100" spans="1:7" x14ac:dyDescent="0.25">
      <c r="A100" t="s">
        <v>46</v>
      </c>
      <c r="B100">
        <v>1000</v>
      </c>
    </row>
    <row r="101" spans="1:7" x14ac:dyDescent="0.25">
      <c r="A101" t="s">
        <v>4</v>
      </c>
      <c r="B101" s="2">
        <v>0.08</v>
      </c>
    </row>
    <row r="102" spans="1:7" x14ac:dyDescent="0.25">
      <c r="A102" t="s">
        <v>47</v>
      </c>
      <c r="B102">
        <v>4</v>
      </c>
    </row>
    <row r="103" spans="1:7" x14ac:dyDescent="0.25">
      <c r="A103" t="s">
        <v>48</v>
      </c>
      <c r="B103">
        <f>B100*(1-(1+B101)^-B102)/B101</f>
        <v>3312.1268400443341</v>
      </c>
    </row>
    <row r="105" spans="1:7" ht="15" customHeight="1" x14ac:dyDescent="0.25">
      <c r="A105" s="9" t="s">
        <v>104</v>
      </c>
      <c r="B105" s="9"/>
      <c r="C105" s="9"/>
      <c r="D105" s="9"/>
      <c r="E105" s="9"/>
      <c r="F105" s="9"/>
      <c r="G105" s="9"/>
    </row>
    <row r="106" spans="1:7" x14ac:dyDescent="0.25">
      <c r="A106" s="9"/>
      <c r="B106" s="9"/>
      <c r="C106" s="9"/>
      <c r="D106" s="9"/>
      <c r="E106" s="9"/>
      <c r="F106" s="9"/>
      <c r="G106" s="9"/>
    </row>
    <row r="107" spans="1:7" x14ac:dyDescent="0.25">
      <c r="A107" s="9"/>
      <c r="B107" s="9"/>
      <c r="C107" s="9"/>
      <c r="D107" s="9"/>
      <c r="E107" s="9"/>
      <c r="F107" s="9"/>
      <c r="G107" s="9"/>
    </row>
    <row r="108" spans="1:7" x14ac:dyDescent="0.25">
      <c r="A108" s="9"/>
      <c r="B108" s="9"/>
      <c r="C108" s="9"/>
      <c r="D108" s="9"/>
      <c r="E108" s="9"/>
      <c r="F108" s="9"/>
      <c r="G108" s="9"/>
    </row>
    <row r="109" spans="1:7" x14ac:dyDescent="0.25">
      <c r="A109" s="9"/>
      <c r="B109" s="9"/>
      <c r="C109" s="9"/>
      <c r="D109" s="9"/>
      <c r="E109" s="9"/>
      <c r="F109" s="9"/>
      <c r="G109" s="9"/>
    </row>
    <row r="110" spans="1:7" x14ac:dyDescent="0.25">
      <c r="A110" s="9"/>
      <c r="B110" s="9"/>
      <c r="C110" s="9"/>
      <c r="D110" s="9"/>
      <c r="E110" s="9"/>
      <c r="F110" s="9"/>
      <c r="G110" s="9"/>
    </row>
    <row r="111" spans="1:7" x14ac:dyDescent="0.25">
      <c r="A111" s="9"/>
      <c r="B111" s="9"/>
      <c r="C111" s="9"/>
      <c r="D111" s="9"/>
      <c r="E111" s="9"/>
      <c r="F111" s="9"/>
      <c r="G111" s="9"/>
    </row>
    <row r="112" spans="1:7" x14ac:dyDescent="0.25">
      <c r="A112" s="9"/>
      <c r="B112" s="9"/>
      <c r="C112" s="9"/>
      <c r="D112" s="9"/>
      <c r="E112" s="9"/>
      <c r="F112" s="9"/>
      <c r="G112" s="9"/>
    </row>
    <row r="113" spans="1:7" x14ac:dyDescent="0.25">
      <c r="A113" s="9"/>
      <c r="B113" s="9"/>
      <c r="C113" s="9"/>
      <c r="D113" s="9"/>
      <c r="E113" s="9"/>
      <c r="F113" s="9"/>
      <c r="G113" s="9"/>
    </row>
    <row r="114" spans="1:7" x14ac:dyDescent="0.25">
      <c r="A114" s="9"/>
      <c r="B114" s="9"/>
      <c r="C114" s="9"/>
      <c r="D114" s="9"/>
      <c r="E114" s="9"/>
      <c r="F114" s="9"/>
      <c r="G114" s="9"/>
    </row>
    <row r="115" spans="1:7" x14ac:dyDescent="0.25">
      <c r="A115" t="s">
        <v>51</v>
      </c>
      <c r="B115">
        <v>6</v>
      </c>
    </row>
    <row r="116" spans="1:7" x14ac:dyDescent="0.25">
      <c r="A116" t="s">
        <v>54</v>
      </c>
      <c r="B116">
        <v>10000000</v>
      </c>
    </row>
    <row r="117" spans="1:7" x14ac:dyDescent="0.25">
      <c r="A117" t="s">
        <v>52</v>
      </c>
      <c r="B117">
        <v>4</v>
      </c>
    </row>
    <row r="118" spans="1:7" x14ac:dyDescent="0.25">
      <c r="A118" t="s">
        <v>55</v>
      </c>
      <c r="B118">
        <v>11000000</v>
      </c>
    </row>
    <row r="119" spans="1:7" x14ac:dyDescent="0.25">
      <c r="A119" t="s">
        <v>4</v>
      </c>
      <c r="B119" s="2">
        <v>0.15</v>
      </c>
    </row>
    <row r="120" spans="1:7" x14ac:dyDescent="0.25">
      <c r="A120" t="s">
        <v>106</v>
      </c>
      <c r="B120">
        <f>B116*(1-(1+B119)^-B115)/B119</f>
        <v>37844826.93922957</v>
      </c>
    </row>
    <row r="121" spans="1:7" x14ac:dyDescent="0.25">
      <c r="A121" t="s">
        <v>105</v>
      </c>
      <c r="B121">
        <f>B118*(1-(1+B119)^-B117)/B119*(1+B119)^-B115</f>
        <v>13577145.251243979</v>
      </c>
    </row>
    <row r="122" spans="1:7" x14ac:dyDescent="0.25">
      <c r="A122" t="s">
        <v>49</v>
      </c>
      <c r="B122" s="13">
        <f>B120+B121</f>
        <v>51421972.190473549</v>
      </c>
    </row>
    <row r="124" spans="1:7" ht="15" customHeight="1" x14ac:dyDescent="0.25">
      <c r="A124" s="9" t="s">
        <v>108</v>
      </c>
      <c r="B124" s="9"/>
      <c r="C124" s="9"/>
      <c r="D124" s="9"/>
      <c r="E124" s="9"/>
      <c r="F124" s="9"/>
      <c r="G124" s="9"/>
    </row>
    <row r="125" spans="1:7" x14ac:dyDescent="0.25">
      <c r="A125" s="9"/>
      <c r="B125" s="9"/>
      <c r="C125" s="9"/>
      <c r="D125" s="9"/>
      <c r="E125" s="9"/>
      <c r="F125" s="9"/>
      <c r="G125" s="9"/>
    </row>
    <row r="126" spans="1:7" x14ac:dyDescent="0.25">
      <c r="A126" s="9"/>
      <c r="B126" s="9"/>
      <c r="C126" s="9"/>
      <c r="D126" s="9"/>
      <c r="E126" s="9"/>
      <c r="F126" s="9"/>
      <c r="G126" s="9"/>
    </row>
    <row r="127" spans="1:7" x14ac:dyDescent="0.25">
      <c r="A127" s="9"/>
      <c r="B127" s="9"/>
      <c r="C127" s="9"/>
      <c r="D127" s="9"/>
      <c r="E127" s="9"/>
      <c r="F127" s="9"/>
      <c r="G127" s="9"/>
    </row>
    <row r="128" spans="1:7" x14ac:dyDescent="0.25">
      <c r="A128" s="9"/>
      <c r="B128" s="9"/>
      <c r="C128" s="9"/>
      <c r="D128" s="9"/>
      <c r="E128" s="9"/>
      <c r="F128" s="9"/>
      <c r="G128" s="9"/>
    </row>
    <row r="129" spans="1:7" x14ac:dyDescent="0.25">
      <c r="A129" s="9"/>
      <c r="B129" s="9"/>
      <c r="C129" s="9"/>
      <c r="D129" s="9"/>
      <c r="E129" s="9"/>
      <c r="F129" s="9"/>
      <c r="G129" s="9"/>
    </row>
    <row r="130" spans="1:7" x14ac:dyDescent="0.25">
      <c r="A130" s="9"/>
      <c r="B130" s="9"/>
      <c r="C130" s="9"/>
      <c r="D130" s="9"/>
      <c r="E130" s="9"/>
      <c r="F130" s="9"/>
      <c r="G130" s="9"/>
    </row>
    <row r="131" spans="1:7" x14ac:dyDescent="0.25">
      <c r="A131" s="9"/>
      <c r="B131" s="9"/>
      <c r="C131" s="9"/>
      <c r="D131" s="9"/>
      <c r="E131" s="9"/>
      <c r="F131" s="9"/>
      <c r="G131" s="9"/>
    </row>
    <row r="132" spans="1:7" x14ac:dyDescent="0.25">
      <c r="A132" s="9"/>
      <c r="B132" s="9"/>
      <c r="C132" s="9"/>
      <c r="D132" s="9"/>
      <c r="E132" s="9"/>
      <c r="F132" s="9"/>
      <c r="G132" s="9"/>
    </row>
    <row r="133" spans="1:7" x14ac:dyDescent="0.25">
      <c r="A133" s="9"/>
      <c r="B133" s="9"/>
      <c r="C133" s="9"/>
      <c r="D133" s="9"/>
      <c r="E133" s="9"/>
      <c r="F133" s="9"/>
      <c r="G133" s="9"/>
    </row>
    <row r="134" spans="1:7" x14ac:dyDescent="0.25">
      <c r="A134" s="9"/>
      <c r="B134" s="9"/>
      <c r="C134" s="9"/>
      <c r="D134" s="9"/>
      <c r="E134" s="9"/>
      <c r="F134" s="9"/>
      <c r="G134" s="9"/>
    </row>
    <row r="135" spans="1:7" x14ac:dyDescent="0.25">
      <c r="A135" s="9"/>
      <c r="B135" s="9"/>
      <c r="C135" s="9"/>
      <c r="D135" s="9"/>
      <c r="E135" s="9"/>
      <c r="F135" s="9"/>
      <c r="G135" s="9"/>
    </row>
    <row r="136" spans="1:7" x14ac:dyDescent="0.25">
      <c r="A136" t="s">
        <v>47</v>
      </c>
      <c r="B136">
        <v>3</v>
      </c>
    </row>
    <row r="137" spans="1:7" x14ac:dyDescent="0.25">
      <c r="A137" t="s">
        <v>46</v>
      </c>
      <c r="B137">
        <v>2000</v>
      </c>
    </row>
    <row r="138" spans="1:7" x14ac:dyDescent="0.25">
      <c r="A138" s="12" t="s">
        <v>107</v>
      </c>
      <c r="B138">
        <v>6000</v>
      </c>
    </row>
    <row r="139" spans="1:7" x14ac:dyDescent="0.25">
      <c r="A139" t="s">
        <v>4</v>
      </c>
      <c r="B139" s="2">
        <v>0.08</v>
      </c>
    </row>
    <row r="140" spans="1:7" x14ac:dyDescent="0.25">
      <c r="A140" t="s">
        <v>49</v>
      </c>
      <c r="B140">
        <f>B137*(1-(1+B139)^-B136)/B139+B138*(1+B139)^-B136</f>
        <v>9917.1874206167777</v>
      </c>
    </row>
    <row r="143" spans="1:7" x14ac:dyDescent="0.25">
      <c r="A143" s="9" t="s">
        <v>109</v>
      </c>
      <c r="B143" s="9"/>
      <c r="C143" s="9"/>
      <c r="D143" s="9"/>
      <c r="E143" s="9"/>
      <c r="F143" s="9"/>
      <c r="G143" s="9"/>
    </row>
    <row r="144" spans="1:7" x14ac:dyDescent="0.25">
      <c r="A144" s="9"/>
      <c r="B144" s="9"/>
      <c r="C144" s="9"/>
      <c r="D144" s="9"/>
      <c r="E144" s="9"/>
      <c r="F144" s="9"/>
      <c r="G144" s="9"/>
    </row>
    <row r="145" spans="1:7" x14ac:dyDescent="0.25">
      <c r="A145" s="9"/>
      <c r="B145" s="9"/>
      <c r="C145" s="9"/>
      <c r="D145" s="9"/>
      <c r="E145" s="9"/>
      <c r="F145" s="9"/>
      <c r="G145" s="9"/>
    </row>
    <row r="146" spans="1:7" x14ac:dyDescent="0.25">
      <c r="A146" s="9"/>
      <c r="B146" s="9"/>
      <c r="C146" s="9"/>
      <c r="D146" s="9"/>
      <c r="E146" s="9"/>
      <c r="F146" s="9"/>
      <c r="G146" s="9"/>
    </row>
    <row r="147" spans="1:7" x14ac:dyDescent="0.25">
      <c r="A147" s="9"/>
      <c r="B147" s="9"/>
      <c r="C147" s="9"/>
      <c r="D147" s="9"/>
      <c r="E147" s="9"/>
      <c r="F147" s="9"/>
      <c r="G147" s="9"/>
    </row>
    <row r="148" spans="1:7" x14ac:dyDescent="0.25">
      <c r="A148" s="9"/>
      <c r="B148" s="9"/>
      <c r="C148" s="9"/>
      <c r="D148" s="9"/>
      <c r="E148" s="9"/>
      <c r="F148" s="9"/>
      <c r="G148" s="9"/>
    </row>
    <row r="149" spans="1:7" x14ac:dyDescent="0.25">
      <c r="A149" s="9"/>
      <c r="B149" s="9"/>
      <c r="C149" s="9"/>
      <c r="D149" s="9"/>
      <c r="E149" s="9"/>
      <c r="F149" s="9"/>
      <c r="G149" s="9"/>
    </row>
    <row r="150" spans="1:7" x14ac:dyDescent="0.25">
      <c r="A150" s="9"/>
      <c r="B150" s="9"/>
      <c r="C150" s="9"/>
      <c r="D150" s="9"/>
      <c r="E150" s="9"/>
      <c r="F150" s="9"/>
      <c r="G150" s="9"/>
    </row>
    <row r="151" spans="1:7" x14ac:dyDescent="0.25">
      <c r="A151" t="s">
        <v>46</v>
      </c>
      <c r="B151">
        <v>100</v>
      </c>
    </row>
    <row r="152" spans="1:7" x14ac:dyDescent="0.25">
      <c r="A152" t="s">
        <v>110</v>
      </c>
      <c r="B152" s="2">
        <v>0.05</v>
      </c>
    </row>
    <row r="153" spans="1:7" x14ac:dyDescent="0.25">
      <c r="A153" t="s">
        <v>47</v>
      </c>
      <c r="B153">
        <f>12*2</f>
        <v>24</v>
      </c>
    </row>
    <row r="154" spans="1:7" x14ac:dyDescent="0.25">
      <c r="A154" t="s">
        <v>70</v>
      </c>
      <c r="B154">
        <f>100*((1+B152)^B153-1)/B152</f>
        <v>4450.1998874274004</v>
      </c>
    </row>
    <row r="156" spans="1:7" x14ac:dyDescent="0.25">
      <c r="A156" s="9" t="s">
        <v>111</v>
      </c>
      <c r="B156" s="9"/>
      <c r="C156" s="9"/>
      <c r="D156" s="9"/>
      <c r="E156" s="9"/>
      <c r="F156" s="9"/>
      <c r="G156" s="9"/>
    </row>
    <row r="157" spans="1:7" x14ac:dyDescent="0.25">
      <c r="A157" s="9"/>
      <c r="B157" s="9"/>
      <c r="C157" s="9"/>
      <c r="D157" s="9"/>
      <c r="E157" s="9"/>
      <c r="F157" s="9"/>
      <c r="G157" s="9"/>
    </row>
    <row r="158" spans="1:7" x14ac:dyDescent="0.25">
      <c r="A158" s="9"/>
      <c r="B158" s="9"/>
      <c r="C158" s="9"/>
      <c r="D158" s="9"/>
      <c r="E158" s="9"/>
      <c r="F158" s="9"/>
      <c r="G158" s="9"/>
    </row>
    <row r="159" spans="1:7" x14ac:dyDescent="0.25">
      <c r="A159" s="9"/>
      <c r="B159" s="9"/>
      <c r="C159" s="9"/>
      <c r="D159" s="9"/>
      <c r="E159" s="9"/>
      <c r="F159" s="9"/>
      <c r="G159" s="9"/>
    </row>
    <row r="160" spans="1:7" x14ac:dyDescent="0.25">
      <c r="A160" s="9"/>
      <c r="B160" s="9"/>
      <c r="C160" s="9"/>
      <c r="D160" s="9"/>
      <c r="E160" s="9"/>
      <c r="F160" s="9"/>
      <c r="G160" s="9"/>
    </row>
    <row r="161" spans="1:7" x14ac:dyDescent="0.25">
      <c r="A161" s="9"/>
      <c r="B161" s="9"/>
      <c r="C161" s="9"/>
      <c r="D161" s="9"/>
      <c r="E161" s="9"/>
      <c r="F161" s="9"/>
      <c r="G161" s="9"/>
    </row>
    <row r="162" spans="1:7" x14ac:dyDescent="0.25">
      <c r="A162" s="6" t="s">
        <v>68</v>
      </c>
      <c r="B162" s="6">
        <v>12</v>
      </c>
      <c r="C162" s="6"/>
      <c r="D162" s="6"/>
      <c r="E162" s="6"/>
      <c r="F162" s="6"/>
      <c r="G162" s="6"/>
    </row>
    <row r="163" spans="1:7" x14ac:dyDescent="0.25">
      <c r="A163" s="6" t="s">
        <v>116</v>
      </c>
      <c r="B163" s="6">
        <v>12</v>
      </c>
      <c r="C163" s="6"/>
      <c r="D163" s="6"/>
      <c r="E163" s="6"/>
      <c r="F163" s="6"/>
      <c r="G163" s="6"/>
    </row>
    <row r="164" spans="1:7" x14ac:dyDescent="0.25">
      <c r="A164" s="14" t="s">
        <v>118</v>
      </c>
      <c r="B164" s="6"/>
      <c r="C164" s="6"/>
      <c r="D164" s="6"/>
      <c r="E164" s="6"/>
      <c r="F164" s="6"/>
      <c r="G164" s="6"/>
    </row>
    <row r="165" spans="1:7" x14ac:dyDescent="0.25">
      <c r="A165" s="6" t="s">
        <v>117</v>
      </c>
      <c r="B165" s="6"/>
      <c r="C165" s="6"/>
      <c r="D165" s="6"/>
      <c r="E165" s="6"/>
      <c r="F165" s="6"/>
      <c r="G165" s="6"/>
    </row>
    <row r="166" spans="1:7" x14ac:dyDescent="0.25">
      <c r="A166" t="s">
        <v>114</v>
      </c>
    </row>
    <row r="167" spans="1:7" x14ac:dyDescent="0.25">
      <c r="A167" t="s">
        <v>115</v>
      </c>
    </row>
    <row r="168" spans="1:7" x14ac:dyDescent="0.25">
      <c r="A168" t="s">
        <v>112</v>
      </c>
    </row>
    <row r="169" spans="1:7" x14ac:dyDescent="0.25">
      <c r="A169" t="s">
        <v>113</v>
      </c>
    </row>
    <row r="170" spans="1:7" x14ac:dyDescent="0.25">
      <c r="A170" t="s">
        <v>4</v>
      </c>
      <c r="B170" s="3">
        <f>0.0234*12</f>
        <v>0.28079999999999999</v>
      </c>
    </row>
    <row r="172" spans="1:7" x14ac:dyDescent="0.25">
      <c r="A172" s="9" t="s">
        <v>119</v>
      </c>
      <c r="B172" s="9"/>
      <c r="C172" s="9"/>
      <c r="D172" s="9"/>
      <c r="E172" s="9"/>
      <c r="F172" s="9"/>
      <c r="G172" s="9"/>
    </row>
    <row r="173" spans="1:7" x14ac:dyDescent="0.25">
      <c r="A173" s="9"/>
      <c r="B173" s="9"/>
      <c r="C173" s="9"/>
      <c r="D173" s="9"/>
      <c r="E173" s="9"/>
      <c r="F173" s="9"/>
      <c r="G173" s="9"/>
    </row>
    <row r="174" spans="1:7" x14ac:dyDescent="0.25">
      <c r="A174" s="9"/>
      <c r="B174" s="9"/>
      <c r="C174" s="9"/>
      <c r="D174" s="9"/>
      <c r="E174" s="9"/>
      <c r="F174" s="9"/>
      <c r="G174" s="9"/>
    </row>
    <row r="175" spans="1:7" x14ac:dyDescent="0.25">
      <c r="A175" s="9"/>
      <c r="B175" s="9"/>
      <c r="C175" s="9"/>
      <c r="D175" s="9"/>
      <c r="E175" s="9"/>
      <c r="F175" s="9"/>
      <c r="G175" s="9"/>
    </row>
    <row r="176" spans="1:7" x14ac:dyDescent="0.25">
      <c r="A176" t="s">
        <v>49</v>
      </c>
      <c r="B176">
        <v>12000</v>
      </c>
    </row>
    <row r="177" spans="1:7" x14ac:dyDescent="0.25">
      <c r="A177" t="s">
        <v>47</v>
      </c>
      <c r="B177">
        <v>6</v>
      </c>
    </row>
    <row r="178" spans="1:7" x14ac:dyDescent="0.25">
      <c r="A178" t="s">
        <v>4</v>
      </c>
      <c r="B178" s="2">
        <v>0.09</v>
      </c>
    </row>
    <row r="179" spans="1:7" x14ac:dyDescent="0.25">
      <c r="A179" t="s">
        <v>46</v>
      </c>
      <c r="B179">
        <f>B176*B178/(1-(1+B178)^-B177)</f>
        <v>2675.0373995044433</v>
      </c>
    </row>
    <row r="181" spans="1:7" x14ac:dyDescent="0.25">
      <c r="A181" s="9" t="s">
        <v>120</v>
      </c>
      <c r="B181" s="9"/>
      <c r="C181" s="9"/>
      <c r="D181" s="9"/>
      <c r="E181" s="9"/>
      <c r="F181" s="9"/>
      <c r="G181" s="9"/>
    </row>
    <row r="182" spans="1:7" x14ac:dyDescent="0.25">
      <c r="A182" s="9"/>
      <c r="B182" s="9"/>
      <c r="C182" s="9"/>
      <c r="D182" s="9"/>
      <c r="E182" s="9"/>
      <c r="F182" s="9"/>
      <c r="G182" s="9"/>
    </row>
    <row r="183" spans="1:7" x14ac:dyDescent="0.25">
      <c r="A183" s="9"/>
      <c r="B183" s="9"/>
      <c r="C183" s="9"/>
      <c r="D183" s="9"/>
      <c r="E183" s="9"/>
      <c r="F183" s="9"/>
      <c r="G183" s="9"/>
    </row>
    <row r="184" spans="1:7" x14ac:dyDescent="0.25">
      <c r="A184" s="9"/>
      <c r="B184" s="9"/>
      <c r="C184" s="9"/>
      <c r="D184" s="9"/>
      <c r="E184" s="9"/>
      <c r="F184" s="9"/>
      <c r="G184" s="9"/>
    </row>
    <row r="185" spans="1:7" x14ac:dyDescent="0.25">
      <c r="A185" s="9"/>
      <c r="B185" s="9"/>
      <c r="C185" s="9"/>
      <c r="D185" s="9"/>
      <c r="E185" s="9"/>
      <c r="F185" s="9"/>
      <c r="G185" s="9"/>
    </row>
    <row r="186" spans="1:7" x14ac:dyDescent="0.25">
      <c r="A186" t="s">
        <v>48</v>
      </c>
      <c r="B186">
        <v>10000</v>
      </c>
    </row>
    <row r="187" spans="1:7" x14ac:dyDescent="0.25">
      <c r="A187" t="s">
        <v>4</v>
      </c>
      <c r="B187" s="2">
        <v>0.02</v>
      </c>
    </row>
    <row r="188" spans="1:7" x14ac:dyDescent="0.25">
      <c r="A188" t="s">
        <v>46</v>
      </c>
      <c r="B188">
        <f>16%*10000</f>
        <v>1600</v>
      </c>
    </row>
    <row r="189" spans="1:7" x14ac:dyDescent="0.25">
      <c r="A189" t="s">
        <v>123</v>
      </c>
    </row>
    <row r="190" spans="1:7" x14ac:dyDescent="0.25">
      <c r="A190">
        <f>(10000*(1+2%)^5*2%/1600-1)*(-1)</f>
        <v>0.86198989959999994</v>
      </c>
      <c r="B190" s="15" t="s">
        <v>121</v>
      </c>
    </row>
    <row r="191" spans="1:7" x14ac:dyDescent="0.25">
      <c r="A191" t="s">
        <v>122</v>
      </c>
      <c r="B191">
        <f>1/A190</f>
        <v>1.1601064008569504</v>
      </c>
    </row>
    <row r="192" spans="1:7" x14ac:dyDescent="0.25">
      <c r="A192" t="s">
        <v>47</v>
      </c>
      <c r="B192">
        <f>LOG(B191,1.02)</f>
        <v>7.4995970770573388</v>
      </c>
    </row>
    <row r="194" spans="1:7" x14ac:dyDescent="0.25">
      <c r="A194" s="9" t="s">
        <v>124</v>
      </c>
      <c r="B194" s="9"/>
      <c r="C194" s="9"/>
      <c r="D194" s="9"/>
      <c r="E194" s="9"/>
      <c r="F194" s="9"/>
      <c r="G194" s="9"/>
    </row>
    <row r="195" spans="1:7" x14ac:dyDescent="0.25">
      <c r="A195" s="9"/>
      <c r="B195" s="9"/>
      <c r="C195" s="9"/>
      <c r="D195" s="9"/>
      <c r="E195" s="9"/>
      <c r="F195" s="9"/>
      <c r="G195" s="9"/>
    </row>
    <row r="196" spans="1:7" x14ac:dyDescent="0.25">
      <c r="A196" s="9"/>
      <c r="B196" s="9"/>
      <c r="C196" s="9"/>
      <c r="D196" s="9"/>
      <c r="E196" s="9"/>
      <c r="F196" s="9"/>
      <c r="G196" s="9"/>
    </row>
    <row r="197" spans="1:7" x14ac:dyDescent="0.25">
      <c r="A197" s="9"/>
      <c r="B197" s="9"/>
      <c r="C197" s="9"/>
      <c r="D197" s="9"/>
      <c r="E197" s="9"/>
      <c r="F197" s="9"/>
      <c r="G197" s="9"/>
    </row>
    <row r="198" spans="1:7" x14ac:dyDescent="0.25">
      <c r="A198" s="9"/>
      <c r="B198" s="9"/>
      <c r="C198" s="9"/>
      <c r="D198" s="9"/>
      <c r="E198" s="9"/>
      <c r="F198" s="9"/>
      <c r="G198" s="9"/>
    </row>
    <row r="199" spans="1:7" x14ac:dyDescent="0.25">
      <c r="A199" s="9"/>
      <c r="B199" s="9"/>
      <c r="C199" s="9"/>
      <c r="D199" s="9"/>
      <c r="E199" s="9"/>
      <c r="F199" s="9"/>
      <c r="G199" s="9"/>
    </row>
    <row r="200" spans="1:7" x14ac:dyDescent="0.25">
      <c r="A200" s="9"/>
      <c r="B200" s="9"/>
      <c r="C200" s="9"/>
      <c r="D200" s="9"/>
      <c r="E200" s="9"/>
      <c r="F200" s="9"/>
      <c r="G200" s="9"/>
    </row>
    <row r="201" spans="1:7" x14ac:dyDescent="0.25">
      <c r="A201" s="9"/>
      <c r="B201" s="9"/>
      <c r="C201" s="9"/>
      <c r="D201" s="9"/>
      <c r="E201" s="9"/>
      <c r="F201" s="9"/>
      <c r="G201" s="9"/>
    </row>
    <row r="202" spans="1:7" x14ac:dyDescent="0.25">
      <c r="A202" s="9"/>
      <c r="B202" s="9"/>
      <c r="C202" s="9"/>
      <c r="D202" s="9"/>
      <c r="E202" s="9"/>
      <c r="F202" s="9"/>
      <c r="G202" s="9"/>
    </row>
    <row r="203" spans="1:7" x14ac:dyDescent="0.25">
      <c r="A203" s="9"/>
      <c r="B203" s="9"/>
      <c r="C203" s="9"/>
      <c r="D203" s="9"/>
      <c r="E203" s="9"/>
      <c r="F203" s="9"/>
      <c r="G203" s="9"/>
    </row>
    <row r="204" spans="1:7" x14ac:dyDescent="0.25">
      <c r="A204" s="9"/>
      <c r="B204" s="9"/>
      <c r="C204" s="9"/>
      <c r="D204" s="9"/>
      <c r="E204" s="9"/>
      <c r="F204" s="9"/>
      <c r="G204" s="9"/>
    </row>
    <row r="205" spans="1:7" x14ac:dyDescent="0.25">
      <c r="A205" s="9"/>
      <c r="B205" s="9"/>
      <c r="C205" s="9"/>
      <c r="D205" s="9"/>
      <c r="E205" s="9"/>
      <c r="F205" s="9"/>
      <c r="G205" s="9"/>
    </row>
    <row r="206" spans="1:7" x14ac:dyDescent="0.25">
      <c r="A206" s="9"/>
      <c r="B206" s="9"/>
      <c r="C206" s="9"/>
      <c r="D206" s="9"/>
      <c r="E206" s="9"/>
      <c r="F206" s="9"/>
      <c r="G206" s="9"/>
    </row>
    <row r="207" spans="1:7" x14ac:dyDescent="0.25">
      <c r="A207" s="9"/>
      <c r="B207" s="9"/>
      <c r="C207" s="9"/>
      <c r="D207" s="9"/>
      <c r="E207" s="9"/>
      <c r="F207" s="9"/>
      <c r="G207" s="9"/>
    </row>
    <row r="208" spans="1:7" x14ac:dyDescent="0.25">
      <c r="A208" t="s">
        <v>125</v>
      </c>
      <c r="B208" t="s">
        <v>46</v>
      </c>
      <c r="C208">
        <v>50</v>
      </c>
    </row>
    <row r="209" spans="1:3" x14ac:dyDescent="0.25">
      <c r="B209" t="s">
        <v>4</v>
      </c>
      <c r="C209" s="4">
        <v>0.126</v>
      </c>
    </row>
    <row r="210" spans="1:3" x14ac:dyDescent="0.25">
      <c r="B210" t="s">
        <v>126</v>
      </c>
    </row>
    <row r="211" spans="1:3" x14ac:dyDescent="0.25">
      <c r="B211" t="s">
        <v>49</v>
      </c>
      <c r="C211">
        <v>200</v>
      </c>
    </row>
    <row r="212" spans="1:3" x14ac:dyDescent="0.25">
      <c r="B212" t="s">
        <v>127</v>
      </c>
    </row>
    <row r="213" spans="1:3" x14ac:dyDescent="0.25">
      <c r="B213">
        <f>((200*12.6%/50-1)*-1)^-1</f>
        <v>2.0161290322580645</v>
      </c>
      <c r="C213" s="15" t="s">
        <v>128</v>
      </c>
    </row>
    <row r="214" spans="1:3" x14ac:dyDescent="0.25">
      <c r="B214" t="s">
        <v>47</v>
      </c>
      <c r="C214">
        <f>LOG(B213,1.126)</f>
        <v>5.9085726283834878</v>
      </c>
    </row>
    <row r="215" spans="1:3" x14ac:dyDescent="0.25">
      <c r="B215" t="s">
        <v>129</v>
      </c>
    </row>
    <row r="217" spans="1:3" x14ac:dyDescent="0.25">
      <c r="A217" t="s">
        <v>130</v>
      </c>
      <c r="B217" t="s">
        <v>49</v>
      </c>
      <c r="C217">
        <v>200</v>
      </c>
    </row>
    <row r="218" spans="1:3" x14ac:dyDescent="0.25">
      <c r="B218" t="s">
        <v>47</v>
      </c>
      <c r="C218">
        <v>4</v>
      </c>
    </row>
    <row r="219" spans="1:3" x14ac:dyDescent="0.25">
      <c r="B219" t="s">
        <v>4</v>
      </c>
      <c r="C219" s="4">
        <v>0.126</v>
      </c>
    </row>
    <row r="220" spans="1:3" x14ac:dyDescent="0.25">
      <c r="B220" t="s">
        <v>46</v>
      </c>
      <c r="C220">
        <f>C217*C219/(1-(1+C219)^-C218)</f>
        <v>66.680829302061838</v>
      </c>
    </row>
  </sheetData>
  <mergeCells count="14">
    <mergeCell ref="A181:G185"/>
    <mergeCell ref="A194:G207"/>
    <mergeCell ref="A124:G135"/>
    <mergeCell ref="A143:G150"/>
    <mergeCell ref="A156:G161"/>
    <mergeCell ref="A172:G175"/>
    <mergeCell ref="A82:G87"/>
    <mergeCell ref="A95:G99"/>
    <mergeCell ref="A105:G114"/>
    <mergeCell ref="A15:F18"/>
    <mergeCell ref="A27:F30"/>
    <mergeCell ref="A39:F42"/>
    <mergeCell ref="A53:G60"/>
    <mergeCell ref="A68:G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Шамраева Виктория Викторовна</dc:creator>
  <cp:lastModifiedBy>Nikita</cp:lastModifiedBy>
  <dcterms:created xsi:type="dcterms:W3CDTF">2022-10-25T07:11:32Z</dcterms:created>
  <dcterms:modified xsi:type="dcterms:W3CDTF">2022-11-07T09:29:35Z</dcterms:modified>
</cp:coreProperties>
</file>