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13_ncr:1_{D7BF699E-35AB-4D93-A44F-384BA1631CBE}" xr6:coauthVersionLast="47" xr6:coauthVersionMax="47" xr10:uidLastSave="{00000000-0000-0000-0000-000000000000}"/>
  <bookViews>
    <workbookView xWindow="17595" yWindow="1395" windowWidth="28770" windowHeight="15570" xr2:uid="{FC35329D-C5F6-473E-A75B-4ED6939DADC2}"/>
  </bookViews>
  <sheets>
    <sheet name="Лист2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2" i="2" l="1"/>
  <c r="B250" i="2"/>
  <c r="C250" i="2"/>
  <c r="D250" i="2"/>
  <c r="E250" i="2"/>
  <c r="H250" i="2" s="1"/>
  <c r="B263" i="2"/>
  <c r="C305" i="2"/>
  <c r="B309" i="2" l="1"/>
  <c r="B308" i="2"/>
  <c r="C196" i="2"/>
  <c r="B307" i="2" l="1"/>
  <c r="B311" i="2" s="1"/>
  <c r="C314" i="2" s="1"/>
  <c r="C214" i="2" l="1"/>
  <c r="C213" i="2"/>
  <c r="C216" i="2" s="1"/>
  <c r="C212" i="2"/>
  <c r="C215" i="2" s="1"/>
  <c r="C219" i="2" s="1"/>
  <c r="C242" i="2"/>
  <c r="N155" i="2"/>
  <c r="M146" i="2"/>
  <c r="M149" i="2" s="1"/>
  <c r="D152" i="2"/>
  <c r="N148" i="2" s="1"/>
  <c r="K119" i="2"/>
  <c r="K120" i="2"/>
  <c r="K118" i="2"/>
  <c r="J120" i="2"/>
  <c r="J124" i="2" s="1"/>
  <c r="I119" i="2"/>
  <c r="I123" i="2" s="1"/>
  <c r="I120" i="2"/>
  <c r="I124" i="2" s="1"/>
  <c r="I118" i="2"/>
  <c r="I122" i="2" s="1"/>
  <c r="H123" i="2"/>
  <c r="E124" i="2"/>
  <c r="F124" i="2"/>
  <c r="G124" i="2"/>
  <c r="D124" i="2"/>
  <c r="D123" i="2"/>
  <c r="J119" i="2" s="1"/>
  <c r="J123" i="2" s="1"/>
  <c r="B283" i="2"/>
  <c r="B282" i="2"/>
  <c r="B249" i="2"/>
  <c r="B248" i="2"/>
  <c r="C243" i="2"/>
  <c r="C197" i="2"/>
  <c r="C194" i="2"/>
  <c r="C193" i="2"/>
  <c r="C192" i="2"/>
  <c r="D174" i="2"/>
  <c r="D173" i="2"/>
  <c r="E155" i="2"/>
  <c r="G155" i="2"/>
  <c r="F155" i="2"/>
  <c r="H155" i="2"/>
  <c r="D155" i="2"/>
  <c r="D153" i="2"/>
  <c r="H153" i="2"/>
  <c r="E153" i="2"/>
  <c r="F153" i="2"/>
  <c r="G153" i="2"/>
  <c r="C98" i="2"/>
  <c r="C99" i="2"/>
  <c r="G81" i="2"/>
  <c r="F81" i="2"/>
  <c r="E81" i="2"/>
  <c r="D81" i="2"/>
  <c r="C81" i="2"/>
  <c r="C80" i="2"/>
  <c r="D63" i="2"/>
  <c r="E63" i="2"/>
  <c r="F63" i="2"/>
  <c r="C63" i="2"/>
  <c r="C62" i="2"/>
  <c r="C46" i="2"/>
  <c r="C45" i="2"/>
  <c r="C34" i="2"/>
  <c r="C33" i="2"/>
  <c r="C22" i="2"/>
  <c r="C21" i="2"/>
  <c r="C10" i="2"/>
  <c r="C9" i="2"/>
  <c r="C221" i="2" l="1"/>
  <c r="M157" i="2"/>
  <c r="M155" i="2"/>
  <c r="M156" i="2"/>
  <c r="K122" i="2"/>
  <c r="K124" i="2"/>
  <c r="D125" i="2"/>
  <c r="K123" i="2"/>
  <c r="N149" i="2"/>
  <c r="N150" i="2"/>
  <c r="N157" i="2"/>
  <c r="N156" i="2"/>
  <c r="M148" i="2"/>
  <c r="M150" i="2"/>
  <c r="J118" i="2"/>
  <c r="J122" i="2" s="1"/>
  <c r="C225" i="2"/>
  <c r="C218" i="2"/>
  <c r="C224" i="2" s="1"/>
  <c r="C227" i="2" s="1"/>
  <c r="C222" i="2"/>
  <c r="E125" i="2"/>
  <c r="C244" i="2"/>
  <c r="C248" i="2" s="1"/>
  <c r="C245" i="2"/>
  <c r="D249" i="2" s="1"/>
  <c r="E249" i="2"/>
  <c r="B266" i="2"/>
  <c r="B267" i="2" s="1"/>
  <c r="B270" i="2" s="1"/>
  <c r="B285" i="2"/>
  <c r="B288" i="2" s="1"/>
  <c r="G125" i="2"/>
  <c r="F125" i="2"/>
  <c r="E248" i="2"/>
  <c r="H156" i="2"/>
  <c r="C82" i="2"/>
  <c r="D175" i="2"/>
  <c r="G154" i="2"/>
  <c r="F82" i="2"/>
  <c r="C47" i="2"/>
  <c r="G82" i="2"/>
  <c r="C199" i="2"/>
  <c r="H154" i="2"/>
  <c r="C64" i="2"/>
  <c r="D154" i="2"/>
  <c r="F64" i="2"/>
  <c r="D156" i="2"/>
  <c r="D64" i="2"/>
  <c r="F156" i="2"/>
  <c r="E64" i="2"/>
  <c r="D82" i="2"/>
  <c r="G156" i="2"/>
  <c r="E156" i="2"/>
  <c r="C23" i="2"/>
  <c r="E82" i="2"/>
  <c r="C11" i="2"/>
  <c r="E154" i="2"/>
  <c r="F154" i="2"/>
  <c r="C100" i="2"/>
  <c r="C35" i="2"/>
  <c r="B312" i="2" l="1"/>
  <c r="C315" i="2" s="1"/>
  <c r="B317" i="2" s="1"/>
  <c r="B269" i="2"/>
  <c r="B272" i="2" s="1"/>
  <c r="C249" i="2"/>
  <c r="H249" i="2" s="1"/>
  <c r="B286" i="2"/>
  <c r="B289" i="2" s="1"/>
  <c r="B291" i="2" s="1"/>
  <c r="D248" i="2"/>
  <c r="H248" i="2" s="1"/>
  <c r="C253" i="2" l="1"/>
</calcChain>
</file>

<file path=xl/sharedStrings.xml><?xml version="1.0" encoding="utf-8"?>
<sst xmlns="http://schemas.openxmlformats.org/spreadsheetml/2006/main" count="173" uniqueCount="66">
  <si>
    <t>K=</t>
  </si>
  <si>
    <t>c=</t>
  </si>
  <si>
    <t>T=</t>
  </si>
  <si>
    <t>mu_f=</t>
  </si>
  <si>
    <t>FV( c)=</t>
  </si>
  <si>
    <t>C_T=max(0;S_T-K)=</t>
  </si>
  <si>
    <t>S_T=</t>
  </si>
  <si>
    <t>R=C_T-FV( c)=</t>
  </si>
  <si>
    <t>p=</t>
  </si>
  <si>
    <t>FV( p)=</t>
  </si>
  <si>
    <t>P_T=max(0;K-S_T)=</t>
  </si>
  <si>
    <t>R=P_T-FV( p)=</t>
  </si>
  <si>
    <t>R=FV( p)-P_T=</t>
  </si>
  <si>
    <t>S0=</t>
  </si>
  <si>
    <t>r=</t>
  </si>
  <si>
    <t>t=</t>
  </si>
  <si>
    <t>S=</t>
  </si>
  <si>
    <t>uS=</t>
  </si>
  <si>
    <t>dS=</t>
  </si>
  <si>
    <t>r1=r/12=</t>
  </si>
  <si>
    <t>d=(1-l/100)=dS/S=</t>
  </si>
  <si>
    <t>u=(1+g/100)=uS/S=</t>
  </si>
  <si>
    <t>cu=max(0;uS-K)=</t>
  </si>
  <si>
    <t>cd=max(0;dS-K)=</t>
  </si>
  <si>
    <t>g=</t>
  </si>
  <si>
    <t>l=</t>
  </si>
  <si>
    <t>sigma=</t>
  </si>
  <si>
    <t>d1=</t>
  </si>
  <si>
    <t>d2=</t>
  </si>
  <si>
    <t>Ф(d1)=</t>
  </si>
  <si>
    <t>Ф(d2)=</t>
  </si>
  <si>
    <t>R=min(S_T;K) - FV(S0-p)=</t>
  </si>
  <si>
    <t>max(S_T;K)=</t>
  </si>
  <si>
    <t>FV(s0+p)=</t>
  </si>
  <si>
    <t>K=600</t>
  </si>
  <si>
    <t>K=400</t>
  </si>
  <si>
    <t>R=max(S_T;K) - FV(S0+p)=</t>
  </si>
  <si>
    <t>u=</t>
  </si>
  <si>
    <t>d=</t>
  </si>
  <si>
    <t>q_u=</t>
  </si>
  <si>
    <t>q_d=</t>
  </si>
  <si>
    <t>i</t>
  </si>
  <si>
    <t>C(i,n)</t>
  </si>
  <si>
    <t>q_u^i</t>
  </si>
  <si>
    <t>q_d^(n-i)</t>
  </si>
  <si>
    <t>max(u^I*d^(n-i)S-K,0)</t>
  </si>
  <si>
    <t>произв</t>
  </si>
  <si>
    <t>сумм</t>
  </si>
  <si>
    <t>с=</t>
  </si>
  <si>
    <t>R=FV(S0+p) - max(S_T;K)=</t>
  </si>
  <si>
    <t>P_T=max(S_T;K)=</t>
  </si>
  <si>
    <t>ПростаяПродажа</t>
  </si>
  <si>
    <t>X</t>
  </si>
  <si>
    <t>ПростаяКороткаяПродажа</t>
  </si>
  <si>
    <t>Y</t>
  </si>
  <si>
    <t>ПродажаОпционаПутСОсуществлениемКороткойПродажи</t>
  </si>
  <si>
    <t>FV(SO)=</t>
  </si>
  <si>
    <t>РыночнаяЦенаАкции</t>
  </si>
  <si>
    <t>ПростаяПокупкаАкции</t>
  </si>
  <si>
    <t>Опцион</t>
  </si>
  <si>
    <t>12, 16</t>
  </si>
  <si>
    <t>r1=(1+r)^0,5-1</t>
  </si>
  <si>
    <t>delta=</t>
  </si>
  <si>
    <t>r1=</t>
  </si>
  <si>
    <t>cu=max(0;K-uS)=</t>
  </si>
  <si>
    <t>cd=max(0;K-dS)=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</si>
</sst>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%"/>
    <numFmt numFmtId="167" formatCode="0.0000%"/>
    <numFmt numFmtId="168" formatCode="0.00000%"/>
    <numFmt numFmtId="169" formatCode="0.000000%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Лист2!$I$121</c:f>
              <c:strCache>
                <c:ptCount val="1"/>
                <c:pt idx="0">
                  <c:v>ПростаяПродажа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Лист2!$I$122:$I$124</c:f>
              <c:numCache>
                <c:formatCode>General</c:formatCode>
                <c:ptCount val="3"/>
                <c:pt idx="0">
                  <c:v>-6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7AB-993E-16DE20341446}"/>
            </c:ext>
          </c:extLst>
        </c:ser>
        <c:ser>
          <c:idx val="2"/>
          <c:order val="1"/>
          <c:tx>
            <c:strRef>
              <c:f>Лист2!$J$121</c:f>
              <c:strCache>
                <c:ptCount val="1"/>
                <c:pt idx="0">
                  <c:v>ПростаяКороткаяПродажа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Лист2!$J$122:$J$124</c:f>
              <c:numCache>
                <c:formatCode>General</c:formatCode>
                <c:ptCount val="3"/>
                <c:pt idx="0">
                  <c:v>16.424999999999997</c:v>
                </c:pt>
                <c:pt idx="1">
                  <c:v>6.4249999999999972</c:v>
                </c:pt>
                <c:pt idx="2">
                  <c:v>-3.5750000000000028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E-47AB-993E-16DE20341446}"/>
            </c:ext>
          </c:extLst>
        </c:ser>
        <c:ser>
          <c:idx val="3"/>
          <c:order val="2"/>
          <c:tx>
            <c:strRef>
              <c:f>Лист2!$K$121</c:f>
              <c:strCache>
                <c:ptCount val="1"/>
                <c:pt idx="0">
                  <c:v>ПродажаОпционаПутСОсуществлениемКороткойПродажи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Лист2!$H$118:$H$120</c:f>
              <c:numCache>
                <c:formatCode>General</c:formatCode>
                <c:ptCount val="3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</c:numCache>
            </c:numRef>
          </c:cat>
          <c:val>
            <c:numRef>
              <c:f>Лист2!$K$122:$K$124</c:f>
              <c:numCache>
                <c:formatCode>General</c:formatCode>
                <c:ptCount val="3"/>
                <c:pt idx="0">
                  <c:v>10.424999999999997</c:v>
                </c:pt>
                <c:pt idx="1">
                  <c:v>10.424999999999997</c:v>
                </c:pt>
                <c:pt idx="2">
                  <c:v>0.42499999999999716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E-47AB-993E-16DE2034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37663"/>
        <c:axId val="407648479"/>
      </c:lineChart>
      <c:catAx>
        <c:axId val="4076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48479"/>
        <c:crosses val="autoZero"/>
        <c:auto val="1"/>
        <c:lblAlgn val="ctr"/>
        <c:lblOffset val="100"/>
        <c:noMultiLvlLbl val="0"/>
      </c:catAx>
      <c:valAx>
        <c:axId val="407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7821439512491"/>
          <c:y val="0.81486480394936778"/>
          <c:w val="0.5235226905785042"/>
          <c:h val="0.1814417519139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Лист2!$M$147</c:f>
              <c:strCache>
                <c:ptCount val="1"/>
                <c:pt idx="0">
                  <c:v>ПростаяПокупкаАкции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Лист2!$L$148:$L$150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cat>
          <c:val>
            <c:numRef>
              <c:f>Лист2!$M$148:$M$150</c:f>
              <c:numCache>
                <c:formatCode>General</c:formatCode>
                <c:ptCount val="3"/>
                <c:pt idx="0">
                  <c:v>-15</c:v>
                </c:pt>
                <c:pt idx="1">
                  <c:v>85</c:v>
                </c:pt>
                <c:pt idx="2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4-4A30-BECF-A44F53428F65}"/>
            </c:ext>
          </c:extLst>
        </c:ser>
        <c:ser>
          <c:idx val="1"/>
          <c:order val="1"/>
          <c:tx>
            <c:strRef>
              <c:f>Лист2!$N$147</c:f>
              <c:strCache>
                <c:ptCount val="1"/>
                <c:pt idx="0">
                  <c:v>Опцион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Лист2!$L$148:$L$150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cat>
          <c:val>
            <c:numRef>
              <c:f>Лист2!$N$148:$N$150</c:f>
              <c:numCache>
                <c:formatCode>General</c:formatCode>
                <c:ptCount val="3"/>
                <c:pt idx="0">
                  <c:v>33.5</c:v>
                </c:pt>
                <c:pt idx="1">
                  <c:v>33.5</c:v>
                </c:pt>
                <c:pt idx="2">
                  <c:v>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4-4A30-BECF-A44F5342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5055"/>
        <c:axId val="395927967"/>
      </c:lineChart>
      <c:catAx>
        <c:axId val="3959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27967"/>
        <c:crosses val="autoZero"/>
        <c:auto val="1"/>
        <c:lblAlgn val="ctr"/>
        <c:lblOffset val="100"/>
        <c:noMultiLvlLbl val="0"/>
      </c:catAx>
      <c:valAx>
        <c:axId val="3959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Лист2!$M$154</c:f>
              <c:strCache>
                <c:ptCount val="1"/>
                <c:pt idx="0">
                  <c:v>ПростаяПокупкаАкции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Лист2!$L$155:$L$157</c:f>
              <c:numCache>
                <c:formatCode>General</c:formatCode>
                <c:ptCount val="3"/>
                <c:pt idx="0">
                  <c:v>560</c:v>
                </c:pt>
                <c:pt idx="1">
                  <c:v>566.5</c:v>
                </c:pt>
                <c:pt idx="2">
                  <c:v>573</c:v>
                </c:pt>
              </c:numCache>
            </c:numRef>
          </c:cat>
          <c:val>
            <c:numRef>
              <c:f>Лист2!$M$155:$M$157</c:f>
              <c:numCache>
                <c:formatCode>General</c:formatCode>
                <c:ptCount val="3"/>
                <c:pt idx="0">
                  <c:v>45</c:v>
                </c:pt>
                <c:pt idx="1">
                  <c:v>51.5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4C6-BD06-BBBF9CE9EAFA}"/>
            </c:ext>
          </c:extLst>
        </c:ser>
        <c:ser>
          <c:idx val="1"/>
          <c:order val="1"/>
          <c:tx>
            <c:strRef>
              <c:f>Лист2!$N$154</c:f>
              <c:strCache>
                <c:ptCount val="1"/>
                <c:pt idx="0">
                  <c:v>Опцион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Лист2!$L$155:$L$157</c:f>
              <c:numCache>
                <c:formatCode>General</c:formatCode>
                <c:ptCount val="3"/>
                <c:pt idx="0">
                  <c:v>560</c:v>
                </c:pt>
                <c:pt idx="1">
                  <c:v>566.5</c:v>
                </c:pt>
                <c:pt idx="2">
                  <c:v>573</c:v>
                </c:pt>
              </c:numCache>
            </c:numRef>
          </c:cat>
          <c:val>
            <c:numRef>
              <c:f>Лист2!$N$155:$N$157</c:f>
              <c:numCache>
                <c:formatCode>General</c:formatCode>
                <c:ptCount val="3"/>
                <c:pt idx="0">
                  <c:v>-6.5</c:v>
                </c:pt>
                <c:pt idx="1">
                  <c:v>0</c:v>
                </c:pt>
                <c:pt idx="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3-44C6-BD06-BBBF9CE9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00927"/>
        <c:axId val="395906751"/>
      </c:lineChart>
      <c:catAx>
        <c:axId val="3959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06751"/>
        <c:crosses val="autoZero"/>
        <c:auto val="1"/>
        <c:lblAlgn val="ctr"/>
        <c:lblOffset val="100"/>
        <c:noMultiLvlLbl val="0"/>
      </c:catAx>
      <c:valAx>
        <c:axId val="3959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3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58035</xdr:colOff>
      <xdr:row>4</xdr:row>
      <xdr:rowOff>143001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CC83BD-2D64-4255-9B75-65D221C60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4535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9</xdr:col>
      <xdr:colOff>553319</xdr:colOff>
      <xdr:row>16</xdr:row>
      <xdr:rowOff>162054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42DB396-048E-4E1C-AFF4-72464178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623021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19930</xdr:colOff>
      <xdr:row>28</xdr:row>
      <xdr:rowOff>104896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76D5A3-B8B0-40FD-84BB-2BB9185C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6306430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534267</xdr:colOff>
      <xdr:row>40</xdr:row>
      <xdr:rowOff>104896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964EF5-DA50-43F7-8628-4C65C38D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6211167" cy="866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600951</xdr:colOff>
      <xdr:row>52</xdr:row>
      <xdr:rowOff>143001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874A610-EF74-4C7C-A66E-AA3F8D70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144000"/>
          <a:ext cx="6277851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48509</xdr:colOff>
      <xdr:row>55</xdr:row>
      <xdr:rowOff>114369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98F5B3F-0F04-4FD9-9C02-8881DC6F0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096500"/>
          <a:ext cx="6335009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591425</xdr:colOff>
      <xdr:row>73</xdr:row>
      <xdr:rowOff>95476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AD65E02-44AC-4660-A93B-B65EBC8DB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382500"/>
          <a:ext cx="6268325" cy="1619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9</xdr:col>
      <xdr:colOff>572372</xdr:colOff>
      <xdr:row>91</xdr:row>
      <xdr:rowOff>19239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235569A-A994-4F26-A6D3-21997D892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02000"/>
          <a:ext cx="6249272" cy="1352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9</xdr:col>
      <xdr:colOff>581898</xdr:colOff>
      <xdr:row>115</xdr:row>
      <xdr:rowOff>19425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1792D1E0-8CBB-49CA-ACE6-2728E98B8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6258798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9</xdr:col>
      <xdr:colOff>600951</xdr:colOff>
      <xdr:row>143</xdr:row>
      <xdr:rowOff>181293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5B8A497-BD2E-450B-B9A4-DAFBB7EBF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193500"/>
          <a:ext cx="6277851" cy="22767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9</xdr:col>
      <xdr:colOff>591425</xdr:colOff>
      <xdr:row>162</xdr:row>
      <xdr:rowOff>162054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5F92CB2-337C-48E1-9041-67BFB9831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0099000"/>
          <a:ext cx="6268325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9</xdr:col>
      <xdr:colOff>572372</xdr:colOff>
      <xdr:row>165</xdr:row>
      <xdr:rowOff>114369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9F3F597-4A72-4EFD-81F4-36272E9C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1051500"/>
          <a:ext cx="6249272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9</xdr:col>
      <xdr:colOff>591425</xdr:colOff>
      <xdr:row>182</xdr:row>
      <xdr:rowOff>162107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6A20C04-D1B2-4EB5-8E3E-83E9F80D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3528000"/>
          <a:ext cx="6268325" cy="1305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9</xdr:col>
      <xdr:colOff>534267</xdr:colOff>
      <xdr:row>205</xdr:row>
      <xdr:rowOff>123975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372FFFD-7948-4806-B473-F1C86B93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8100000"/>
          <a:ext cx="6211167" cy="107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95250</xdr:rowOff>
    </xdr:from>
    <xdr:to>
      <xdr:col>14</xdr:col>
      <xdr:colOff>153639</xdr:colOff>
      <xdr:row>233</xdr:row>
      <xdr:rowOff>162094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F998FD5-F221-4188-AEB1-2F384F3E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719750"/>
          <a:ext cx="8878539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9</xdr:col>
      <xdr:colOff>448530</xdr:colOff>
      <xdr:row>258</xdr:row>
      <xdr:rowOff>66791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B7F2C49-0A27-4C99-9988-EB3AC0851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8768000"/>
          <a:ext cx="6125430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252</xdr:row>
      <xdr:rowOff>142875</xdr:rowOff>
    </xdr:from>
    <xdr:to>
      <xdr:col>22</xdr:col>
      <xdr:colOff>96195</xdr:colOff>
      <xdr:row>276</xdr:row>
      <xdr:rowOff>618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3BF396E-38BB-45D0-A81B-E4320FD1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48529875"/>
          <a:ext cx="6773220" cy="4429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10</xdr:col>
      <xdr:colOff>381931</xdr:colOff>
      <xdr:row>276</xdr:row>
      <xdr:rowOff>114396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B2E49F4-2676-4C09-BCF8-62447969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2387500"/>
          <a:ext cx="6668431" cy="68589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276</xdr:row>
      <xdr:rowOff>152400</xdr:rowOff>
    </xdr:from>
    <xdr:to>
      <xdr:col>13</xdr:col>
      <xdr:colOff>238791</xdr:colOff>
      <xdr:row>291</xdr:row>
      <xdr:rowOff>133746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48AA4B-2E80-4098-A205-1BFD340C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514725" y="53111400"/>
          <a:ext cx="4772691" cy="28388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10</xdr:col>
      <xdr:colOff>324773</xdr:colOff>
      <xdr:row>299</xdr:row>
      <xdr:rowOff>66844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B4162AE-6DD0-4357-ABF4-D866AF63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6197500"/>
          <a:ext cx="6611273" cy="1209844"/>
        </a:xfrm>
        <a:prstGeom prst="rect">
          <a:avLst/>
        </a:prstGeom>
      </xdr:spPr>
    </xdr:pic>
    <xdr:clientData/>
  </xdr:twoCellAnchor>
  <xdr:twoCellAnchor>
    <xdr:from>
      <xdr:col>11</xdr:col>
      <xdr:colOff>285750</xdr:colOff>
      <xdr:row>110</xdr:row>
      <xdr:rowOff>114299</xdr:rowOff>
    </xdr:from>
    <xdr:to>
      <xdr:col>21</xdr:col>
      <xdr:colOff>228600</xdr:colOff>
      <xdr:row>128</xdr:row>
      <xdr:rowOff>123824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812DF909-10BC-4B8B-A134-650D7134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47625</xdr:colOff>
      <xdr:row>135</xdr:row>
      <xdr:rowOff>128587</xdr:rowOff>
    </xdr:from>
    <xdr:to>
      <xdr:col>21</xdr:col>
      <xdr:colOff>352425</xdr:colOff>
      <xdr:row>150</xdr:row>
      <xdr:rowOff>14287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8A348D61-8BD2-4515-983F-4FE59FF4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504825</xdr:colOff>
      <xdr:row>150</xdr:row>
      <xdr:rowOff>71437</xdr:rowOff>
    </xdr:from>
    <xdr:to>
      <xdr:col>22</xdr:col>
      <xdr:colOff>200025</xdr:colOff>
      <xdr:row>164</xdr:row>
      <xdr:rowOff>147637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FD3DC21D-B974-42AB-9A61-59854444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353786</xdr:colOff>
      <xdr:row>183</xdr:row>
      <xdr:rowOff>27214</xdr:rowOff>
    </xdr:from>
    <xdr:to>
      <xdr:col>14</xdr:col>
      <xdr:colOff>393833</xdr:colOff>
      <xdr:row>192</xdr:row>
      <xdr:rowOff>17476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87D4DE08-C8F6-454F-A176-FEAB5CE2A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966357" y="34888714"/>
          <a:ext cx="6190476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86C-249F-4D08-982F-A9A83A49E017}">
  <dimension ref="A2:N317"/>
  <sheetViews>
    <sheetView tabSelected="1" topLeftCell="A209" zoomScale="70" zoomScaleNormal="70" workbookViewId="0">
      <selection activeCell="L243" sqref="L243"/>
    </sheetView>
  </sheetViews>
  <sheetFormatPr defaultRowHeight="15" x14ac:dyDescent="0.25"/>
  <cols>
    <col min="2" max="2" width="10.140625" bestFit="1" customWidth="1"/>
    <col min="3" max="3" width="10.5703125" bestFit="1" customWidth="1"/>
    <col min="6" max="6" width="9.5703125" bestFit="1" customWidth="1"/>
  </cols>
  <sheetData>
    <row r="2" spans="1:13" x14ac:dyDescent="0.25">
      <c r="M2" t="s">
        <v>60</v>
      </c>
    </row>
    <row r="6" spans="1:13" x14ac:dyDescent="0.25">
      <c r="A6" t="s">
        <v>0</v>
      </c>
      <c r="C6">
        <v>143</v>
      </c>
    </row>
    <row r="7" spans="1:13" x14ac:dyDescent="0.25">
      <c r="A7" t="s">
        <v>1</v>
      </c>
      <c r="C7">
        <v>4</v>
      </c>
    </row>
    <row r="8" spans="1:13" x14ac:dyDescent="0.25">
      <c r="A8" t="s">
        <v>6</v>
      </c>
      <c r="C8">
        <v>150</v>
      </c>
    </row>
    <row r="9" spans="1:13" x14ac:dyDescent="0.25">
      <c r="A9" t="s">
        <v>4</v>
      </c>
      <c r="C9">
        <f>C7</f>
        <v>4</v>
      </c>
    </row>
    <row r="10" spans="1:13" x14ac:dyDescent="0.25">
      <c r="A10" t="s">
        <v>5</v>
      </c>
      <c r="C10">
        <f>MAX(0,C8-C6)</f>
        <v>7</v>
      </c>
    </row>
    <row r="11" spans="1:13" x14ac:dyDescent="0.25">
      <c r="A11" t="s">
        <v>7</v>
      </c>
      <c r="C11" s="2">
        <f>C10-C9</f>
        <v>3</v>
      </c>
    </row>
    <row r="18" spans="1:3" x14ac:dyDescent="0.25">
      <c r="A18" t="s">
        <v>0</v>
      </c>
      <c r="C18">
        <v>78</v>
      </c>
    </row>
    <row r="19" spans="1:3" x14ac:dyDescent="0.25">
      <c r="A19" t="s">
        <v>1</v>
      </c>
      <c r="C19">
        <v>10</v>
      </c>
    </row>
    <row r="20" spans="1:3" x14ac:dyDescent="0.25">
      <c r="A20" t="s">
        <v>6</v>
      </c>
      <c r="C20">
        <v>62</v>
      </c>
    </row>
    <row r="21" spans="1:3" x14ac:dyDescent="0.25">
      <c r="A21" t="s">
        <v>4</v>
      </c>
      <c r="C21">
        <f>C19</f>
        <v>10</v>
      </c>
    </row>
    <row r="22" spans="1:3" x14ac:dyDescent="0.25">
      <c r="A22" t="s">
        <v>5</v>
      </c>
      <c r="C22">
        <f>MAX(0,C20-C18)</f>
        <v>0</v>
      </c>
    </row>
    <row r="23" spans="1:3" x14ac:dyDescent="0.25">
      <c r="A23" t="s">
        <v>7</v>
      </c>
      <c r="C23" s="2">
        <f>C22-C21</f>
        <v>-10</v>
      </c>
    </row>
    <row r="30" spans="1:3" x14ac:dyDescent="0.25">
      <c r="A30" t="s">
        <v>0</v>
      </c>
      <c r="C30">
        <v>127</v>
      </c>
    </row>
    <row r="31" spans="1:3" x14ac:dyDescent="0.25">
      <c r="A31" t="s">
        <v>8</v>
      </c>
      <c r="C31">
        <v>28</v>
      </c>
    </row>
    <row r="32" spans="1:3" x14ac:dyDescent="0.25">
      <c r="A32" t="s">
        <v>6</v>
      </c>
      <c r="C32">
        <v>82</v>
      </c>
    </row>
    <row r="33" spans="1:3" x14ac:dyDescent="0.25">
      <c r="A33" t="s">
        <v>9</v>
      </c>
      <c r="C33">
        <f>C31</f>
        <v>28</v>
      </c>
    </row>
    <row r="34" spans="1:3" x14ac:dyDescent="0.25">
      <c r="A34" t="s">
        <v>10</v>
      </c>
      <c r="C34">
        <f>MAX(0,C30-C32)</f>
        <v>45</v>
      </c>
    </row>
    <row r="35" spans="1:3" x14ac:dyDescent="0.25">
      <c r="A35" t="s">
        <v>11</v>
      </c>
      <c r="C35" s="2">
        <f>C34-C33</f>
        <v>17</v>
      </c>
    </row>
    <row r="42" spans="1:3" x14ac:dyDescent="0.25">
      <c r="A42" t="s">
        <v>0</v>
      </c>
      <c r="C42">
        <v>164</v>
      </c>
    </row>
    <row r="43" spans="1:3" x14ac:dyDescent="0.25">
      <c r="A43" t="s">
        <v>8</v>
      </c>
      <c r="C43">
        <v>15</v>
      </c>
    </row>
    <row r="44" spans="1:3" x14ac:dyDescent="0.25">
      <c r="A44" t="s">
        <v>6</v>
      </c>
      <c r="C44">
        <v>176</v>
      </c>
    </row>
    <row r="45" spans="1:3" x14ac:dyDescent="0.25">
      <c r="A45" t="s">
        <v>9</v>
      </c>
      <c r="C45">
        <f>C43</f>
        <v>15</v>
      </c>
    </row>
    <row r="46" spans="1:3" x14ac:dyDescent="0.25">
      <c r="A46" t="s">
        <v>10</v>
      </c>
      <c r="C46">
        <f>MAX(0,C42-C44)</f>
        <v>0</v>
      </c>
    </row>
    <row r="47" spans="1:3" x14ac:dyDescent="0.25">
      <c r="A47" t="s">
        <v>12</v>
      </c>
      <c r="C47" s="2">
        <f>C45-C46</f>
        <v>15</v>
      </c>
    </row>
    <row r="57" spans="1:6" x14ac:dyDescent="0.25">
      <c r="A57" t="s">
        <v>0</v>
      </c>
      <c r="C57">
        <v>218</v>
      </c>
    </row>
    <row r="58" spans="1:6" x14ac:dyDescent="0.25">
      <c r="A58" t="s">
        <v>1</v>
      </c>
      <c r="C58">
        <v>7</v>
      </c>
    </row>
    <row r="59" spans="1:6" x14ac:dyDescent="0.25">
      <c r="A59" t="s">
        <v>2</v>
      </c>
      <c r="C59">
        <v>3</v>
      </c>
    </row>
    <row r="60" spans="1:6" x14ac:dyDescent="0.25">
      <c r="A60" t="s">
        <v>3</v>
      </c>
      <c r="C60" s="1">
        <v>0.06</v>
      </c>
    </row>
    <row r="61" spans="1:6" x14ac:dyDescent="0.25">
      <c r="A61" t="s">
        <v>6</v>
      </c>
      <c r="C61">
        <v>197</v>
      </c>
      <c r="D61">
        <v>230</v>
      </c>
      <c r="E61">
        <v>220</v>
      </c>
      <c r="F61">
        <v>218</v>
      </c>
    </row>
    <row r="62" spans="1:6" x14ac:dyDescent="0.25">
      <c r="A62" t="s">
        <v>4</v>
      </c>
      <c r="C62">
        <f>C58*(1+C60*C59/12)</f>
        <v>7.1049999999999995</v>
      </c>
    </row>
    <row r="63" spans="1:6" x14ac:dyDescent="0.25">
      <c r="A63" t="s">
        <v>5</v>
      </c>
      <c r="C63">
        <f>MAX(0,C61-$C57)</f>
        <v>0</v>
      </c>
      <c r="D63">
        <f t="shared" ref="D63:F63" si="0">MAX(0,D61-$C57)</f>
        <v>12</v>
      </c>
      <c r="E63">
        <f t="shared" si="0"/>
        <v>2</v>
      </c>
      <c r="F63">
        <f t="shared" si="0"/>
        <v>0</v>
      </c>
    </row>
    <row r="64" spans="1:6" x14ac:dyDescent="0.25">
      <c r="A64" t="s">
        <v>7</v>
      </c>
      <c r="C64" s="3">
        <f>C63-$C62</f>
        <v>-7.1049999999999995</v>
      </c>
      <c r="D64" s="3">
        <f t="shared" ref="D64:F64" si="1">D63-$C62</f>
        <v>4.8950000000000005</v>
      </c>
      <c r="E64" s="3">
        <f t="shared" si="1"/>
        <v>-5.1049999999999995</v>
      </c>
      <c r="F64" s="3">
        <f t="shared" si="1"/>
        <v>-7.1049999999999995</v>
      </c>
    </row>
    <row r="75" spans="1:7" x14ac:dyDescent="0.25">
      <c r="A75" t="s">
        <v>0</v>
      </c>
      <c r="C75">
        <v>183</v>
      </c>
    </row>
    <row r="76" spans="1:7" x14ac:dyDescent="0.25">
      <c r="A76" t="s">
        <v>1</v>
      </c>
      <c r="C76">
        <v>9</v>
      </c>
    </row>
    <row r="77" spans="1:7" x14ac:dyDescent="0.25">
      <c r="A77" t="s">
        <v>2</v>
      </c>
      <c r="C77">
        <v>7</v>
      </c>
    </row>
    <row r="78" spans="1:7" x14ac:dyDescent="0.25">
      <c r="A78" t="s">
        <v>3</v>
      </c>
      <c r="C78" s="1">
        <v>0.05</v>
      </c>
    </row>
    <row r="79" spans="1:7" x14ac:dyDescent="0.25">
      <c r="A79" t="s">
        <v>6</v>
      </c>
      <c r="C79">
        <v>190</v>
      </c>
      <c r="D79">
        <v>205</v>
      </c>
      <c r="E79">
        <v>185</v>
      </c>
      <c r="F79">
        <v>183</v>
      </c>
      <c r="G79">
        <v>181.5</v>
      </c>
    </row>
    <row r="80" spans="1:7" x14ac:dyDescent="0.25">
      <c r="A80" t="s">
        <v>4</v>
      </c>
      <c r="C80">
        <f>C76*(1+C78*C77/12)</f>
        <v>9.2624999999999993</v>
      </c>
    </row>
    <row r="81" spans="1:7" x14ac:dyDescent="0.25">
      <c r="A81" t="s">
        <v>5</v>
      </c>
      <c r="C81">
        <f>MAX(0,C79-$C75)</f>
        <v>7</v>
      </c>
      <c r="D81">
        <f t="shared" ref="D81:F81" si="2">MAX(0,D79-$C75)</f>
        <v>22</v>
      </c>
      <c r="E81">
        <f t="shared" si="2"/>
        <v>2</v>
      </c>
      <c r="F81">
        <f t="shared" si="2"/>
        <v>0</v>
      </c>
      <c r="G81">
        <f t="shared" ref="G81" si="3">MAX(0,G79-$C75)</f>
        <v>0</v>
      </c>
    </row>
    <row r="82" spans="1:7" x14ac:dyDescent="0.25">
      <c r="A82" t="s">
        <v>7</v>
      </c>
      <c r="C82" s="4">
        <f>$C80-C81</f>
        <v>2.2624999999999993</v>
      </c>
      <c r="D82" s="4">
        <f t="shared" ref="D82:G82" si="4">$C80-D81</f>
        <v>-12.737500000000001</v>
      </c>
      <c r="E82" s="4">
        <f t="shared" si="4"/>
        <v>7.2624999999999993</v>
      </c>
      <c r="F82" s="4">
        <f t="shared" si="4"/>
        <v>9.2624999999999993</v>
      </c>
      <c r="G82" s="4">
        <f t="shared" si="4"/>
        <v>9.2624999999999993</v>
      </c>
    </row>
    <row r="93" spans="1:7" x14ac:dyDescent="0.25">
      <c r="A93" t="s">
        <v>0</v>
      </c>
      <c r="C93">
        <v>510000</v>
      </c>
    </row>
    <row r="94" spans="1:7" x14ac:dyDescent="0.25">
      <c r="A94" t="s">
        <v>8</v>
      </c>
      <c r="C94">
        <v>50000</v>
      </c>
    </row>
    <row r="95" spans="1:7" x14ac:dyDescent="0.25">
      <c r="A95" t="s">
        <v>2</v>
      </c>
      <c r="C95">
        <v>3</v>
      </c>
    </row>
    <row r="96" spans="1:7" x14ac:dyDescent="0.25">
      <c r="A96" t="s">
        <v>3</v>
      </c>
      <c r="C96" s="1">
        <v>0.06</v>
      </c>
    </row>
    <row r="97" spans="1:3" x14ac:dyDescent="0.25">
      <c r="A97" t="s">
        <v>6</v>
      </c>
      <c r="C97">
        <v>430000</v>
      </c>
    </row>
    <row r="98" spans="1:3" x14ac:dyDescent="0.25">
      <c r="A98" t="s">
        <v>9</v>
      </c>
      <c r="C98">
        <f>C94*EXP(C96*C95/12)</f>
        <v>50755.653230785945</v>
      </c>
    </row>
    <row r="99" spans="1:3" x14ac:dyDescent="0.25">
      <c r="A99" t="s">
        <v>10</v>
      </c>
      <c r="C99">
        <f>MAX(0,C93-C97)</f>
        <v>80000</v>
      </c>
    </row>
    <row r="100" spans="1:3" x14ac:dyDescent="0.25">
      <c r="A100" t="s">
        <v>11</v>
      </c>
      <c r="C100" s="5">
        <f>C99-C98</f>
        <v>29244.346769214055</v>
      </c>
    </row>
    <row r="117" spans="1:11" x14ac:dyDescent="0.25">
      <c r="A117" t="s">
        <v>13</v>
      </c>
      <c r="D117">
        <v>110</v>
      </c>
      <c r="H117" t="s">
        <v>54</v>
      </c>
    </row>
    <row r="118" spans="1:11" x14ac:dyDescent="0.25">
      <c r="A118" t="s">
        <v>0</v>
      </c>
      <c r="D118">
        <v>105</v>
      </c>
      <c r="H118">
        <v>95</v>
      </c>
      <c r="I118">
        <f>MIN(0,H118-$D$118)</f>
        <v>-10</v>
      </c>
      <c r="J118">
        <f>$D$123-H118</f>
        <v>20.424999999999997</v>
      </c>
      <c r="K118">
        <f>MAX($D$118,H118)</f>
        <v>105</v>
      </c>
    </row>
    <row r="119" spans="1:11" x14ac:dyDescent="0.25">
      <c r="A119" t="s">
        <v>8</v>
      </c>
      <c r="D119">
        <v>4</v>
      </c>
      <c r="H119">
        <v>105</v>
      </c>
      <c r="I119">
        <f t="shared" ref="I119:I120" si="5">MIN(0,H119-$D$118)</f>
        <v>0</v>
      </c>
      <c r="J119">
        <f t="shared" ref="J119" si="6">$D$123-H119</f>
        <v>10.424999999999997</v>
      </c>
      <c r="K119">
        <f t="shared" ref="K119:K120" si="7">MAX($D$118,H119)</f>
        <v>105</v>
      </c>
    </row>
    <row r="120" spans="1:11" x14ac:dyDescent="0.25">
      <c r="A120" t="s">
        <v>3</v>
      </c>
      <c r="D120" s="1">
        <v>0.05</v>
      </c>
      <c r="H120">
        <v>115</v>
      </c>
      <c r="I120">
        <f t="shared" si="5"/>
        <v>0</v>
      </c>
      <c r="J120">
        <f>$D$123-H120</f>
        <v>0.42499999999999716</v>
      </c>
      <c r="K120">
        <f t="shared" si="7"/>
        <v>115</v>
      </c>
    </row>
    <row r="121" spans="1:11" x14ac:dyDescent="0.25">
      <c r="A121" t="s">
        <v>2</v>
      </c>
      <c r="D121">
        <v>3</v>
      </c>
      <c r="H121" t="s">
        <v>52</v>
      </c>
      <c r="I121" t="s">
        <v>51</v>
      </c>
      <c r="J121" t="s">
        <v>53</v>
      </c>
      <c r="K121" t="s">
        <v>55</v>
      </c>
    </row>
    <row r="122" spans="1:11" x14ac:dyDescent="0.25">
      <c r="A122" t="s">
        <v>6</v>
      </c>
      <c r="D122">
        <v>115.43</v>
      </c>
      <c r="E122">
        <v>110</v>
      </c>
      <c r="F122">
        <v>105</v>
      </c>
      <c r="G122">
        <v>100</v>
      </c>
      <c r="H122">
        <v>0</v>
      </c>
      <c r="I122">
        <f>I118+$D$119</f>
        <v>-6</v>
      </c>
      <c r="J122">
        <f>J118-$D$119</f>
        <v>16.424999999999997</v>
      </c>
      <c r="K122">
        <f>$D$123-K118</f>
        <v>10.424999999999997</v>
      </c>
    </row>
    <row r="123" spans="1:11" x14ac:dyDescent="0.25">
      <c r="A123" t="s">
        <v>33</v>
      </c>
      <c r="D123">
        <f>(D117+D119)*(1+D120*D121/12)</f>
        <v>115.425</v>
      </c>
      <c r="H123">
        <f>D118</f>
        <v>105</v>
      </c>
      <c r="I123">
        <f t="shared" ref="I123:I124" si="8">I119+$D$119</f>
        <v>4</v>
      </c>
      <c r="J123">
        <f t="shared" ref="J123:J124" si="9">J119-$D$119</f>
        <v>6.4249999999999972</v>
      </c>
      <c r="K123">
        <f t="shared" ref="K123:K124" si="10">$D$123-K119</f>
        <v>10.424999999999997</v>
      </c>
    </row>
    <row r="124" spans="1:11" x14ac:dyDescent="0.25">
      <c r="A124" t="s">
        <v>50</v>
      </c>
      <c r="D124">
        <f>MAX(D122,$D118)</f>
        <v>115.43</v>
      </c>
      <c r="E124">
        <f t="shared" ref="E124:G124" si="11">MAX(E122,$D118)</f>
        <v>110</v>
      </c>
      <c r="F124">
        <f t="shared" si="11"/>
        <v>105</v>
      </c>
      <c r="G124">
        <f t="shared" si="11"/>
        <v>105</v>
      </c>
      <c r="H124">
        <v>200</v>
      </c>
      <c r="I124">
        <f t="shared" si="8"/>
        <v>4</v>
      </c>
      <c r="J124">
        <f t="shared" si="9"/>
        <v>-3.5750000000000028</v>
      </c>
      <c r="K124">
        <f t="shared" si="10"/>
        <v>0.42499999999999716</v>
      </c>
    </row>
    <row r="125" spans="1:11" x14ac:dyDescent="0.25">
      <c r="A125" t="s">
        <v>49</v>
      </c>
      <c r="D125" s="2">
        <f>$D123-D124</f>
        <v>-5.0000000000096634E-3</v>
      </c>
      <c r="E125" s="2">
        <f t="shared" ref="E125:G125" si="12">$D123-E124</f>
        <v>5.4249999999999972</v>
      </c>
      <c r="F125" s="2">
        <f t="shared" si="12"/>
        <v>10.424999999999997</v>
      </c>
      <c r="G125" s="2">
        <f t="shared" si="12"/>
        <v>10.424999999999997</v>
      </c>
    </row>
    <row r="144" spans="12:12" x14ac:dyDescent="0.25">
      <c r="L144" t="s">
        <v>34</v>
      </c>
    </row>
    <row r="146" spans="1:14" x14ac:dyDescent="0.25">
      <c r="A146" t="s">
        <v>13</v>
      </c>
      <c r="D146">
        <v>500</v>
      </c>
      <c r="L146" t="s">
        <v>56</v>
      </c>
      <c r="M146">
        <f>(D146)*(1+D149*D150/12)</f>
        <v>515</v>
      </c>
    </row>
    <row r="147" spans="1:14" x14ac:dyDescent="0.25">
      <c r="A147" t="s">
        <v>0</v>
      </c>
      <c r="D147">
        <v>600</v>
      </c>
      <c r="E147">
        <v>400</v>
      </c>
      <c r="L147" t="s">
        <v>57</v>
      </c>
      <c r="M147" t="s">
        <v>58</v>
      </c>
      <c r="N147" t="s">
        <v>59</v>
      </c>
    </row>
    <row r="148" spans="1:14" x14ac:dyDescent="0.25">
      <c r="A148" t="s">
        <v>8</v>
      </c>
      <c r="D148">
        <v>50</v>
      </c>
      <c r="L148">
        <v>500</v>
      </c>
      <c r="M148">
        <f>L148-$M$146</f>
        <v>-15</v>
      </c>
      <c r="N148">
        <f>MAX(L148,$D$147)-$D$152</f>
        <v>33.5</v>
      </c>
    </row>
    <row r="149" spans="1:14" x14ac:dyDescent="0.25">
      <c r="A149" t="s">
        <v>3</v>
      </c>
      <c r="D149" s="1">
        <v>0.09</v>
      </c>
      <c r="L149">
        <v>600</v>
      </c>
      <c r="M149">
        <f t="shared" ref="M149:M150" si="13">L149-$M$146</f>
        <v>85</v>
      </c>
      <c r="N149">
        <f>MAX(L149,$D$147)-$D$152</f>
        <v>33.5</v>
      </c>
    </row>
    <row r="150" spans="1:14" x14ac:dyDescent="0.25">
      <c r="A150" t="s">
        <v>2</v>
      </c>
      <c r="D150">
        <v>4</v>
      </c>
      <c r="L150">
        <v>700</v>
      </c>
      <c r="M150">
        <f t="shared" si="13"/>
        <v>185</v>
      </c>
      <c r="N150">
        <f>MAX(L150,$D$147)-$D$152</f>
        <v>133.5</v>
      </c>
    </row>
    <row r="151" spans="1:14" x14ac:dyDescent="0.25">
      <c r="A151" t="s">
        <v>6</v>
      </c>
      <c r="D151">
        <v>440</v>
      </c>
      <c r="E151">
        <v>560</v>
      </c>
      <c r="F151">
        <v>700</v>
      </c>
      <c r="G151">
        <v>300</v>
      </c>
      <c r="H151">
        <v>650</v>
      </c>
    </row>
    <row r="152" spans="1:14" x14ac:dyDescent="0.25">
      <c r="A152" t="s">
        <v>33</v>
      </c>
      <c r="D152">
        <f>(D146+D148)*(1+D149*D150/12)</f>
        <v>566.5</v>
      </c>
      <c r="M152" t="s">
        <v>35</v>
      </c>
    </row>
    <row r="153" spans="1:14" x14ac:dyDescent="0.25">
      <c r="A153" t="s">
        <v>32</v>
      </c>
      <c r="D153">
        <f>MAX(D151,$D147)</f>
        <v>600</v>
      </c>
      <c r="E153">
        <f t="shared" ref="E153:G153" si="14">MAX(E151,$D147)</f>
        <v>600</v>
      </c>
      <c r="F153">
        <f t="shared" si="14"/>
        <v>700</v>
      </c>
      <c r="G153">
        <f t="shared" si="14"/>
        <v>600</v>
      </c>
      <c r="H153">
        <f t="shared" ref="H153" si="15">MAX(H151,$D147)</f>
        <v>650</v>
      </c>
    </row>
    <row r="154" spans="1:14" x14ac:dyDescent="0.25">
      <c r="A154" t="s">
        <v>36</v>
      </c>
      <c r="D154" s="2">
        <f>D153-$D152</f>
        <v>33.5</v>
      </c>
      <c r="E154" s="2">
        <f t="shared" ref="E154" si="16">E153-$D152</f>
        <v>33.5</v>
      </c>
      <c r="F154" s="2">
        <f t="shared" ref="F154" si="17">F153-$D152</f>
        <v>133.5</v>
      </c>
      <c r="G154" s="2">
        <f t="shared" ref="G154:H154" si="18">G153-$D152</f>
        <v>33.5</v>
      </c>
      <c r="H154" s="2">
        <f t="shared" si="18"/>
        <v>83.5</v>
      </c>
      <c r="J154" t="s">
        <v>34</v>
      </c>
      <c r="L154" t="s">
        <v>57</v>
      </c>
      <c r="M154" t="s">
        <v>58</v>
      </c>
      <c r="N154" t="s">
        <v>59</v>
      </c>
    </row>
    <row r="155" spans="1:14" x14ac:dyDescent="0.25">
      <c r="A155" t="s">
        <v>32</v>
      </c>
      <c r="D155">
        <f>MAX(D151,$E147)</f>
        <v>440</v>
      </c>
      <c r="E155">
        <f>MAX(E151,$E147)</f>
        <v>560</v>
      </c>
      <c r="F155">
        <f t="shared" ref="F155:H155" si="19">MAX(F151,$E147)</f>
        <v>700</v>
      </c>
      <c r="G155">
        <f>MAX(G151,$E147)</f>
        <v>400</v>
      </c>
      <c r="H155">
        <f t="shared" si="19"/>
        <v>650</v>
      </c>
      <c r="L155">
        <v>560</v>
      </c>
      <c r="M155">
        <f>L155-$M$146</f>
        <v>45</v>
      </c>
      <c r="N155">
        <f>MAX(L155,$E$147)-$D$152</f>
        <v>-6.5</v>
      </c>
    </row>
    <row r="156" spans="1:14" x14ac:dyDescent="0.25">
      <c r="A156" t="s">
        <v>36</v>
      </c>
      <c r="D156" s="2">
        <f>D155-$D152</f>
        <v>-126.5</v>
      </c>
      <c r="E156" s="2">
        <f t="shared" ref="E156:H156" si="20">E155-$D152</f>
        <v>-6.5</v>
      </c>
      <c r="F156" s="2">
        <f t="shared" si="20"/>
        <v>133.5</v>
      </c>
      <c r="G156" s="2">
        <f t="shared" si="20"/>
        <v>-166.5</v>
      </c>
      <c r="H156" s="2">
        <f t="shared" si="20"/>
        <v>83.5</v>
      </c>
      <c r="J156" t="s">
        <v>35</v>
      </c>
      <c r="L156">
        <v>566.5</v>
      </c>
      <c r="M156">
        <f t="shared" ref="M156:M157" si="21">L156-$M$146</f>
        <v>51.5</v>
      </c>
      <c r="N156">
        <f t="shared" ref="N156:N157" si="22">MAX(L156,$E$147)-$D$152</f>
        <v>0</v>
      </c>
    </row>
    <row r="157" spans="1:14" x14ac:dyDescent="0.25">
      <c r="L157">
        <v>573</v>
      </c>
      <c r="M157">
        <f t="shared" si="21"/>
        <v>58</v>
      </c>
      <c r="N157">
        <f t="shared" si="22"/>
        <v>6.5</v>
      </c>
    </row>
    <row r="167" spans="1:4" x14ac:dyDescent="0.25">
      <c r="A167" t="s">
        <v>13</v>
      </c>
      <c r="D167">
        <v>150</v>
      </c>
    </row>
    <row r="168" spans="1:4" x14ac:dyDescent="0.25">
      <c r="A168" t="s">
        <v>0</v>
      </c>
      <c r="D168">
        <v>167</v>
      </c>
    </row>
    <row r="169" spans="1:4" x14ac:dyDescent="0.25">
      <c r="A169" t="s">
        <v>8</v>
      </c>
      <c r="D169">
        <v>14</v>
      </c>
    </row>
    <row r="170" spans="1:4" x14ac:dyDescent="0.25">
      <c r="A170" t="s">
        <v>3</v>
      </c>
      <c r="D170" s="1">
        <v>0.08</v>
      </c>
    </row>
    <row r="171" spans="1:4" x14ac:dyDescent="0.25">
      <c r="A171" t="s">
        <v>2</v>
      </c>
      <c r="D171">
        <v>6</v>
      </c>
    </row>
    <row r="172" spans="1:4" x14ac:dyDescent="0.25">
      <c r="A172" t="s">
        <v>6</v>
      </c>
      <c r="D172">
        <v>160</v>
      </c>
    </row>
    <row r="173" spans="1:4" x14ac:dyDescent="0.25">
      <c r="A173" t="s">
        <v>33</v>
      </c>
      <c r="D173">
        <f>(D167+D169)*(1+D170*D171/12)</f>
        <v>170.56</v>
      </c>
    </row>
    <row r="174" spans="1:4" x14ac:dyDescent="0.25">
      <c r="A174" t="s">
        <v>32</v>
      </c>
      <c r="D174">
        <f>MAX(D172,$D168)</f>
        <v>167</v>
      </c>
    </row>
    <row r="175" spans="1:4" x14ac:dyDescent="0.25">
      <c r="A175" t="s">
        <v>31</v>
      </c>
      <c r="D175" s="2">
        <f>$D173-D174</f>
        <v>3.5600000000000023</v>
      </c>
    </row>
    <row r="185" spans="1:3" x14ac:dyDescent="0.25">
      <c r="A185" t="s">
        <v>0</v>
      </c>
      <c r="C185">
        <v>820</v>
      </c>
    </row>
    <row r="186" spans="1:3" x14ac:dyDescent="0.25">
      <c r="A186" t="s">
        <v>14</v>
      </c>
      <c r="C186" s="1">
        <v>0.08</v>
      </c>
    </row>
    <row r="187" spans="1:3" x14ac:dyDescent="0.25">
      <c r="A187" t="s">
        <v>15</v>
      </c>
      <c r="C187">
        <v>1</v>
      </c>
    </row>
    <row r="188" spans="1:3" x14ac:dyDescent="0.25">
      <c r="A188" t="s">
        <v>16</v>
      </c>
      <c r="C188">
        <v>800</v>
      </c>
    </row>
    <row r="189" spans="1:3" x14ac:dyDescent="0.25">
      <c r="A189" t="s">
        <v>17</v>
      </c>
      <c r="C189">
        <v>840</v>
      </c>
    </row>
    <row r="190" spans="1:3" x14ac:dyDescent="0.25">
      <c r="A190" t="s">
        <v>18</v>
      </c>
      <c r="C190">
        <v>760</v>
      </c>
    </row>
    <row r="192" spans="1:3" x14ac:dyDescent="0.25">
      <c r="A192" t="s">
        <v>19</v>
      </c>
      <c r="C192">
        <f>C186/12</f>
        <v>6.6666666666666671E-3</v>
      </c>
    </row>
    <row r="193" spans="1:3" x14ac:dyDescent="0.25">
      <c r="A193" t="s">
        <v>20</v>
      </c>
      <c r="C193">
        <f>C190/C188</f>
        <v>0.95</v>
      </c>
    </row>
    <row r="194" spans="1:3" x14ac:dyDescent="0.25">
      <c r="A194" t="s">
        <v>21</v>
      </c>
      <c r="C194">
        <f>C189/C188</f>
        <v>1.05</v>
      </c>
    </row>
    <row r="196" spans="1:3" x14ac:dyDescent="0.25">
      <c r="A196" t="s">
        <v>22</v>
      </c>
      <c r="C196">
        <f>MAX(0,C189-C185)</f>
        <v>20</v>
      </c>
    </row>
    <row r="197" spans="1:3" x14ac:dyDescent="0.25">
      <c r="A197" t="s">
        <v>23</v>
      </c>
      <c r="C197">
        <f>MAX(0,C190-C185)</f>
        <v>0</v>
      </c>
    </row>
    <row r="199" spans="1:3" x14ac:dyDescent="0.25">
      <c r="A199" t="s">
        <v>1</v>
      </c>
      <c r="C199" s="4">
        <f>((1+C192-C193)*C196+(C194-1-C192)*C197)/((1+C192)*(C194-C193))</f>
        <v>11.25827814569535</v>
      </c>
    </row>
    <row r="208" spans="1:3" x14ac:dyDescent="0.25">
      <c r="A208" t="s">
        <v>0</v>
      </c>
      <c r="C208">
        <v>5200</v>
      </c>
    </row>
    <row r="209" spans="1:5" x14ac:dyDescent="0.25">
      <c r="A209" t="s">
        <v>14</v>
      </c>
      <c r="C209" s="1">
        <v>0.1</v>
      </c>
    </row>
    <row r="210" spans="1:5" x14ac:dyDescent="0.25">
      <c r="A210" t="s">
        <v>15</v>
      </c>
      <c r="C210">
        <v>1</v>
      </c>
    </row>
    <row r="211" spans="1:5" x14ac:dyDescent="0.25">
      <c r="A211" t="s">
        <v>16</v>
      </c>
      <c r="C211">
        <v>5000</v>
      </c>
      <c r="E211" s="1"/>
    </row>
    <row r="212" spans="1:5" x14ac:dyDescent="0.25">
      <c r="A212" t="s">
        <v>24</v>
      </c>
      <c r="C212" s="7">
        <f>15%</f>
        <v>0.15</v>
      </c>
    </row>
    <row r="213" spans="1:5" x14ac:dyDescent="0.25">
      <c r="A213" t="s">
        <v>25</v>
      </c>
      <c r="C213" s="7">
        <f>10%</f>
        <v>0.1</v>
      </c>
    </row>
    <row r="214" spans="1:5" x14ac:dyDescent="0.25">
      <c r="A214" t="s">
        <v>61</v>
      </c>
      <c r="C214" s="6">
        <f>(1+C209)^(1/2)-1</f>
        <v>4.8808848170151631E-2</v>
      </c>
    </row>
    <row r="215" spans="1:5" x14ac:dyDescent="0.25">
      <c r="A215" t="s">
        <v>21</v>
      </c>
      <c r="C215" s="6">
        <f>(1+C212)^(1/2)</f>
        <v>1.0723805294763609</v>
      </c>
    </row>
    <row r="216" spans="1:5" x14ac:dyDescent="0.25">
      <c r="A216" t="s">
        <v>20</v>
      </c>
      <c r="C216" s="6">
        <f>(1-C213)^(1/2)</f>
        <v>0.94868329805051377</v>
      </c>
    </row>
    <row r="218" spans="1:5" x14ac:dyDescent="0.25">
      <c r="A218" t="s">
        <v>17</v>
      </c>
      <c r="C218">
        <f>C211*C216^2</f>
        <v>4500</v>
      </c>
    </row>
    <row r="219" spans="1:5" x14ac:dyDescent="0.25">
      <c r="A219" t="s">
        <v>18</v>
      </c>
      <c r="C219">
        <f>C211*C215^2</f>
        <v>5750.0000000000009</v>
      </c>
    </row>
    <row r="221" spans="1:5" x14ac:dyDescent="0.25">
      <c r="A221" t="s">
        <v>39</v>
      </c>
      <c r="C221" s="7">
        <f>(1+C214-C215)/(C216-C215)</f>
        <v>0.19055948976788356</v>
      </c>
    </row>
    <row r="222" spans="1:5" x14ac:dyDescent="0.25">
      <c r="A222" t="s">
        <v>40</v>
      </c>
      <c r="C222" s="8">
        <f>1-C221</f>
        <v>0.80944051023211649</v>
      </c>
    </row>
    <row r="224" spans="1:5" x14ac:dyDescent="0.25">
      <c r="A224" t="s">
        <v>22</v>
      </c>
      <c r="C224">
        <f>MAX(0,C218-C208)</f>
        <v>0</v>
      </c>
    </row>
    <row r="225" spans="1:3" x14ac:dyDescent="0.25">
      <c r="A225" t="s">
        <v>23</v>
      </c>
      <c r="C225">
        <f>MAX(0,C219-C208)</f>
        <v>550.00000000000091</v>
      </c>
    </row>
    <row r="227" spans="1:3" x14ac:dyDescent="0.25">
      <c r="A227" t="s">
        <v>1</v>
      </c>
      <c r="C227" s="2">
        <f>(C221*C224+C222*C225)/(1+C209)</f>
        <v>404.72025511605887</v>
      </c>
    </row>
    <row r="236" spans="1:3" x14ac:dyDescent="0.25">
      <c r="A236" t="s">
        <v>0</v>
      </c>
      <c r="C236">
        <v>1400</v>
      </c>
    </row>
    <row r="237" spans="1:3" x14ac:dyDescent="0.25">
      <c r="A237" t="s">
        <v>16</v>
      </c>
      <c r="C237">
        <v>1385</v>
      </c>
    </row>
    <row r="238" spans="1:3" x14ac:dyDescent="0.25">
      <c r="A238" t="s">
        <v>14</v>
      </c>
      <c r="C238" s="1">
        <v>0.06</v>
      </c>
    </row>
    <row r="239" spans="1:3" x14ac:dyDescent="0.25">
      <c r="A239" t="s">
        <v>15</v>
      </c>
      <c r="C239">
        <v>2</v>
      </c>
    </row>
    <row r="240" spans="1:3" x14ac:dyDescent="0.25">
      <c r="A240" t="s">
        <v>24</v>
      </c>
      <c r="C240" s="1">
        <v>0.2</v>
      </c>
    </row>
    <row r="241" spans="1:8" x14ac:dyDescent="0.25">
      <c r="A241" t="s">
        <v>25</v>
      </c>
      <c r="C241" s="1">
        <v>0.15</v>
      </c>
    </row>
    <row r="242" spans="1:8" x14ac:dyDescent="0.25">
      <c r="A242" t="s">
        <v>38</v>
      </c>
      <c r="C242" s="1">
        <f>1-C241</f>
        <v>0.85</v>
      </c>
    </row>
    <row r="243" spans="1:8" x14ac:dyDescent="0.25">
      <c r="A243" t="s">
        <v>37</v>
      </c>
      <c r="C243" s="1">
        <f>1+C240</f>
        <v>1.2</v>
      </c>
    </row>
    <row r="244" spans="1:8" x14ac:dyDescent="0.25">
      <c r="A244" t="s">
        <v>39</v>
      </c>
      <c r="C244" s="1">
        <f>(1+C238-C242)/(C243-C242)</f>
        <v>0.6000000000000002</v>
      </c>
    </row>
    <row r="245" spans="1:8" x14ac:dyDescent="0.25">
      <c r="A245" t="s">
        <v>40</v>
      </c>
      <c r="C245" s="1">
        <f>(C243-(1+C238))/(C243-C242)</f>
        <v>0.39999999999999974</v>
      </c>
    </row>
    <row r="247" spans="1:8" x14ac:dyDescent="0.25">
      <c r="A247" t="s">
        <v>41</v>
      </c>
      <c r="B247" t="s">
        <v>42</v>
      </c>
      <c r="C247" t="s">
        <v>43</v>
      </c>
      <c r="D247" t="s">
        <v>44</v>
      </c>
      <c r="E247" t="s">
        <v>45</v>
      </c>
      <c r="H247" t="s">
        <v>46</v>
      </c>
    </row>
    <row r="248" spans="1:8" x14ac:dyDescent="0.25">
      <c r="A248">
        <v>0</v>
      </c>
      <c r="B248">
        <f>COMBIN($C$239,A248)</f>
        <v>1</v>
      </c>
      <c r="C248">
        <f>$C$244^A248</f>
        <v>1</v>
      </c>
      <c r="D248">
        <f>$C$245^($C$239-A248)</f>
        <v>0.15999999999999981</v>
      </c>
      <c r="E248">
        <f>MAX($C$243^A248*$C$242^($C$239-A248)*$C$237-$C$236,0)</f>
        <v>0</v>
      </c>
      <c r="H248">
        <f>PRODUCT(B248:E248)</f>
        <v>0</v>
      </c>
    </row>
    <row r="249" spans="1:8" x14ac:dyDescent="0.25">
      <c r="A249">
        <v>1</v>
      </c>
      <c r="B249">
        <f t="shared" ref="B249:B251" si="23">COMBIN($C$239,A249)</f>
        <v>2</v>
      </c>
      <c r="C249">
        <f t="shared" ref="C249:C251" si="24">$C$244^A249</f>
        <v>0.6000000000000002</v>
      </c>
      <c r="D249">
        <f t="shared" ref="D249:D251" si="25">$C$245^($C$239-A249)</f>
        <v>0.39999999999999974</v>
      </c>
      <c r="E249">
        <f t="shared" ref="E249:E251" si="26">MAX($C$243^A249*$C$242^($C$239-A249)*$C$237-$C$236,0)</f>
        <v>12.700000000000045</v>
      </c>
      <c r="H249">
        <f t="shared" ref="H249:H251" si="27">PRODUCT(B249:E249)</f>
        <v>6.0960000000000205</v>
      </c>
    </row>
    <row r="250" spans="1:8" x14ac:dyDescent="0.25">
      <c r="A250">
        <v>2</v>
      </c>
      <c r="B250">
        <f>COMBIN($C$239,A250)</f>
        <v>1</v>
      </c>
      <c r="C250">
        <f>$C$244^A250</f>
        <v>0.36000000000000026</v>
      </c>
      <c r="D250">
        <f>$C$245^($C$239-A250)</f>
        <v>1</v>
      </c>
      <c r="E250">
        <f>MAX($C$243^A250*$C$242^($C$239-A250)*$C$237-$C$236,0)</f>
        <v>594.39999999999986</v>
      </c>
      <c r="H250">
        <f>PRODUCT(B250:E250)</f>
        <v>213.98400000000009</v>
      </c>
    </row>
    <row r="252" spans="1:8" x14ac:dyDescent="0.25">
      <c r="G252" t="s">
        <v>47</v>
      </c>
      <c r="H252">
        <f>SUM(H248:H251)</f>
        <v>220.08000000000013</v>
      </c>
    </row>
    <row r="253" spans="1:8" x14ac:dyDescent="0.25">
      <c r="B253" t="s">
        <v>1</v>
      </c>
      <c r="C253" s="4">
        <f>1/(1+C238)^C239*H252</f>
        <v>195.87041651833403</v>
      </c>
    </row>
    <row r="260" spans="1:2" x14ac:dyDescent="0.25">
      <c r="A260" t="s">
        <v>16</v>
      </c>
      <c r="B260">
        <v>1285</v>
      </c>
    </row>
    <row r="261" spans="1:2" x14ac:dyDescent="0.25">
      <c r="A261" t="s">
        <v>26</v>
      </c>
      <c r="B261" s="1">
        <v>0.17</v>
      </c>
    </row>
    <row r="262" spans="1:2" x14ac:dyDescent="0.25">
      <c r="A262" t="s">
        <v>0</v>
      </c>
      <c r="B262">
        <v>1300</v>
      </c>
    </row>
    <row r="263" spans="1:2" x14ac:dyDescent="0.25">
      <c r="A263" t="s">
        <v>2</v>
      </c>
      <c r="B263">
        <f>5/12</f>
        <v>0.41666666666666669</v>
      </c>
    </row>
    <row r="264" spans="1:2" x14ac:dyDescent="0.25">
      <c r="A264" t="s">
        <v>14</v>
      </c>
      <c r="B264" s="1">
        <v>0.09</v>
      </c>
    </row>
    <row r="266" spans="1:2" x14ac:dyDescent="0.25">
      <c r="A266" t="s">
        <v>27</v>
      </c>
      <c r="B266">
        <f>(LN(B260/B262)+(B264+B261^2/2)*B263)/(B261*SQRT(B263))</f>
        <v>0.29084088438935074</v>
      </c>
    </row>
    <row r="267" spans="1:2" x14ac:dyDescent="0.25">
      <c r="A267" t="s">
        <v>28</v>
      </c>
      <c r="B267">
        <f>B266-B261*SQRT(B263)</f>
        <v>0.18110635624680727</v>
      </c>
    </row>
    <row r="269" spans="1:2" x14ac:dyDescent="0.25">
      <c r="A269" t="s">
        <v>29</v>
      </c>
      <c r="B269">
        <f>_xlfn.NORM.S.DIST(B266,1)</f>
        <v>0.61441349247705379</v>
      </c>
    </row>
    <row r="270" spans="1:2" x14ac:dyDescent="0.25">
      <c r="A270" t="s">
        <v>29</v>
      </c>
      <c r="B270">
        <f>_xlfn.NORM.S.DIST(B267,1)</f>
        <v>0.57185795223148717</v>
      </c>
    </row>
    <row r="272" spans="1:2" x14ac:dyDescent="0.25">
      <c r="A272" t="s">
        <v>48</v>
      </c>
      <c r="B272" s="2">
        <f>B260*B269-B262*EXP(-B264*B263)*B270</f>
        <v>73.46783431879669</v>
      </c>
    </row>
    <row r="279" spans="1:2" x14ac:dyDescent="0.25">
      <c r="A279" t="s">
        <v>16</v>
      </c>
      <c r="B279">
        <v>1000</v>
      </c>
    </row>
    <row r="280" spans="1:2" x14ac:dyDescent="0.25">
      <c r="A280" t="s">
        <v>26</v>
      </c>
      <c r="B280">
        <v>0.4</v>
      </c>
    </row>
    <row r="281" spans="1:2" x14ac:dyDescent="0.25">
      <c r="A281" t="s">
        <v>0</v>
      </c>
      <c r="B281">
        <v>900</v>
      </c>
    </row>
    <row r="282" spans="1:2" x14ac:dyDescent="0.25">
      <c r="A282" t="s">
        <v>2</v>
      </c>
      <c r="B282">
        <f>6/12</f>
        <v>0.5</v>
      </c>
    </row>
    <row r="283" spans="1:2" x14ac:dyDescent="0.25">
      <c r="A283" t="s">
        <v>14</v>
      </c>
      <c r="B283">
        <f>0.08</f>
        <v>0.08</v>
      </c>
    </row>
    <row r="285" spans="1:2" x14ac:dyDescent="0.25">
      <c r="A285" t="s">
        <v>27</v>
      </c>
      <c r="B285">
        <f>(LN(B279/B281)+(B283+B280^2/2)*B282)/(B280*SQRT(B282))</f>
        <v>0.65534838792942107</v>
      </c>
    </row>
    <row r="286" spans="1:2" x14ac:dyDescent="0.25">
      <c r="A286" t="s">
        <v>28</v>
      </c>
      <c r="B286">
        <f>B285-B280*SQRT(B282)</f>
        <v>0.37250567545480201</v>
      </c>
    </row>
    <row r="288" spans="1:2" x14ac:dyDescent="0.25">
      <c r="A288" t="s">
        <v>29</v>
      </c>
      <c r="B288">
        <f>_xlfn.NORM.S.DIST(B285,1)</f>
        <v>0.7438782633471368</v>
      </c>
    </row>
    <row r="289" spans="1:7" x14ac:dyDescent="0.25">
      <c r="A289" t="s">
        <v>30</v>
      </c>
      <c r="B289">
        <f>_xlfn.NORM.S.DIST(B286,1)</f>
        <v>0.64524180642062023</v>
      </c>
    </row>
    <row r="291" spans="1:7" x14ac:dyDescent="0.25">
      <c r="A291" t="s">
        <v>8</v>
      </c>
      <c r="B291" s="2">
        <f>B281*EXP(-B283*B282)*(1-B289)-B279*(1-B288)</f>
        <v>50.641396606578041</v>
      </c>
    </row>
    <row r="301" spans="1:7" x14ac:dyDescent="0.25">
      <c r="A301" t="s">
        <v>16</v>
      </c>
      <c r="B301">
        <v>1385</v>
      </c>
    </row>
    <row r="302" spans="1:7" x14ac:dyDescent="0.25">
      <c r="A302" t="s">
        <v>0</v>
      </c>
      <c r="B302">
        <v>1400</v>
      </c>
    </row>
    <row r="303" spans="1:7" x14ac:dyDescent="0.25">
      <c r="A303" t="s">
        <v>62</v>
      </c>
      <c r="B303" s="1">
        <v>0.06</v>
      </c>
      <c r="G303" s="1"/>
    </row>
    <row r="304" spans="1:7" x14ac:dyDescent="0.25">
      <c r="A304" t="s">
        <v>15</v>
      </c>
      <c r="B304">
        <v>1</v>
      </c>
    </row>
    <row r="305" spans="1:7" x14ac:dyDescent="0.25">
      <c r="A305" t="s">
        <v>26</v>
      </c>
      <c r="B305" s="1">
        <v>0.2</v>
      </c>
      <c r="C305">
        <f>B305/12*4</f>
        <v>6.6666666666666666E-2</v>
      </c>
      <c r="G305" s="1"/>
    </row>
    <row r="306" spans="1:7" x14ac:dyDescent="0.25">
      <c r="G306" s="1"/>
    </row>
    <row r="307" spans="1:7" x14ac:dyDescent="0.25">
      <c r="A307" t="s">
        <v>37</v>
      </c>
      <c r="B307">
        <f>EXP(C305*SQRT(B304))</f>
        <v>1.0689391057472464</v>
      </c>
      <c r="G307" s="1"/>
    </row>
    <row r="308" spans="1:7" x14ac:dyDescent="0.25">
      <c r="A308" t="s">
        <v>38</v>
      </c>
      <c r="B308">
        <f>EXP(-C305*SQRT(B304))</f>
        <v>0.93550698503161778</v>
      </c>
      <c r="G308" s="1"/>
    </row>
    <row r="309" spans="1:7" x14ac:dyDescent="0.25">
      <c r="A309" t="s">
        <v>63</v>
      </c>
      <c r="B309" s="9">
        <f>EXP(B303)^B305-1</f>
        <v>1.2072288866077807E-2</v>
      </c>
      <c r="G309" s="1"/>
    </row>
    <row r="310" spans="1:7" x14ac:dyDescent="0.25">
      <c r="G310" s="1"/>
    </row>
    <row r="311" spans="1:7" x14ac:dyDescent="0.25">
      <c r="A311" t="s">
        <v>17</v>
      </c>
      <c r="B311">
        <f>B301*B307</f>
        <v>1480.4806614599363</v>
      </c>
      <c r="G311" s="1"/>
    </row>
    <row r="312" spans="1:7" x14ac:dyDescent="0.25">
      <c r="A312" t="s">
        <v>18</v>
      </c>
      <c r="B312">
        <f>B301*B308</f>
        <v>1295.6771742687906</v>
      </c>
    </row>
    <row r="314" spans="1:7" x14ac:dyDescent="0.25">
      <c r="A314" t="s">
        <v>64</v>
      </c>
      <c r="C314">
        <f>MAX(0,B311-B302)</f>
        <v>80.4806614599363</v>
      </c>
    </row>
    <row r="315" spans="1:7" x14ac:dyDescent="0.25">
      <c r="A315" t="s">
        <v>65</v>
      </c>
      <c r="C315">
        <f>MAX(0,B312-B302)</f>
        <v>0</v>
      </c>
    </row>
    <row r="317" spans="1:7" x14ac:dyDescent="0.25">
      <c r="A317" t="s">
        <v>48</v>
      </c>
      <c r="B317" s="2">
        <f>((1+B309-B308)*C314+(B307-1-B309)*C315)/(1+B309)/(B307-B308)</f>
        <v>45.630121486456666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2022-12-20T07:10:25Z</dcterms:created>
  <dcterms:modified xsi:type="dcterms:W3CDTF">2023-01-08T17:53:07Z</dcterms:modified>
</cp:coreProperties>
</file>